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228" yWindow="120" windowWidth="19320" windowHeight="13176"/>
  </bookViews>
  <sheets>
    <sheet name="Loop1" sheetId="1" r:id="rId1"/>
    <sheet name="Limits" sheetId="2" r:id="rId2"/>
    <sheet name="Notes 5.x.x" sheetId="3" r:id="rId3"/>
    <sheet name="Interop" sheetId="4" r:id="rId4"/>
  </sheets>
  <externalReferences>
    <externalReference r:id="rId5"/>
  </externalReferences>
  <definedNames>
    <definedName name="ALT">Limits!$D$2</definedName>
    <definedName name="BT">Limits!$N$2</definedName>
    <definedName name="BT_type">Limits!$N$2</definedName>
    <definedName name="Date">Loop1!$A$2</definedName>
    <definedName name="HighPwrGrant">Limits!$H$2</definedName>
    <definedName name="Index">Loop1!$V$168</definedName>
    <definedName name="Loop_Count">Loop1!$B$4</definedName>
    <definedName name="Maximum">Loop1!$E$9:$E$169</definedName>
    <definedName name="Min_AT_Version">Loop1!$A$174</definedName>
    <definedName name="MinFwVer">Limits!$L$2</definedName>
    <definedName name="Minimum">Loop1!$D$9:$D$169</definedName>
    <definedName name="MinReqdFwVer">Loop1!$A$178</definedName>
    <definedName name="Parm_Count">Loop1!$V$170</definedName>
    <definedName name="PD_Pwr">Limits!$F$2</definedName>
    <definedName name="Port_Count">Loop1!$B$3</definedName>
    <definedName name="_xlnm.Print_Area" localSheetId="3">Interop!$A$1:$L$50</definedName>
    <definedName name="_xlnm.Print_Area" localSheetId="0">Loop1!$A$1:$L$170</definedName>
    <definedName name="_xlnm.Print_Area" localSheetId="2">'Notes 5.x.x'!$A$1:$I$152</definedName>
    <definedName name="PSA">Limits!$J$2</definedName>
    <definedName name="PSE_Tested">Loop1!$A$5</definedName>
    <definedName name="Report_Version">Loop1!$I$3</definedName>
    <definedName name="Test_Count">Loop1!$V$169</definedName>
    <definedName name="Test_Limits">Limits!$B$5:$I$180</definedName>
    <definedName name="Test_Parms">[1]Sheet1!$AR$129</definedName>
    <definedName name="Time">Loop1!$B$2</definedName>
    <definedName name="Version">Loop1!$J$2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96" i="1" l="1"/>
  <c r="C41" i="2" l="1"/>
  <c r="I12" i="2"/>
  <c r="D12" i="2"/>
  <c r="D41" i="2"/>
  <c r="D40" i="2"/>
  <c r="T11" i="1" l="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0" i="1"/>
  <c r="T9" i="1"/>
  <c r="V170" i="1" l="1"/>
  <c r="D140" i="1"/>
  <c r="E140" i="1"/>
  <c r="F140" i="1"/>
  <c r="W140" i="1"/>
  <c r="D141" i="1"/>
  <c r="E141" i="1"/>
  <c r="F141" i="1"/>
  <c r="W141" i="1"/>
  <c r="D142" i="1"/>
  <c r="E142" i="1"/>
  <c r="F142" i="1"/>
  <c r="W142" i="1"/>
  <c r="D143" i="1"/>
  <c r="E143" i="1"/>
  <c r="F143" i="1"/>
  <c r="W143" i="1"/>
  <c r="D144" i="1"/>
  <c r="E144" i="1"/>
  <c r="F144" i="1"/>
  <c r="W144" i="1"/>
  <c r="D145" i="1"/>
  <c r="E145" i="1"/>
  <c r="F145" i="1"/>
  <c r="W145" i="1"/>
  <c r="D146" i="1"/>
  <c r="E146" i="1"/>
  <c r="F146" i="1"/>
  <c r="W146" i="1"/>
  <c r="D147" i="1"/>
  <c r="E147" i="1"/>
  <c r="F147" i="1"/>
  <c r="W147" i="1"/>
  <c r="D148" i="1"/>
  <c r="E148" i="1"/>
  <c r="F148" i="1"/>
  <c r="W148" i="1"/>
  <c r="D149" i="1"/>
  <c r="E149" i="1"/>
  <c r="F149" i="1"/>
  <c r="W149" i="1"/>
  <c r="D150" i="1"/>
  <c r="E150" i="1"/>
  <c r="F150" i="1"/>
  <c r="W150" i="1"/>
  <c r="D151" i="1"/>
  <c r="E151" i="1"/>
  <c r="F151" i="1"/>
  <c r="W151" i="1"/>
  <c r="D122" i="1"/>
  <c r="E122" i="1"/>
  <c r="F122" i="1"/>
  <c r="U122" i="1" s="1"/>
  <c r="D123" i="1"/>
  <c r="E123" i="1"/>
  <c r="F123" i="1"/>
  <c r="D124" i="1"/>
  <c r="E124" i="1"/>
  <c r="F124" i="1"/>
  <c r="D125" i="1"/>
  <c r="E125" i="1"/>
  <c r="F125" i="1"/>
  <c r="D126" i="1"/>
  <c r="E126" i="1"/>
  <c r="F126" i="1"/>
  <c r="U126" i="1" s="1"/>
  <c r="D127" i="1"/>
  <c r="E127" i="1"/>
  <c r="F127" i="1"/>
  <c r="U127" i="1" s="1"/>
  <c r="D128" i="1"/>
  <c r="E128" i="1"/>
  <c r="F128" i="1"/>
  <c r="D129" i="1"/>
  <c r="E129" i="1"/>
  <c r="F129" i="1"/>
  <c r="D130" i="1"/>
  <c r="E130" i="1"/>
  <c r="F130" i="1"/>
  <c r="U130" i="1" s="1"/>
  <c r="D131" i="1"/>
  <c r="E131" i="1"/>
  <c r="F131" i="1"/>
  <c r="D132" i="1"/>
  <c r="E132" i="1"/>
  <c r="F132" i="1"/>
  <c r="D133" i="1"/>
  <c r="E133" i="1"/>
  <c r="F133" i="1"/>
  <c r="D134" i="1"/>
  <c r="E134" i="1"/>
  <c r="F134" i="1"/>
  <c r="U134" i="1" s="1"/>
  <c r="D135" i="1"/>
  <c r="E135" i="1"/>
  <c r="F135" i="1"/>
  <c r="W122" i="1"/>
  <c r="W123" i="1"/>
  <c r="W124" i="1"/>
  <c r="W125" i="1"/>
  <c r="W126" i="1"/>
  <c r="W127" i="1"/>
  <c r="W128" i="1"/>
  <c r="W129" i="1"/>
  <c r="W130" i="1"/>
  <c r="W131" i="1"/>
  <c r="W132" i="1"/>
  <c r="W133" i="1"/>
  <c r="W134" i="1"/>
  <c r="W135" i="1"/>
  <c r="G133" i="1" l="1"/>
  <c r="H133" i="1" s="1"/>
  <c r="U133" i="1"/>
  <c r="I151" i="1"/>
  <c r="J151" i="1" s="1"/>
  <c r="U151" i="1"/>
  <c r="I149" i="1"/>
  <c r="J149" i="1" s="1"/>
  <c r="U149" i="1"/>
  <c r="I147" i="1"/>
  <c r="J147" i="1" s="1"/>
  <c r="U147" i="1"/>
  <c r="I146" i="1"/>
  <c r="J146" i="1" s="1"/>
  <c r="U146" i="1"/>
  <c r="I144" i="1"/>
  <c r="J144" i="1" s="1"/>
  <c r="U144" i="1"/>
  <c r="I143" i="1"/>
  <c r="J143" i="1" s="1"/>
  <c r="U143" i="1"/>
  <c r="I141" i="1"/>
  <c r="J141" i="1" s="1"/>
  <c r="U141" i="1"/>
  <c r="I140" i="1"/>
  <c r="J140" i="1" s="1"/>
  <c r="U140" i="1"/>
  <c r="G135" i="1"/>
  <c r="H135" i="1" s="1"/>
  <c r="V135" i="1" s="1"/>
  <c r="U135" i="1"/>
  <c r="G131" i="1"/>
  <c r="H131" i="1" s="1"/>
  <c r="U131" i="1"/>
  <c r="I123" i="1"/>
  <c r="J123" i="1" s="1"/>
  <c r="U123" i="1"/>
  <c r="G129" i="1"/>
  <c r="H129" i="1" s="1"/>
  <c r="U129" i="1"/>
  <c r="G125" i="1"/>
  <c r="H125" i="1" s="1"/>
  <c r="U125" i="1"/>
  <c r="I150" i="1"/>
  <c r="J150" i="1" s="1"/>
  <c r="U150" i="1"/>
  <c r="I148" i="1"/>
  <c r="J148" i="1" s="1"/>
  <c r="U148" i="1"/>
  <c r="I145" i="1"/>
  <c r="J145" i="1" s="1"/>
  <c r="U145" i="1"/>
  <c r="I142" i="1"/>
  <c r="J142" i="1" s="1"/>
  <c r="U142" i="1"/>
  <c r="G132" i="1"/>
  <c r="H132" i="1" s="1"/>
  <c r="U132" i="1"/>
  <c r="G128" i="1"/>
  <c r="H128" i="1" s="1"/>
  <c r="U128" i="1"/>
  <c r="G124" i="1"/>
  <c r="H124" i="1" s="1"/>
  <c r="U124" i="1"/>
  <c r="G144" i="1"/>
  <c r="G148" i="1"/>
  <c r="I132" i="1"/>
  <c r="I131" i="1"/>
  <c r="G151" i="1"/>
  <c r="G147" i="1"/>
  <c r="G143" i="1"/>
  <c r="G150" i="1"/>
  <c r="G146" i="1"/>
  <c r="G142" i="1"/>
  <c r="I135" i="1"/>
  <c r="G149" i="1"/>
  <c r="G145" i="1"/>
  <c r="G141" i="1"/>
  <c r="G140" i="1"/>
  <c r="H140" i="1" s="1"/>
  <c r="G127" i="1"/>
  <c r="G126" i="1"/>
  <c r="G123" i="1"/>
  <c r="G122" i="1"/>
  <c r="G134" i="1"/>
  <c r="I128" i="1"/>
  <c r="I127" i="1"/>
  <c r="G130" i="1"/>
  <c r="I124" i="1"/>
  <c r="I133" i="1"/>
  <c r="I129" i="1"/>
  <c r="I134" i="1"/>
  <c r="J134" i="1" s="1"/>
  <c r="I130" i="1"/>
  <c r="J130" i="1" s="1"/>
  <c r="I126" i="1"/>
  <c r="I122" i="1"/>
  <c r="J122" i="1" s="1"/>
  <c r="I125" i="1"/>
  <c r="D42" i="2"/>
  <c r="C42" i="2"/>
  <c r="V132" i="1" l="1"/>
  <c r="V131" i="1"/>
  <c r="V129" i="1"/>
  <c r="V133" i="1"/>
  <c r="H130" i="1"/>
  <c r="V130" i="1" s="1"/>
  <c r="H141" i="1"/>
  <c r="S141" i="1" s="1"/>
  <c r="H142" i="1"/>
  <c r="R142" i="1" s="1"/>
  <c r="J126" i="1"/>
  <c r="J133" i="1"/>
  <c r="S133" i="1" s="1"/>
  <c r="H122" i="1"/>
  <c r="V122" i="1" s="1"/>
  <c r="H145" i="1"/>
  <c r="S145" i="1" s="1"/>
  <c r="H146" i="1"/>
  <c r="V146" i="1" s="1"/>
  <c r="H151" i="1"/>
  <c r="V151" i="1" s="1"/>
  <c r="H144" i="1"/>
  <c r="J129" i="1"/>
  <c r="R129" i="1" s="1"/>
  <c r="H134" i="1"/>
  <c r="V134" i="1" s="1"/>
  <c r="H147" i="1"/>
  <c r="V147" i="1" s="1"/>
  <c r="J125" i="1"/>
  <c r="J127" i="1"/>
  <c r="H123" i="1"/>
  <c r="R123" i="1" s="1"/>
  <c r="H149" i="1"/>
  <c r="V149" i="1" s="1"/>
  <c r="H150" i="1"/>
  <c r="R150" i="1" s="1"/>
  <c r="J131" i="1"/>
  <c r="S131" i="1" s="1"/>
  <c r="H127" i="1"/>
  <c r="H148" i="1"/>
  <c r="J124" i="1"/>
  <c r="S124" i="1" s="1"/>
  <c r="J128" i="1"/>
  <c r="R128" i="1" s="1"/>
  <c r="H126" i="1"/>
  <c r="S126" i="1" s="1"/>
  <c r="J135" i="1"/>
  <c r="S135" i="1" s="1"/>
  <c r="H143" i="1"/>
  <c r="V143" i="1" s="1"/>
  <c r="J132" i="1"/>
  <c r="S132" i="1" s="1"/>
  <c r="S140" i="1"/>
  <c r="V140" i="1"/>
  <c r="R140" i="1"/>
  <c r="C40" i="2"/>
  <c r="S125" i="1" l="1"/>
  <c r="V125" i="1"/>
  <c r="V124" i="1"/>
  <c r="V128" i="1"/>
  <c r="R141" i="1"/>
  <c r="S130" i="1"/>
  <c r="R132" i="1"/>
  <c r="R133" i="1"/>
  <c r="R122" i="1"/>
  <c r="S122" i="1"/>
  <c r="S142" i="1"/>
  <c r="R130" i="1"/>
  <c r="S151" i="1"/>
  <c r="V145" i="1"/>
  <c r="R145" i="1"/>
  <c r="R127" i="1"/>
  <c r="R134" i="1"/>
  <c r="S144" i="1"/>
  <c r="V144" i="1"/>
  <c r="R125" i="1"/>
  <c r="R149" i="1"/>
  <c r="V123" i="1"/>
  <c r="S134" i="1"/>
  <c r="S143" i="1"/>
  <c r="S147" i="1"/>
  <c r="R143" i="1"/>
  <c r="V126" i="1"/>
  <c r="R124" i="1"/>
  <c r="V127" i="1"/>
  <c r="S123" i="1"/>
  <c r="R144" i="1"/>
  <c r="S146" i="1"/>
  <c r="R126" i="1"/>
  <c r="V141" i="1"/>
  <c r="S127" i="1"/>
  <c r="S150" i="1"/>
  <c r="V150" i="1"/>
  <c r="R148" i="1"/>
  <c r="S148" i="1"/>
  <c r="S129" i="1"/>
  <c r="R146" i="1"/>
  <c r="S149" i="1"/>
  <c r="S128" i="1"/>
  <c r="V142" i="1"/>
  <c r="R135" i="1"/>
  <c r="V148" i="1"/>
  <c r="R131" i="1"/>
  <c r="R147" i="1"/>
  <c r="R151" i="1"/>
  <c r="C118" i="2"/>
  <c r="D118" i="2"/>
  <c r="C121" i="2"/>
  <c r="W158" i="1" l="1"/>
  <c r="W157" i="1"/>
  <c r="W156" i="1"/>
  <c r="F158" i="1"/>
  <c r="E158" i="1"/>
  <c r="D158" i="1"/>
  <c r="F157" i="1"/>
  <c r="E157" i="1"/>
  <c r="D157" i="1"/>
  <c r="F156" i="1"/>
  <c r="E156" i="1"/>
  <c r="D156" i="1"/>
  <c r="I157" i="1" l="1"/>
  <c r="J157" i="1" s="1"/>
  <c r="U157" i="1"/>
  <c r="I158" i="1"/>
  <c r="J158" i="1" s="1"/>
  <c r="U158" i="1"/>
  <c r="I156" i="1"/>
  <c r="J156" i="1" s="1"/>
  <c r="U156" i="1"/>
  <c r="G156" i="1"/>
  <c r="H156" i="1" s="1"/>
  <c r="G158" i="1"/>
  <c r="H158" i="1" s="1"/>
  <c r="G157" i="1"/>
  <c r="H157" i="1" s="1"/>
  <c r="R156" i="1" l="1"/>
  <c r="V156" i="1"/>
  <c r="S156" i="1"/>
  <c r="V157" i="1"/>
  <c r="S157" i="1"/>
  <c r="R157" i="1"/>
  <c r="R158" i="1"/>
  <c r="V158" i="1"/>
  <c r="S158" i="1"/>
  <c r="D110" i="2"/>
  <c r="C110" i="2"/>
  <c r="F93" i="2" l="1"/>
  <c r="F92" i="2"/>
  <c r="D155" i="2"/>
  <c r="D153" i="2"/>
  <c r="C151" i="2"/>
  <c r="D150" i="2"/>
  <c r="C150" i="2"/>
  <c r="D147" i="2"/>
  <c r="C135" i="2"/>
  <c r="C134" i="2"/>
  <c r="D130" i="2"/>
  <c r="C130" i="2"/>
  <c r="D112" i="2"/>
  <c r="C112" i="2"/>
  <c r="C100" i="2"/>
  <c r="C99" i="2"/>
  <c r="C96" i="2"/>
  <c r="C95" i="2"/>
  <c r="D93" i="2"/>
  <c r="D92" i="2"/>
  <c r="C90" i="2"/>
  <c r="D53" i="2"/>
  <c r="D52" i="2"/>
  <c r="D45" i="2"/>
  <c r="F26" i="2"/>
  <c r="D26" i="2"/>
  <c r="F25" i="2"/>
  <c r="D25" i="2"/>
  <c r="C25" i="2"/>
  <c r="C26" i="2" s="1"/>
  <c r="E195" i="3" l="1"/>
  <c r="E197" i="3" s="1"/>
  <c r="C197" i="3" l="1"/>
  <c r="W28" i="1" l="1"/>
  <c r="F28" i="1"/>
  <c r="U28" i="1" s="1"/>
  <c r="E28" i="1"/>
  <c r="D28" i="1"/>
  <c r="I28" i="1" l="1"/>
  <c r="J28" i="1" s="1"/>
  <c r="G28" i="1"/>
  <c r="H28" i="1" s="1"/>
  <c r="W160" i="1"/>
  <c r="F160" i="1"/>
  <c r="E160" i="1"/>
  <c r="D160" i="1"/>
  <c r="W159" i="1"/>
  <c r="F159" i="1"/>
  <c r="E159" i="1"/>
  <c r="D159" i="1"/>
  <c r="W155" i="1"/>
  <c r="F155" i="1"/>
  <c r="E155" i="1"/>
  <c r="D155" i="1"/>
  <c r="W154" i="1"/>
  <c r="F154" i="1"/>
  <c r="E154" i="1"/>
  <c r="D154" i="1"/>
  <c r="W153" i="1"/>
  <c r="F153" i="1"/>
  <c r="U153" i="1" s="1"/>
  <c r="E153" i="1"/>
  <c r="D153" i="1"/>
  <c r="W152" i="1"/>
  <c r="F152" i="1"/>
  <c r="E152" i="1"/>
  <c r="D152" i="1"/>
  <c r="I152" i="1" l="1"/>
  <c r="J152" i="1" s="1"/>
  <c r="U152" i="1"/>
  <c r="I154" i="1"/>
  <c r="J154" i="1" s="1"/>
  <c r="U154" i="1"/>
  <c r="G155" i="1"/>
  <c r="H155" i="1" s="1"/>
  <c r="V155" i="1" s="1"/>
  <c r="U155" i="1"/>
  <c r="I159" i="1"/>
  <c r="J159" i="1" s="1"/>
  <c r="U159" i="1"/>
  <c r="G160" i="1"/>
  <c r="H160" i="1" s="1"/>
  <c r="V160" i="1" s="1"/>
  <c r="U160" i="1"/>
  <c r="S28" i="1"/>
  <c r="R28" i="1"/>
  <c r="V28" i="1"/>
  <c r="G154" i="1"/>
  <c r="I155" i="1"/>
  <c r="G153" i="1"/>
  <c r="I153" i="1"/>
  <c r="J153" i="1" s="1"/>
  <c r="G159" i="1"/>
  <c r="I160" i="1"/>
  <c r="G152" i="1"/>
  <c r="H152" i="1" l="1"/>
  <c r="V152" i="1" s="1"/>
  <c r="H153" i="1"/>
  <c r="V153" i="1" s="1"/>
  <c r="J160" i="1"/>
  <c r="S160" i="1" s="1"/>
  <c r="J155" i="1"/>
  <c r="S155" i="1" s="1"/>
  <c r="H159" i="1"/>
  <c r="R159" i="1" s="1"/>
  <c r="H154" i="1"/>
  <c r="S154" i="1" s="1"/>
  <c r="R160" i="1" l="1"/>
  <c r="R152" i="1"/>
  <c r="R153" i="1"/>
  <c r="S153" i="1"/>
  <c r="S152" i="1"/>
  <c r="S159" i="1"/>
  <c r="V159" i="1"/>
  <c r="R154" i="1"/>
  <c r="V154" i="1"/>
  <c r="R155" i="1"/>
  <c r="B1" i="4"/>
  <c r="F165" i="1" l="1"/>
  <c r="E165" i="1"/>
  <c r="D165" i="1"/>
  <c r="F162" i="1"/>
  <c r="E162" i="1"/>
  <c r="D162" i="1"/>
  <c r="I165" i="1" l="1"/>
  <c r="J165" i="1" s="1"/>
  <c r="U165" i="1"/>
  <c r="I162" i="1"/>
  <c r="J162" i="1" s="1"/>
  <c r="U162" i="1"/>
  <c r="G165" i="1"/>
  <c r="H165" i="1" s="1"/>
  <c r="G162" i="1"/>
  <c r="W162" i="1"/>
  <c r="H162" i="1" l="1"/>
  <c r="V162" i="1" s="1"/>
  <c r="S162" i="1" l="1"/>
  <c r="R162" i="1"/>
  <c r="R165" i="1"/>
  <c r="S165" i="1"/>
  <c r="V165" i="1"/>
  <c r="W165" i="1"/>
  <c r="D120" i="1" l="1"/>
  <c r="E120" i="1"/>
  <c r="F120" i="1"/>
  <c r="D121" i="1"/>
  <c r="E121" i="1"/>
  <c r="F121" i="1"/>
  <c r="D136" i="1"/>
  <c r="E136" i="1"/>
  <c r="F136" i="1"/>
  <c r="W120" i="1"/>
  <c r="W121" i="1"/>
  <c r="W136" i="1"/>
  <c r="I120" i="1" l="1"/>
  <c r="J120" i="1" s="1"/>
  <c r="U120" i="1"/>
  <c r="G121" i="1"/>
  <c r="H121" i="1" s="1"/>
  <c r="U121" i="1"/>
  <c r="G136" i="1"/>
  <c r="H136" i="1" s="1"/>
  <c r="V136" i="1" s="1"/>
  <c r="U136" i="1"/>
  <c r="I136" i="1"/>
  <c r="I121" i="1"/>
  <c r="G120" i="1"/>
  <c r="G1" i="1"/>
  <c r="J136" i="1" l="1"/>
  <c r="R136" i="1" s="1"/>
  <c r="J121" i="1"/>
  <c r="R121" i="1" s="1"/>
  <c r="H120" i="1"/>
  <c r="V120" i="1" s="1"/>
  <c r="V121" i="1" l="1"/>
  <c r="S120" i="1"/>
  <c r="S136" i="1"/>
  <c r="S121" i="1"/>
  <c r="R120" i="1"/>
  <c r="F5" i="4"/>
  <c r="V169" i="1"/>
  <c r="F161" i="1"/>
  <c r="E161" i="1"/>
  <c r="D161" i="1"/>
  <c r="F139" i="1"/>
  <c r="E139" i="1"/>
  <c r="D139" i="1"/>
  <c r="F138" i="1"/>
  <c r="E138" i="1"/>
  <c r="D138" i="1"/>
  <c r="W161" i="1"/>
  <c r="W139" i="1"/>
  <c r="W138" i="1"/>
  <c r="I138" i="1" l="1"/>
  <c r="J138" i="1" s="1"/>
  <c r="U138" i="1"/>
  <c r="I139" i="1"/>
  <c r="J139" i="1" s="1"/>
  <c r="U139" i="1"/>
  <c r="I161" i="1"/>
  <c r="J161" i="1" s="1"/>
  <c r="U161" i="1"/>
  <c r="F4" i="4"/>
  <c r="G138" i="1"/>
  <c r="H138" i="1" s="1"/>
  <c r="G161" i="1"/>
  <c r="H161" i="1" s="1"/>
  <c r="G139" i="1"/>
  <c r="H139" i="1" s="1"/>
  <c r="V161" i="1" l="1"/>
  <c r="S161" i="1"/>
  <c r="R161" i="1"/>
  <c r="R139" i="1"/>
  <c r="V139" i="1"/>
  <c r="S139" i="1"/>
  <c r="V138" i="1"/>
  <c r="S138" i="1"/>
  <c r="R138" i="1"/>
  <c r="W167" i="1" l="1"/>
  <c r="W166" i="1"/>
  <c r="F168" i="1"/>
  <c r="I168" i="1" s="1"/>
  <c r="J168" i="1" s="1"/>
  <c r="E168" i="1"/>
  <c r="D168" i="1"/>
  <c r="G168" i="1" l="1"/>
  <c r="H168" i="1" s="1"/>
  <c r="B171" i="1"/>
  <c r="W164" i="1" l="1"/>
  <c r="W163" i="1"/>
  <c r="W137"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7" i="1"/>
  <c r="W26" i="1"/>
  <c r="W25" i="1"/>
  <c r="W24" i="1"/>
  <c r="W23" i="1"/>
  <c r="W22" i="1"/>
  <c r="W21" i="1"/>
  <c r="W20" i="1"/>
  <c r="W19" i="1"/>
  <c r="W18" i="1"/>
  <c r="W17" i="1"/>
  <c r="W16" i="1"/>
  <c r="W15" i="1"/>
  <c r="W14" i="1"/>
  <c r="W13" i="1"/>
  <c r="W12" i="1"/>
  <c r="W11" i="1"/>
  <c r="W10" i="1"/>
  <c r="W9" i="1"/>
  <c r="F169" i="1" l="1"/>
  <c r="F167" i="1"/>
  <c r="F166" i="1"/>
  <c r="U166" i="1" s="1"/>
  <c r="F164" i="1"/>
  <c r="U164" i="1" s="1"/>
  <c r="F163" i="1"/>
  <c r="U163" i="1" s="1"/>
  <c r="F137" i="1"/>
  <c r="U137" i="1" s="1"/>
  <c r="F119" i="1"/>
  <c r="U119" i="1" s="1"/>
  <c r="F118" i="1"/>
  <c r="U118" i="1" s="1"/>
  <c r="F117" i="1"/>
  <c r="U117" i="1" s="1"/>
  <c r="F116" i="1"/>
  <c r="U116" i="1" s="1"/>
  <c r="F115" i="1"/>
  <c r="U115" i="1" s="1"/>
  <c r="F114" i="1"/>
  <c r="U114" i="1" s="1"/>
  <c r="F113" i="1"/>
  <c r="U113" i="1" s="1"/>
  <c r="F112" i="1"/>
  <c r="U112" i="1" s="1"/>
  <c r="F111" i="1"/>
  <c r="U111" i="1" s="1"/>
  <c r="F110" i="1"/>
  <c r="U110" i="1" s="1"/>
  <c r="F109" i="1"/>
  <c r="U109" i="1" s="1"/>
  <c r="F108" i="1"/>
  <c r="U108" i="1" s="1"/>
  <c r="F107" i="1"/>
  <c r="U107" i="1" s="1"/>
  <c r="F106" i="1"/>
  <c r="U106" i="1" s="1"/>
  <c r="F105" i="1"/>
  <c r="U105" i="1" s="1"/>
  <c r="F104" i="1"/>
  <c r="U104" i="1" s="1"/>
  <c r="F103" i="1"/>
  <c r="U103" i="1" s="1"/>
  <c r="F102" i="1"/>
  <c r="U102" i="1" s="1"/>
  <c r="F101" i="1"/>
  <c r="U101" i="1" s="1"/>
  <c r="F100" i="1"/>
  <c r="U100" i="1" s="1"/>
  <c r="F99" i="1"/>
  <c r="U99" i="1" s="1"/>
  <c r="F98" i="1"/>
  <c r="U98" i="1" s="1"/>
  <c r="F97" i="1"/>
  <c r="U97" i="1" s="1"/>
  <c r="F96" i="1"/>
  <c r="U96" i="1" s="1"/>
  <c r="F95" i="1"/>
  <c r="U95" i="1" s="1"/>
  <c r="F94" i="1"/>
  <c r="U94" i="1" s="1"/>
  <c r="F93" i="1"/>
  <c r="U93" i="1" s="1"/>
  <c r="F92" i="1"/>
  <c r="U92" i="1" s="1"/>
  <c r="F91" i="1"/>
  <c r="U91" i="1" s="1"/>
  <c r="F90" i="1"/>
  <c r="U90" i="1" s="1"/>
  <c r="F89" i="1"/>
  <c r="U89" i="1" s="1"/>
  <c r="F88" i="1"/>
  <c r="U88" i="1" s="1"/>
  <c r="F87" i="1"/>
  <c r="U87" i="1" s="1"/>
  <c r="F86" i="1"/>
  <c r="U86" i="1" s="1"/>
  <c r="F85" i="1"/>
  <c r="U85" i="1" s="1"/>
  <c r="F84" i="1"/>
  <c r="U84" i="1" s="1"/>
  <c r="F83" i="1"/>
  <c r="U83" i="1" s="1"/>
  <c r="F82" i="1"/>
  <c r="U82" i="1" s="1"/>
  <c r="F81" i="1"/>
  <c r="U81" i="1" s="1"/>
  <c r="F80" i="1"/>
  <c r="U80" i="1" s="1"/>
  <c r="F79" i="1"/>
  <c r="U79" i="1" s="1"/>
  <c r="F78" i="1"/>
  <c r="U78" i="1" s="1"/>
  <c r="F77" i="1"/>
  <c r="U77" i="1" s="1"/>
  <c r="F76" i="1"/>
  <c r="U76" i="1" s="1"/>
  <c r="F75" i="1"/>
  <c r="U75" i="1" s="1"/>
  <c r="F74" i="1"/>
  <c r="U74" i="1" s="1"/>
  <c r="F73" i="1"/>
  <c r="U73" i="1" s="1"/>
  <c r="F72" i="1"/>
  <c r="U72" i="1" s="1"/>
  <c r="F71" i="1"/>
  <c r="U71" i="1" s="1"/>
  <c r="F70" i="1"/>
  <c r="U70" i="1" s="1"/>
  <c r="F69" i="1"/>
  <c r="U69" i="1" s="1"/>
  <c r="F68" i="1"/>
  <c r="U68" i="1" s="1"/>
  <c r="F67" i="1"/>
  <c r="U67" i="1" s="1"/>
  <c r="F66" i="1"/>
  <c r="U66" i="1" s="1"/>
  <c r="F65" i="1"/>
  <c r="U65" i="1" s="1"/>
  <c r="F64" i="1"/>
  <c r="U64" i="1" s="1"/>
  <c r="F63" i="1"/>
  <c r="U63" i="1" s="1"/>
  <c r="F62" i="1"/>
  <c r="U62" i="1" s="1"/>
  <c r="F61" i="1"/>
  <c r="U61" i="1" s="1"/>
  <c r="F60" i="1"/>
  <c r="U60" i="1" s="1"/>
  <c r="F59" i="1"/>
  <c r="U59" i="1" s="1"/>
  <c r="F58" i="1"/>
  <c r="U58" i="1" s="1"/>
  <c r="F57" i="1"/>
  <c r="U57" i="1" s="1"/>
  <c r="F56" i="1"/>
  <c r="U56" i="1" s="1"/>
  <c r="F55" i="1"/>
  <c r="U55" i="1" s="1"/>
  <c r="F54" i="1"/>
  <c r="U54" i="1" s="1"/>
  <c r="F53" i="1"/>
  <c r="U53" i="1" s="1"/>
  <c r="F52" i="1"/>
  <c r="U52" i="1" s="1"/>
  <c r="F51" i="1"/>
  <c r="U51" i="1" s="1"/>
  <c r="F50" i="1"/>
  <c r="U50" i="1" s="1"/>
  <c r="F49" i="1"/>
  <c r="U49" i="1" s="1"/>
  <c r="F48" i="1"/>
  <c r="U48" i="1" s="1"/>
  <c r="F47" i="1"/>
  <c r="U47" i="1" s="1"/>
  <c r="F46" i="1"/>
  <c r="U46" i="1" s="1"/>
  <c r="F45" i="1"/>
  <c r="U45" i="1" s="1"/>
  <c r="F44" i="1"/>
  <c r="U44" i="1" s="1"/>
  <c r="F43" i="1"/>
  <c r="U43" i="1" s="1"/>
  <c r="F42" i="1"/>
  <c r="U42" i="1" s="1"/>
  <c r="F41" i="1"/>
  <c r="U41" i="1" s="1"/>
  <c r="F40" i="1"/>
  <c r="U40" i="1" s="1"/>
  <c r="F39" i="1"/>
  <c r="U39" i="1" s="1"/>
  <c r="F38" i="1"/>
  <c r="U38" i="1" s="1"/>
  <c r="F37" i="1"/>
  <c r="U37" i="1" s="1"/>
  <c r="F36" i="1"/>
  <c r="U36" i="1" s="1"/>
  <c r="F35" i="1"/>
  <c r="U35" i="1" s="1"/>
  <c r="F34" i="1"/>
  <c r="U34" i="1" s="1"/>
  <c r="F33" i="1"/>
  <c r="U33" i="1" s="1"/>
  <c r="F32" i="1"/>
  <c r="U32" i="1" s="1"/>
  <c r="F31" i="1"/>
  <c r="U31" i="1" s="1"/>
  <c r="F30" i="1"/>
  <c r="U30" i="1" s="1"/>
  <c r="F29" i="1"/>
  <c r="U29" i="1" s="1"/>
  <c r="F27" i="1"/>
  <c r="U27" i="1" s="1"/>
  <c r="F26" i="1"/>
  <c r="U26" i="1" s="1"/>
  <c r="F25" i="1"/>
  <c r="U25" i="1" s="1"/>
  <c r="F24" i="1"/>
  <c r="U24" i="1" s="1"/>
  <c r="F23" i="1"/>
  <c r="U23" i="1" s="1"/>
  <c r="F22" i="1"/>
  <c r="U22" i="1" s="1"/>
  <c r="F21" i="1"/>
  <c r="U21" i="1" s="1"/>
  <c r="F20" i="1"/>
  <c r="U20" i="1" s="1"/>
  <c r="F19" i="1"/>
  <c r="U19" i="1" s="1"/>
  <c r="F18" i="1"/>
  <c r="U18" i="1" s="1"/>
  <c r="F17" i="1"/>
  <c r="U17" i="1" s="1"/>
  <c r="F16" i="1"/>
  <c r="U16" i="1" s="1"/>
  <c r="F15" i="1"/>
  <c r="U15" i="1" s="1"/>
  <c r="F14" i="1"/>
  <c r="U14" i="1" s="1"/>
  <c r="F13" i="1"/>
  <c r="U13" i="1" s="1"/>
  <c r="F12" i="1"/>
  <c r="U12" i="1" s="1"/>
  <c r="F11" i="1"/>
  <c r="U11" i="1" s="1"/>
  <c r="F10" i="1"/>
  <c r="U10" i="1" s="1"/>
  <c r="F9" i="1"/>
  <c r="U9" i="1" s="1"/>
  <c r="U167" i="1" l="1"/>
  <c r="I167" i="1"/>
  <c r="J167" i="1" s="1"/>
  <c r="E167" i="1"/>
  <c r="D167" i="1"/>
  <c r="I166" i="1"/>
  <c r="J166" i="1" s="1"/>
  <c r="E166" i="1"/>
  <c r="D166" i="1"/>
  <c r="G167" i="1" l="1"/>
  <c r="H167" i="1" s="1"/>
  <c r="G166" i="1"/>
  <c r="H166" i="1" s="1"/>
  <c r="B2" i="4"/>
  <c r="C2" i="4"/>
  <c r="K2" i="4"/>
  <c r="C3" i="4"/>
  <c r="J3" i="4"/>
  <c r="C4" i="4"/>
  <c r="B5" i="4"/>
  <c r="G3" i="1"/>
  <c r="B7" i="1"/>
  <c r="D9" i="1"/>
  <c r="E9" i="1"/>
  <c r="G9" i="1"/>
  <c r="H9" i="1" s="1"/>
  <c r="D10" i="1"/>
  <c r="E10" i="1"/>
  <c r="G10" i="1"/>
  <c r="D11" i="1"/>
  <c r="E11" i="1"/>
  <c r="G11" i="1"/>
  <c r="D12" i="1"/>
  <c r="E12" i="1"/>
  <c r="G12" i="1"/>
  <c r="D13" i="1"/>
  <c r="E13" i="1"/>
  <c r="G13" i="1"/>
  <c r="D14" i="1"/>
  <c r="E14" i="1"/>
  <c r="G14" i="1"/>
  <c r="D15" i="1"/>
  <c r="E15" i="1"/>
  <c r="G15" i="1"/>
  <c r="D16" i="1"/>
  <c r="E16" i="1"/>
  <c r="G16" i="1"/>
  <c r="D17" i="1"/>
  <c r="E17" i="1"/>
  <c r="G17" i="1"/>
  <c r="D18" i="1"/>
  <c r="E18" i="1"/>
  <c r="G18" i="1"/>
  <c r="D19" i="1"/>
  <c r="E19" i="1"/>
  <c r="G19" i="1"/>
  <c r="D20" i="1"/>
  <c r="E20" i="1"/>
  <c r="G20" i="1"/>
  <c r="D21" i="1"/>
  <c r="E21" i="1"/>
  <c r="G21" i="1"/>
  <c r="D22" i="1"/>
  <c r="E22" i="1"/>
  <c r="G22" i="1"/>
  <c r="D23" i="1"/>
  <c r="E23" i="1"/>
  <c r="G23" i="1"/>
  <c r="D24" i="1"/>
  <c r="E24" i="1"/>
  <c r="G24" i="1"/>
  <c r="D25" i="1"/>
  <c r="E25" i="1"/>
  <c r="G25" i="1"/>
  <c r="D26" i="1"/>
  <c r="E26" i="1"/>
  <c r="G26" i="1"/>
  <c r="D27" i="1"/>
  <c r="E27" i="1"/>
  <c r="D29" i="1"/>
  <c r="E29" i="1"/>
  <c r="G29" i="1"/>
  <c r="D30" i="1"/>
  <c r="E30" i="1"/>
  <c r="D31" i="1"/>
  <c r="E31" i="1"/>
  <c r="G31" i="1"/>
  <c r="D32" i="1"/>
  <c r="E32" i="1"/>
  <c r="G32" i="1"/>
  <c r="D33" i="1"/>
  <c r="E33" i="1"/>
  <c r="G33" i="1"/>
  <c r="D34" i="1"/>
  <c r="E34" i="1"/>
  <c r="G34" i="1"/>
  <c r="D35" i="1"/>
  <c r="E35" i="1"/>
  <c r="G35" i="1"/>
  <c r="D36" i="1"/>
  <c r="E36" i="1"/>
  <c r="G36" i="1"/>
  <c r="D37" i="1"/>
  <c r="E37" i="1"/>
  <c r="G37" i="1"/>
  <c r="D38" i="1"/>
  <c r="E38" i="1"/>
  <c r="G38" i="1"/>
  <c r="D39" i="1"/>
  <c r="E39" i="1"/>
  <c r="G39" i="1"/>
  <c r="D40" i="1"/>
  <c r="E40" i="1"/>
  <c r="G40" i="1"/>
  <c r="D41" i="1"/>
  <c r="E41" i="1"/>
  <c r="G41" i="1"/>
  <c r="D42" i="1"/>
  <c r="E42" i="1"/>
  <c r="G42" i="1"/>
  <c r="D43" i="1"/>
  <c r="E43" i="1"/>
  <c r="G43" i="1"/>
  <c r="D44" i="1"/>
  <c r="E44" i="1"/>
  <c r="G44" i="1"/>
  <c r="D45" i="1"/>
  <c r="E45" i="1"/>
  <c r="G45" i="1"/>
  <c r="D46" i="1"/>
  <c r="E46" i="1"/>
  <c r="G46" i="1"/>
  <c r="D47" i="1"/>
  <c r="E47" i="1"/>
  <c r="G47" i="1"/>
  <c r="D48" i="1"/>
  <c r="E48" i="1"/>
  <c r="G48" i="1"/>
  <c r="D49" i="1"/>
  <c r="E49" i="1"/>
  <c r="G49" i="1"/>
  <c r="D50" i="1"/>
  <c r="E50" i="1"/>
  <c r="G50" i="1"/>
  <c r="D51" i="1"/>
  <c r="E51" i="1"/>
  <c r="G51" i="1"/>
  <c r="D52" i="1"/>
  <c r="E52" i="1"/>
  <c r="G52" i="1"/>
  <c r="D53" i="1"/>
  <c r="E53" i="1"/>
  <c r="G53" i="1"/>
  <c r="D54" i="1"/>
  <c r="E54" i="1"/>
  <c r="G54" i="1"/>
  <c r="D55" i="1"/>
  <c r="E55" i="1"/>
  <c r="G55" i="1"/>
  <c r="D56" i="1"/>
  <c r="E56" i="1"/>
  <c r="G56" i="1"/>
  <c r="D57" i="1"/>
  <c r="E57" i="1"/>
  <c r="G57" i="1"/>
  <c r="D58" i="1"/>
  <c r="E58" i="1"/>
  <c r="G58" i="1"/>
  <c r="D59" i="1"/>
  <c r="E59" i="1"/>
  <c r="G59" i="1"/>
  <c r="D60" i="1"/>
  <c r="E60" i="1"/>
  <c r="G60" i="1"/>
  <c r="D61" i="1"/>
  <c r="E61" i="1"/>
  <c r="G61" i="1"/>
  <c r="D62" i="1"/>
  <c r="E62" i="1"/>
  <c r="G62" i="1"/>
  <c r="D63" i="1"/>
  <c r="E63" i="1"/>
  <c r="D64" i="1"/>
  <c r="E64" i="1"/>
  <c r="I64" i="1"/>
  <c r="J64" i="1" s="1"/>
  <c r="D65" i="1"/>
  <c r="E65" i="1"/>
  <c r="D66" i="1"/>
  <c r="E66" i="1"/>
  <c r="G66" i="1"/>
  <c r="D67" i="1"/>
  <c r="E67" i="1"/>
  <c r="D68" i="1"/>
  <c r="E68" i="1"/>
  <c r="I68" i="1"/>
  <c r="J68" i="1" s="1"/>
  <c r="D69" i="1"/>
  <c r="E69" i="1"/>
  <c r="D70" i="1"/>
  <c r="E70" i="1"/>
  <c r="G70" i="1"/>
  <c r="D71" i="1"/>
  <c r="E71" i="1"/>
  <c r="D72" i="1"/>
  <c r="E72" i="1"/>
  <c r="I72" i="1"/>
  <c r="J72" i="1" s="1"/>
  <c r="D73" i="1"/>
  <c r="E73" i="1"/>
  <c r="I73" i="1"/>
  <c r="J73" i="1" s="1"/>
  <c r="D74" i="1"/>
  <c r="E74" i="1"/>
  <c r="G74" i="1"/>
  <c r="D75" i="1"/>
  <c r="E75" i="1"/>
  <c r="G75" i="1"/>
  <c r="D76" i="1"/>
  <c r="E76" i="1"/>
  <c r="G76" i="1"/>
  <c r="D77" i="1"/>
  <c r="E77" i="1"/>
  <c r="G77" i="1"/>
  <c r="D78" i="1"/>
  <c r="E78" i="1"/>
  <c r="G78" i="1"/>
  <c r="D79" i="1"/>
  <c r="E79" i="1"/>
  <c r="I79" i="1"/>
  <c r="J79" i="1" s="1"/>
  <c r="D80" i="1"/>
  <c r="E80" i="1"/>
  <c r="G80" i="1"/>
  <c r="D81" i="1"/>
  <c r="E81" i="1"/>
  <c r="D82" i="1"/>
  <c r="E82" i="1"/>
  <c r="G82" i="1"/>
  <c r="D83" i="1"/>
  <c r="E83" i="1"/>
  <c r="G83" i="1"/>
  <c r="D84" i="1"/>
  <c r="E84" i="1"/>
  <c r="G84" i="1"/>
  <c r="D85" i="1"/>
  <c r="E85" i="1"/>
  <c r="D86" i="1"/>
  <c r="E86" i="1"/>
  <c r="G86" i="1"/>
  <c r="D87" i="1"/>
  <c r="E87" i="1"/>
  <c r="G87" i="1"/>
  <c r="D88" i="1"/>
  <c r="E88" i="1"/>
  <c r="G88" i="1"/>
  <c r="D89" i="1"/>
  <c r="E89" i="1"/>
  <c r="G89" i="1"/>
  <c r="D90" i="1"/>
  <c r="E90" i="1"/>
  <c r="G90" i="1"/>
  <c r="D91" i="1"/>
  <c r="E91" i="1"/>
  <c r="G91" i="1"/>
  <c r="D92" i="1"/>
  <c r="E92" i="1"/>
  <c r="G92" i="1"/>
  <c r="D93" i="1"/>
  <c r="E93" i="1"/>
  <c r="G93" i="1"/>
  <c r="D94" i="1"/>
  <c r="E94" i="1"/>
  <c r="G94" i="1"/>
  <c r="D95" i="1"/>
  <c r="E95" i="1"/>
  <c r="G95" i="1"/>
  <c r="D96" i="1"/>
  <c r="E96" i="1"/>
  <c r="G96" i="1"/>
  <c r="D97" i="1"/>
  <c r="E97" i="1"/>
  <c r="G97" i="1"/>
  <c r="D98" i="1"/>
  <c r="E98" i="1"/>
  <c r="G98" i="1"/>
  <c r="D99" i="1"/>
  <c r="E99" i="1"/>
  <c r="G99" i="1"/>
  <c r="D100" i="1"/>
  <c r="E100" i="1"/>
  <c r="G100" i="1"/>
  <c r="D101" i="1"/>
  <c r="E101" i="1"/>
  <c r="G101" i="1"/>
  <c r="D102" i="1"/>
  <c r="E102" i="1"/>
  <c r="I102" i="1"/>
  <c r="D103" i="1"/>
  <c r="E103" i="1"/>
  <c r="G103" i="1"/>
  <c r="D104" i="1"/>
  <c r="E104" i="1"/>
  <c r="I104" i="1"/>
  <c r="J104" i="1" s="1"/>
  <c r="D105" i="1"/>
  <c r="E105" i="1"/>
  <c r="G105" i="1"/>
  <c r="D106" i="1"/>
  <c r="E106" i="1"/>
  <c r="G106" i="1"/>
  <c r="D107" i="1"/>
  <c r="E107" i="1"/>
  <c r="G107" i="1"/>
  <c r="D108" i="1"/>
  <c r="E108" i="1"/>
  <c r="G108" i="1"/>
  <c r="D109" i="1"/>
  <c r="E109" i="1"/>
  <c r="G109" i="1"/>
  <c r="D110" i="1"/>
  <c r="E110" i="1"/>
  <c r="G110" i="1"/>
  <c r="D111" i="1"/>
  <c r="E111" i="1"/>
  <c r="G111" i="1"/>
  <c r="D112" i="1"/>
  <c r="E112" i="1"/>
  <c r="G112" i="1"/>
  <c r="D113" i="1"/>
  <c r="E113" i="1"/>
  <c r="G113" i="1"/>
  <c r="D114" i="1"/>
  <c r="E114" i="1"/>
  <c r="G114" i="1"/>
  <c r="D115" i="1"/>
  <c r="E115" i="1"/>
  <c r="G115" i="1"/>
  <c r="D116" i="1"/>
  <c r="E116" i="1"/>
  <c r="G116" i="1"/>
  <c r="D117" i="1"/>
  <c r="E117" i="1"/>
  <c r="G117" i="1"/>
  <c r="D118" i="1"/>
  <c r="E118" i="1"/>
  <c r="G118" i="1"/>
  <c r="D119" i="1"/>
  <c r="E119" i="1"/>
  <c r="G119" i="1"/>
  <c r="D137" i="1"/>
  <c r="E137" i="1"/>
  <c r="G137" i="1"/>
  <c r="D163" i="1"/>
  <c r="E163" i="1"/>
  <c r="G163" i="1"/>
  <c r="D164" i="1"/>
  <c r="E164" i="1"/>
  <c r="G164" i="1"/>
  <c r="D169" i="1"/>
  <c r="E169" i="1"/>
  <c r="G169" i="1"/>
  <c r="H169" i="1" s="1"/>
  <c r="I96" i="1"/>
  <c r="I92" i="1"/>
  <c r="J92" i="1" s="1"/>
  <c r="I90" i="1"/>
  <c r="I88" i="1"/>
  <c r="I86" i="1"/>
  <c r="I84" i="1"/>
  <c r="J84" i="1" s="1"/>
  <c r="I82" i="1"/>
  <c r="J82" i="1" s="1"/>
  <c r="I80" i="1"/>
  <c r="J80" i="1" s="1"/>
  <c r="I78" i="1"/>
  <c r="I76" i="1"/>
  <c r="I74" i="1"/>
  <c r="G71" i="1"/>
  <c r="I71" i="1"/>
  <c r="G69" i="1"/>
  <c r="I69" i="1"/>
  <c r="J69" i="1" s="1"/>
  <c r="G67" i="1"/>
  <c r="I67" i="1"/>
  <c r="G65" i="1"/>
  <c r="I65" i="1"/>
  <c r="G63" i="1"/>
  <c r="I63" i="1"/>
  <c r="J63" i="1" s="1"/>
  <c r="I61" i="1"/>
  <c r="J61" i="1" s="1"/>
  <c r="I59" i="1"/>
  <c r="J59" i="1" s="1"/>
  <c r="I57" i="1"/>
  <c r="J57" i="1" s="1"/>
  <c r="I55" i="1"/>
  <c r="I53" i="1"/>
  <c r="I51" i="1"/>
  <c r="I49" i="1"/>
  <c r="I47" i="1"/>
  <c r="J47" i="1" s="1"/>
  <c r="I45" i="1"/>
  <c r="J45" i="1" s="1"/>
  <c r="I43" i="1"/>
  <c r="J43" i="1" s="1"/>
  <c r="I41" i="1"/>
  <c r="J41" i="1" s="1"/>
  <c r="I39" i="1"/>
  <c r="I37" i="1"/>
  <c r="J37" i="1" s="1"/>
  <c r="I35" i="1"/>
  <c r="I33" i="1"/>
  <c r="G30" i="1"/>
  <c r="I30" i="1"/>
  <c r="G27" i="1"/>
  <c r="H27" i="1" s="1"/>
  <c r="I27" i="1"/>
  <c r="J27" i="1" s="1"/>
  <c r="I25" i="1"/>
  <c r="I23" i="1"/>
  <c r="I21" i="1"/>
  <c r="J21" i="1" s="1"/>
  <c r="I19" i="1"/>
  <c r="J19" i="1" s="1"/>
  <c r="I17" i="1"/>
  <c r="J17" i="1" s="1"/>
  <c r="I15" i="1"/>
  <c r="I13" i="1"/>
  <c r="J13" i="1" s="1"/>
  <c r="I11" i="1"/>
  <c r="J11" i="1" s="1"/>
  <c r="I9" i="1"/>
  <c r="J9" i="1" s="1"/>
  <c r="I114" i="1"/>
  <c r="J114" i="1" s="1"/>
  <c r="I116" i="1"/>
  <c r="J116" i="1" s="1"/>
  <c r="G102" i="1"/>
  <c r="I83" i="1"/>
  <c r="I87" i="1"/>
  <c r="J87" i="1" s="1"/>
  <c r="I40" i="1"/>
  <c r="J40" i="1" s="1"/>
  <c r="I16" i="1"/>
  <c r="J16" i="1" s="1"/>
  <c r="I14" i="1"/>
  <c r="I12" i="1"/>
  <c r="I10" i="1"/>
  <c r="I99" i="1"/>
  <c r="I115" i="1"/>
  <c r="I66" i="1"/>
  <c r="J66" i="1" s="1"/>
  <c r="I26" i="1"/>
  <c r="I24" i="1"/>
  <c r="J24" i="1" s="1"/>
  <c r="I103" i="1"/>
  <c r="I97" i="1"/>
  <c r="J97" i="1" s="1"/>
  <c r="I54" i="1"/>
  <c r="I50" i="1"/>
  <c r="I109" i="1"/>
  <c r="J109" i="1" s="1"/>
  <c r="I75" i="1"/>
  <c r="J75" i="1" s="1"/>
  <c r="I70" i="1"/>
  <c r="J70" i="1" s="1"/>
  <c r="I62" i="1"/>
  <c r="J62" i="1" s="1"/>
  <c r="I44" i="1"/>
  <c r="J44" i="1" s="1"/>
  <c r="I22" i="1"/>
  <c r="J22" i="1" s="1"/>
  <c r="I164" i="1"/>
  <c r="J164" i="1" s="1"/>
  <c r="I169" i="1"/>
  <c r="J169" i="1" s="1"/>
  <c r="I119" i="1"/>
  <c r="J119" i="1" s="1"/>
  <c r="I111" i="1"/>
  <c r="J111" i="1" s="1"/>
  <c r="I105" i="1"/>
  <c r="J105" i="1" s="1"/>
  <c r="I101" i="1"/>
  <c r="J101" i="1" s="1"/>
  <c r="I91" i="1"/>
  <c r="J91" i="1" s="1"/>
  <c r="I77" i="1"/>
  <c r="I56" i="1"/>
  <c r="I48" i="1"/>
  <c r="I42" i="1"/>
  <c r="J42" i="1" s="1"/>
  <c r="I36" i="1"/>
  <c r="J36" i="1" s="1"/>
  <c r="I29" i="1"/>
  <c r="J29" i="1" s="1"/>
  <c r="I110" i="1"/>
  <c r="J110" i="1" s="1"/>
  <c r="I112" i="1"/>
  <c r="I137" i="1"/>
  <c r="J137" i="1" s="1"/>
  <c r="I163" i="1"/>
  <c r="J163" i="1" s="1"/>
  <c r="I117" i="1"/>
  <c r="J117" i="1" s="1"/>
  <c r="I113" i="1"/>
  <c r="J113" i="1" s="1"/>
  <c r="I93" i="1"/>
  <c r="I58" i="1"/>
  <c r="J58" i="1" s="1"/>
  <c r="I18" i="1"/>
  <c r="J18" i="1" s="1"/>
  <c r="I32" i="1"/>
  <c r="I31" i="1"/>
  <c r="J31" i="1" s="1"/>
  <c r="I118" i="1"/>
  <c r="I107" i="1"/>
  <c r="I95" i="1"/>
  <c r="J95" i="1" s="1"/>
  <c r="I89" i="1"/>
  <c r="J89" i="1" s="1"/>
  <c r="G81" i="1"/>
  <c r="I81" i="1"/>
  <c r="J81" i="1" s="1"/>
  <c r="G85" i="1"/>
  <c r="I85" i="1"/>
  <c r="G79" i="1"/>
  <c r="H79" i="1" s="1"/>
  <c r="G73" i="1"/>
  <c r="G72" i="1"/>
  <c r="G68" i="1"/>
  <c r="G64" i="1"/>
  <c r="I60" i="1"/>
  <c r="J60" i="1" s="1"/>
  <c r="I52" i="1"/>
  <c r="J52" i="1" s="1"/>
  <c r="I46" i="1"/>
  <c r="I38" i="1"/>
  <c r="I34" i="1"/>
  <c r="I20" i="1"/>
  <c r="I94" i="1"/>
  <c r="I98" i="1"/>
  <c r="J98" i="1" s="1"/>
  <c r="I106" i="1"/>
  <c r="J106" i="1" s="1"/>
  <c r="I100" i="1"/>
  <c r="G104" i="1"/>
  <c r="I108" i="1"/>
  <c r="J108" i="1" s="1"/>
  <c r="J26" i="1" l="1"/>
  <c r="J94" i="1"/>
  <c r="J15" i="1"/>
  <c r="J30" i="1"/>
  <c r="J20" i="1"/>
  <c r="J115" i="1"/>
  <c r="J83" i="1"/>
  <c r="J71" i="1"/>
  <c r="J86" i="1"/>
  <c r="J107" i="1"/>
  <c r="J48" i="1"/>
  <c r="J99" i="1"/>
  <c r="H102" i="1"/>
  <c r="R102" i="1" s="1"/>
  <c r="J33" i="1"/>
  <c r="J49" i="1"/>
  <c r="J88" i="1"/>
  <c r="J38" i="1"/>
  <c r="J118" i="1"/>
  <c r="J56" i="1"/>
  <c r="J54" i="1"/>
  <c r="J10" i="1"/>
  <c r="J35" i="1"/>
  <c r="J65" i="1"/>
  <c r="J74" i="1"/>
  <c r="J90" i="1"/>
  <c r="J46" i="1"/>
  <c r="J85" i="1"/>
  <c r="J77" i="1"/>
  <c r="J12" i="1"/>
  <c r="J23" i="1"/>
  <c r="J53" i="1"/>
  <c r="H65" i="1"/>
  <c r="S65" i="1" s="1"/>
  <c r="J76" i="1"/>
  <c r="J100" i="1"/>
  <c r="J32" i="1"/>
  <c r="J112" i="1"/>
  <c r="J103" i="1"/>
  <c r="J14" i="1"/>
  <c r="J25" i="1"/>
  <c r="J39" i="1"/>
  <c r="J55" i="1"/>
  <c r="J67" i="1"/>
  <c r="J78" i="1"/>
  <c r="J96" i="1"/>
  <c r="J102" i="1"/>
  <c r="J34" i="1"/>
  <c r="H73" i="1"/>
  <c r="V73" i="1" s="1"/>
  <c r="J50" i="1"/>
  <c r="H63" i="1"/>
  <c r="V63" i="1" s="1"/>
  <c r="H67" i="1"/>
  <c r="V67" i="1" s="1"/>
  <c r="H71" i="1"/>
  <c r="H119" i="1"/>
  <c r="V119" i="1" s="1"/>
  <c r="H115" i="1"/>
  <c r="H111" i="1"/>
  <c r="V111" i="1" s="1"/>
  <c r="H107" i="1"/>
  <c r="V107" i="1" s="1"/>
  <c r="H103" i="1"/>
  <c r="V103" i="1" s="1"/>
  <c r="H99" i="1"/>
  <c r="H95" i="1"/>
  <c r="V95" i="1" s="1"/>
  <c r="H91" i="1"/>
  <c r="V91" i="1" s="1"/>
  <c r="H87" i="1"/>
  <c r="V87" i="1" s="1"/>
  <c r="H84" i="1"/>
  <c r="V84" i="1" s="1"/>
  <c r="H77" i="1"/>
  <c r="V77" i="1" s="1"/>
  <c r="H70" i="1"/>
  <c r="V70" i="1" s="1"/>
  <c r="H62" i="1"/>
  <c r="V62" i="1" s="1"/>
  <c r="H58" i="1"/>
  <c r="V58" i="1" s="1"/>
  <c r="H54" i="1"/>
  <c r="H50" i="1"/>
  <c r="H46" i="1"/>
  <c r="V46" i="1" s="1"/>
  <c r="H42" i="1"/>
  <c r="V42" i="1" s="1"/>
  <c r="H38" i="1"/>
  <c r="V38" i="1" s="1"/>
  <c r="H34" i="1"/>
  <c r="H23" i="1"/>
  <c r="V23" i="1" s="1"/>
  <c r="H19" i="1"/>
  <c r="V19" i="1" s="1"/>
  <c r="H15" i="1"/>
  <c r="H11" i="1"/>
  <c r="V11" i="1" s="1"/>
  <c r="H64" i="1"/>
  <c r="V64" i="1" s="1"/>
  <c r="H81" i="1"/>
  <c r="V81" i="1" s="1"/>
  <c r="J51" i="1"/>
  <c r="H137" i="1"/>
  <c r="V137" i="1" s="1"/>
  <c r="H116" i="1"/>
  <c r="V116" i="1" s="1"/>
  <c r="H112" i="1"/>
  <c r="H108" i="1"/>
  <c r="V108" i="1" s="1"/>
  <c r="H100" i="1"/>
  <c r="V100" i="1" s="1"/>
  <c r="V96" i="1"/>
  <c r="H92" i="1"/>
  <c r="V92" i="1" s="1"/>
  <c r="H88" i="1"/>
  <c r="H78" i="1"/>
  <c r="V78" i="1" s="1"/>
  <c r="H74" i="1"/>
  <c r="V74" i="1" s="1"/>
  <c r="H59" i="1"/>
  <c r="V59" i="1" s="1"/>
  <c r="H55" i="1"/>
  <c r="V55" i="1" s="1"/>
  <c r="H51" i="1"/>
  <c r="H47" i="1"/>
  <c r="V47" i="1" s="1"/>
  <c r="H43" i="1"/>
  <c r="V43" i="1" s="1"/>
  <c r="H39" i="1"/>
  <c r="H35" i="1"/>
  <c r="V35" i="1" s="1"/>
  <c r="H31" i="1"/>
  <c r="V31" i="1" s="1"/>
  <c r="H24" i="1"/>
  <c r="V24" i="1" s="1"/>
  <c r="H20" i="1"/>
  <c r="H16" i="1"/>
  <c r="V16" i="1" s="1"/>
  <c r="H12" i="1"/>
  <c r="H104" i="1"/>
  <c r="V104" i="1" s="1"/>
  <c r="H68" i="1"/>
  <c r="V68" i="1" s="1"/>
  <c r="J93" i="1"/>
  <c r="H69" i="1"/>
  <c r="V69" i="1" s="1"/>
  <c r="H163" i="1"/>
  <c r="V163" i="1" s="1"/>
  <c r="H117" i="1"/>
  <c r="V117" i="1" s="1"/>
  <c r="H113" i="1"/>
  <c r="V113" i="1" s="1"/>
  <c r="H109" i="1"/>
  <c r="V109" i="1" s="1"/>
  <c r="H105" i="1"/>
  <c r="V105" i="1" s="1"/>
  <c r="H101" i="1"/>
  <c r="V101" i="1" s="1"/>
  <c r="H97" i="1"/>
  <c r="S97" i="1" s="1"/>
  <c r="H93" i="1"/>
  <c r="V93" i="1" s="1"/>
  <c r="H89" i="1"/>
  <c r="V89" i="1" s="1"/>
  <c r="H82" i="1"/>
  <c r="V82" i="1" s="1"/>
  <c r="H75" i="1"/>
  <c r="V75" i="1" s="1"/>
  <c r="H66" i="1"/>
  <c r="V66" i="1" s="1"/>
  <c r="H60" i="1"/>
  <c r="H56" i="1"/>
  <c r="V56" i="1" s="1"/>
  <c r="H52" i="1"/>
  <c r="V52" i="1" s="1"/>
  <c r="H48" i="1"/>
  <c r="R48" i="1" s="1"/>
  <c r="H44" i="1"/>
  <c r="V44" i="1" s="1"/>
  <c r="H40" i="1"/>
  <c r="R40" i="1" s="1"/>
  <c r="H36" i="1"/>
  <c r="V36" i="1" s="1"/>
  <c r="H32" i="1"/>
  <c r="V32" i="1" s="1"/>
  <c r="H29" i="1"/>
  <c r="V29" i="1" s="1"/>
  <c r="H25" i="1"/>
  <c r="H21" i="1"/>
  <c r="V21" i="1" s="1"/>
  <c r="H17" i="1"/>
  <c r="S17" i="1" s="1"/>
  <c r="H13" i="1"/>
  <c r="R13" i="1" s="1"/>
  <c r="H72" i="1"/>
  <c r="S72" i="1" s="1"/>
  <c r="H85" i="1"/>
  <c r="R85" i="1" s="1"/>
  <c r="H30" i="1"/>
  <c r="V30" i="1" s="1"/>
  <c r="H164" i="1"/>
  <c r="S164" i="1" s="1"/>
  <c r="H118" i="1"/>
  <c r="R118" i="1" s="1"/>
  <c r="H114" i="1"/>
  <c r="R114" i="1" s="1"/>
  <c r="H110" i="1"/>
  <c r="R110" i="1" s="1"/>
  <c r="H106" i="1"/>
  <c r="H98" i="1"/>
  <c r="S98" i="1" s="1"/>
  <c r="H94" i="1"/>
  <c r="H90" i="1"/>
  <c r="R90" i="1" s="1"/>
  <c r="H86" i="1"/>
  <c r="R86" i="1" s="1"/>
  <c r="H83" i="1"/>
  <c r="H80" i="1"/>
  <c r="H76" i="1"/>
  <c r="R76" i="1" s="1"/>
  <c r="H61" i="1"/>
  <c r="V61" i="1" s="1"/>
  <c r="H57" i="1"/>
  <c r="R57" i="1" s="1"/>
  <c r="H53" i="1"/>
  <c r="H49" i="1"/>
  <c r="H45" i="1"/>
  <c r="R45" i="1" s="1"/>
  <c r="H41" i="1"/>
  <c r="R41" i="1" s="1"/>
  <c r="H37" i="1"/>
  <c r="V37" i="1" s="1"/>
  <c r="H33" i="1"/>
  <c r="R33" i="1" s="1"/>
  <c r="H26" i="1"/>
  <c r="S26" i="1" s="1"/>
  <c r="H22" i="1"/>
  <c r="V22" i="1" s="1"/>
  <c r="H18" i="1"/>
  <c r="R18" i="1" s="1"/>
  <c r="H14" i="1"/>
  <c r="H10" i="1"/>
  <c r="R77" i="1"/>
  <c r="V166" i="1"/>
  <c r="S166" i="1"/>
  <c r="R166" i="1"/>
  <c r="R79" i="1"/>
  <c r="V79" i="1"/>
  <c r="R27" i="1"/>
  <c r="V27" i="1"/>
  <c r="V9" i="1"/>
  <c r="R9" i="1"/>
  <c r="S9" i="1"/>
  <c r="S27" i="1"/>
  <c r="S79" i="1"/>
  <c r="R65" i="1"/>
  <c r="R83" i="1" l="1"/>
  <c r="S25" i="1"/>
  <c r="V39" i="1"/>
  <c r="V88" i="1"/>
  <c r="V115" i="1"/>
  <c r="V102" i="1"/>
  <c r="R14" i="1"/>
  <c r="R49" i="1"/>
  <c r="V12" i="1"/>
  <c r="S102" i="1"/>
  <c r="R53" i="1"/>
  <c r="V71" i="1"/>
  <c r="V65" i="1"/>
  <c r="V20" i="1"/>
  <c r="V15" i="1"/>
  <c r="V54" i="1"/>
  <c r="V112" i="1"/>
  <c r="V99" i="1"/>
  <c r="S82" i="1"/>
  <c r="R88" i="1"/>
  <c r="S34" i="1"/>
  <c r="R119" i="1"/>
  <c r="R23" i="1"/>
  <c r="S23" i="1"/>
  <c r="R67" i="1"/>
  <c r="S96" i="1"/>
  <c r="R116" i="1"/>
  <c r="S21" i="1"/>
  <c r="S111" i="1"/>
  <c r="R55" i="1"/>
  <c r="S95" i="1"/>
  <c r="S29" i="1"/>
  <c r="R59" i="1"/>
  <c r="S81" i="1"/>
  <c r="R42" i="1"/>
  <c r="R44" i="1"/>
  <c r="R43" i="1"/>
  <c r="R105" i="1"/>
  <c r="S84" i="1"/>
  <c r="S58" i="1"/>
  <c r="S115" i="1"/>
  <c r="R34" i="1"/>
  <c r="S16" i="1"/>
  <c r="S107" i="1"/>
  <c r="S20" i="1"/>
  <c r="R68" i="1"/>
  <c r="S113" i="1"/>
  <c r="S67" i="1"/>
  <c r="S77" i="1"/>
  <c r="R20" i="1"/>
  <c r="R81" i="1"/>
  <c r="S88" i="1"/>
  <c r="S78" i="1"/>
  <c r="S22" i="1"/>
  <c r="S54" i="1"/>
  <c r="R108" i="1"/>
  <c r="R115" i="1"/>
  <c r="R61" i="1"/>
  <c r="S59" i="1"/>
  <c r="S105" i="1"/>
  <c r="S104" i="1"/>
  <c r="S89" i="1"/>
  <c r="S44" i="1"/>
  <c r="R50" i="1"/>
  <c r="S19" i="1"/>
  <c r="R104" i="1"/>
  <c r="S63" i="1"/>
  <c r="S112" i="1"/>
  <c r="S61" i="1"/>
  <c r="R92" i="1"/>
  <c r="R58" i="1"/>
  <c r="R112" i="1"/>
  <c r="R29" i="1"/>
  <c r="S92" i="1"/>
  <c r="R19" i="1"/>
  <c r="S43" i="1"/>
  <c r="R63" i="1"/>
  <c r="R84" i="1"/>
  <c r="S42" i="1"/>
  <c r="R99" i="1"/>
  <c r="S99" i="1"/>
  <c r="R163" i="1"/>
  <c r="R103" i="1"/>
  <c r="R64" i="1"/>
  <c r="R87" i="1"/>
  <c r="R107" i="1"/>
  <c r="R69" i="1"/>
  <c r="R70" i="1"/>
  <c r="R117" i="1"/>
  <c r="R95" i="1"/>
  <c r="S68" i="1"/>
  <c r="S70" i="1"/>
  <c r="S108" i="1"/>
  <c r="S38" i="1"/>
  <c r="S35" i="1"/>
  <c r="R56" i="1"/>
  <c r="S137" i="1"/>
  <c r="R101" i="1"/>
  <c r="S119" i="1"/>
  <c r="R37" i="1"/>
  <c r="S31" i="1"/>
  <c r="R30" i="1"/>
  <c r="S87" i="1"/>
  <c r="S69" i="1"/>
  <c r="S64" i="1"/>
  <c r="R96" i="1"/>
  <c r="S32" i="1"/>
  <c r="S62" i="1"/>
  <c r="R62" i="1"/>
  <c r="R12" i="1"/>
  <c r="S50" i="1"/>
  <c r="R11" i="1"/>
  <c r="R93" i="1"/>
  <c r="R71" i="1"/>
  <c r="S73" i="1"/>
  <c r="R97" i="1"/>
  <c r="R109" i="1"/>
  <c r="S52" i="1"/>
  <c r="R91" i="1"/>
  <c r="R32" i="1"/>
  <c r="S74" i="1"/>
  <c r="S75" i="1"/>
  <c r="S46" i="1"/>
  <c r="S36" i="1"/>
  <c r="S37" i="1"/>
  <c r="R66" i="1"/>
  <c r="R100" i="1"/>
  <c r="S91" i="1"/>
  <c r="S30" i="1"/>
  <c r="S47" i="1"/>
  <c r="R46" i="1"/>
  <c r="S11" i="1"/>
  <c r="S103" i="1"/>
  <c r="S71" i="1"/>
  <c r="R73" i="1"/>
  <c r="S100" i="1"/>
  <c r="S109" i="1"/>
  <c r="R82" i="1"/>
  <c r="R52" i="1"/>
  <c r="R47" i="1"/>
  <c r="R16" i="1"/>
  <c r="R21" i="1"/>
  <c r="R74" i="1"/>
  <c r="R38" i="1"/>
  <c r="R78" i="1"/>
  <c r="S116" i="1"/>
  <c r="R35" i="1"/>
  <c r="R111" i="1"/>
  <c r="R137" i="1"/>
  <c r="R36" i="1"/>
  <c r="R15" i="1"/>
  <c r="R54" i="1"/>
  <c r="R113" i="1"/>
  <c r="S12" i="1"/>
  <c r="R22" i="1"/>
  <c r="S51" i="1"/>
  <c r="V10" i="1"/>
  <c r="R10" i="1"/>
  <c r="S10" i="1"/>
  <c r="R26" i="1"/>
  <c r="V26" i="1"/>
  <c r="S45" i="1"/>
  <c r="V45" i="1"/>
  <c r="S86" i="1"/>
  <c r="V86" i="1"/>
  <c r="R106" i="1"/>
  <c r="V106" i="1"/>
  <c r="S106" i="1"/>
  <c r="R164" i="1"/>
  <c r="V164" i="1"/>
  <c r="V13" i="1"/>
  <c r="S13" i="1"/>
  <c r="S60" i="1"/>
  <c r="V60" i="1"/>
  <c r="R60" i="1"/>
  <c r="V14" i="1"/>
  <c r="S14" i="1"/>
  <c r="V33" i="1"/>
  <c r="S33" i="1"/>
  <c r="V49" i="1"/>
  <c r="S49" i="1"/>
  <c r="V76" i="1"/>
  <c r="S76" i="1"/>
  <c r="V90" i="1"/>
  <c r="S90" i="1"/>
  <c r="V110" i="1"/>
  <c r="S110" i="1"/>
  <c r="V17" i="1"/>
  <c r="R17" i="1"/>
  <c r="V48" i="1"/>
  <c r="S48" i="1"/>
  <c r="V18" i="1"/>
  <c r="S18" i="1"/>
  <c r="S53" i="1"/>
  <c r="V53" i="1"/>
  <c r="R80" i="1"/>
  <c r="V80" i="1"/>
  <c r="S80" i="1"/>
  <c r="S94" i="1"/>
  <c r="R94" i="1"/>
  <c r="V94" i="1"/>
  <c r="V114" i="1"/>
  <c r="S114" i="1"/>
  <c r="S85" i="1"/>
  <c r="V85" i="1"/>
  <c r="V41" i="1"/>
  <c r="S41" i="1"/>
  <c r="V57" i="1"/>
  <c r="S57" i="1"/>
  <c r="V83" i="1"/>
  <c r="S83" i="1"/>
  <c r="V98" i="1"/>
  <c r="R98" i="1"/>
  <c r="V118" i="1"/>
  <c r="S118" i="1"/>
  <c r="V72" i="1"/>
  <c r="R72" i="1"/>
  <c r="V25" i="1"/>
  <c r="R25" i="1"/>
  <c r="V40" i="1"/>
  <c r="S40" i="1"/>
  <c r="R75" i="1"/>
  <c r="R89" i="1"/>
  <c r="S101" i="1"/>
  <c r="R24" i="1"/>
  <c r="S163" i="1"/>
  <c r="S24" i="1"/>
  <c r="S39" i="1"/>
  <c r="V97" i="1"/>
  <c r="S93" i="1"/>
  <c r="V51" i="1"/>
  <c r="V34" i="1"/>
  <c r="V50" i="1"/>
  <c r="S56" i="1"/>
  <c r="S117" i="1"/>
  <c r="R51" i="1"/>
  <c r="S66" i="1"/>
  <c r="R39" i="1"/>
  <c r="R31" i="1"/>
  <c r="S55" i="1"/>
  <c r="S15" i="1"/>
  <c r="V167" i="1" l="1"/>
  <c r="V168" i="1" s="1"/>
  <c r="G2" i="4" l="1"/>
  <c r="G5" i="4" s="1"/>
  <c r="G4" i="1"/>
</calcChain>
</file>

<file path=xl/comments1.xml><?xml version="1.0" encoding="utf-8"?>
<comments xmlns="http://schemas.openxmlformats.org/spreadsheetml/2006/main">
  <authors>
    <author>PGJ1</author>
    <author>Peter Johnson</author>
  </authors>
  <commentList>
    <comment ref="C40" authorId="0">
      <text>
        <r>
          <rPr>
            <b/>
            <sz val="8"/>
            <color indexed="81"/>
            <rFont val="Tahoma"/>
            <family val="2"/>
          </rPr>
          <t>PGJ1:</t>
        </r>
        <r>
          <rPr>
            <sz val="8"/>
            <color indexed="81"/>
            <rFont val="Tahoma"/>
            <family val="2"/>
          </rPr>
          <t xml:space="preserve">
If HP Grant is NONE and PSE is AT, min is 0
Otherwise min is 1
</t>
        </r>
      </text>
    </comment>
    <comment ref="D40" authorId="0">
      <text>
        <r>
          <rPr>
            <b/>
            <sz val="8"/>
            <color indexed="81"/>
            <rFont val="Tahoma"/>
            <family val="2"/>
          </rPr>
          <t>PGJ1:</t>
        </r>
        <r>
          <rPr>
            <sz val="8"/>
            <color indexed="81"/>
            <rFont val="Tahoma"/>
            <family val="2"/>
          </rPr>
          <t xml:space="preserve">
If HP Grant is PHY or PHY+LLDP and PSE is AT, max is 2
Otherwise max is 1</t>
        </r>
      </text>
    </comment>
    <comment ref="C41" authorId="0">
      <text>
        <r>
          <rPr>
            <b/>
            <sz val="8"/>
            <color indexed="81"/>
            <rFont val="Tahoma"/>
            <family val="2"/>
          </rPr>
          <t>PGJ1:</t>
        </r>
        <r>
          <rPr>
            <sz val="8"/>
            <color indexed="81"/>
            <rFont val="Tahoma"/>
            <family val="2"/>
          </rPr>
          <t xml:space="preserve">
If HP Grant is NONE and PSE is AT, min is 0
If HP Grant is NONE and PSE is BT, min is 1
If HP Grant is PHY or PHY+LLDP, min is 2
Otherwise min is 1 (HP Grant is LLDP)
</t>
        </r>
      </text>
    </comment>
    <comment ref="D41" authorId="0">
      <text>
        <r>
          <rPr>
            <b/>
            <sz val="8"/>
            <color indexed="81"/>
            <rFont val="Tahoma"/>
            <family val="2"/>
          </rPr>
          <t>PGJ1:</t>
        </r>
        <r>
          <rPr>
            <sz val="8"/>
            <color indexed="81"/>
            <rFont val="Tahoma"/>
            <family val="2"/>
          </rPr>
          <t xml:space="preserve">
If HP Grant is NONE, max is 1
If HP Grant is LLDP, max is 1
If HP Grant is PHY or PHY+LLDP and PSE is AT, max is 2
If HP Grant is PHY or PHY+LLDP and PSE is BT, max is 3</t>
        </r>
      </text>
    </comment>
    <comment ref="K42" authorId="0">
      <text>
        <r>
          <rPr>
            <b/>
            <sz val="8"/>
            <color indexed="81"/>
            <rFont val="Tahoma"/>
            <family val="2"/>
          </rPr>
          <t>PGJ1:</t>
        </r>
        <r>
          <rPr>
            <sz val="8"/>
            <color indexed="81"/>
            <rFont val="Tahoma"/>
            <family val="2"/>
          </rPr>
          <t xml:space="preserve">
Allow 0.4 msec for measurement uncertainty</t>
        </r>
      </text>
    </comment>
    <comment ref="M42" authorId="0">
      <text>
        <r>
          <rPr>
            <b/>
            <sz val="8"/>
            <color indexed="81"/>
            <rFont val="Tahoma"/>
            <family val="2"/>
          </rPr>
          <t>PGJ1:</t>
        </r>
        <r>
          <rPr>
            <sz val="8"/>
            <color indexed="81"/>
            <rFont val="Tahoma"/>
            <family val="2"/>
          </rPr>
          <t xml:space="preserve">
Allow 0.4 msec for measurement uncertainty</t>
        </r>
      </text>
    </comment>
    <comment ref="K44" authorId="0">
      <text>
        <r>
          <rPr>
            <b/>
            <sz val="8"/>
            <color indexed="81"/>
            <rFont val="Tahoma"/>
            <family val="2"/>
          </rPr>
          <t>PGJ1:</t>
        </r>
        <r>
          <rPr>
            <sz val="8"/>
            <color indexed="81"/>
            <rFont val="Tahoma"/>
            <family val="2"/>
          </rPr>
          <t xml:space="preserve">
Allow 0.4 msec for measurement uncertainty</t>
        </r>
      </text>
    </comment>
    <comment ref="M44" authorId="0">
      <text>
        <r>
          <rPr>
            <b/>
            <sz val="8"/>
            <color indexed="81"/>
            <rFont val="Tahoma"/>
            <family val="2"/>
          </rPr>
          <t>PGJ1:</t>
        </r>
        <r>
          <rPr>
            <sz val="8"/>
            <color indexed="81"/>
            <rFont val="Tahoma"/>
            <family val="2"/>
          </rPr>
          <t xml:space="preserve">
Allow 0.4 msec for measurement uncertainty</t>
        </r>
      </text>
    </comment>
    <comment ref="C45" authorId="0">
      <text>
        <r>
          <rPr>
            <b/>
            <sz val="8"/>
            <color indexed="81"/>
            <rFont val="Tahoma"/>
            <family val="2"/>
          </rPr>
          <t>PGJ1:</t>
        </r>
        <r>
          <rPr>
            <sz val="8"/>
            <color indexed="81"/>
            <rFont val="Tahoma"/>
            <family val="2"/>
          </rPr>
          <t xml:space="preserve">
Allow 0.4 msec for measurement uncertainty</t>
        </r>
      </text>
    </comment>
    <comment ref="D45" authorId="0">
      <text>
        <r>
          <rPr>
            <b/>
            <sz val="8"/>
            <color indexed="81"/>
            <rFont val="Tahoma"/>
            <family val="2"/>
          </rPr>
          <t>PGJ1:</t>
        </r>
        <r>
          <rPr>
            <sz val="8"/>
            <color indexed="81"/>
            <rFont val="Tahoma"/>
            <family val="2"/>
          </rPr>
          <t xml:space="preserve">
Allow 0.4 msec for measurement uncertainty</t>
        </r>
      </text>
    </comment>
    <comment ref="C46" authorId="0">
      <text>
        <r>
          <rPr>
            <b/>
            <sz val="8"/>
            <color indexed="81"/>
            <rFont val="Tahoma"/>
            <family val="2"/>
          </rPr>
          <t>PGJ1:</t>
        </r>
        <r>
          <rPr>
            <sz val="8"/>
            <color indexed="81"/>
            <rFont val="Tahoma"/>
            <family val="2"/>
          </rPr>
          <t xml:space="preserve">
Allow 0.4 msec for measurement uncertainty</t>
        </r>
      </text>
    </comment>
    <comment ref="D46" authorId="0">
      <text>
        <r>
          <rPr>
            <b/>
            <sz val="8"/>
            <color indexed="81"/>
            <rFont val="Tahoma"/>
            <family val="2"/>
          </rPr>
          <t>PGJ1:</t>
        </r>
        <r>
          <rPr>
            <sz val="8"/>
            <color indexed="81"/>
            <rFont val="Tahoma"/>
            <family val="2"/>
          </rPr>
          <t xml:space="preserve">
Allow 0.4 msec for measurement uncertainty</t>
        </r>
      </text>
    </comment>
    <comment ref="C47" authorId="0">
      <text>
        <r>
          <rPr>
            <b/>
            <sz val="8"/>
            <color indexed="81"/>
            <rFont val="Tahoma"/>
            <family val="2"/>
          </rPr>
          <t>PGJ1:</t>
        </r>
        <r>
          <rPr>
            <sz val="8"/>
            <color indexed="81"/>
            <rFont val="Tahoma"/>
            <family val="2"/>
          </rPr>
          <t xml:space="preserve">
Allow 0.4 msec for measurement uncertainty</t>
        </r>
      </text>
    </comment>
    <comment ref="D47" authorId="1">
      <text>
        <r>
          <rPr>
            <b/>
            <sz val="10"/>
            <color indexed="81"/>
            <rFont val="Tahoma"/>
            <family val="2"/>
          </rPr>
          <t>Peter Johnson:</t>
        </r>
        <r>
          <rPr>
            <sz val="10"/>
            <color indexed="81"/>
            <rFont val="Tahoma"/>
            <family val="2"/>
          </rPr>
          <t xml:space="preserve">
=Tpon_Max - 4*6msec</t>
        </r>
      </text>
    </comment>
    <comment ref="C102" authorId="0">
      <text>
        <r>
          <rPr>
            <sz val="8"/>
            <color indexed="81"/>
            <rFont val="Tahoma"/>
            <family val="2"/>
          </rPr>
          <t>Assumes PSE with max 57 Volt output at full load. Use Icon_% for PSE Power Conformance.</t>
        </r>
      </text>
    </comment>
    <comment ref="C103" authorId="1">
      <text>
        <r>
          <rPr>
            <sz val="9"/>
            <color indexed="81"/>
            <rFont val="Tahoma"/>
            <family val="2"/>
          </rPr>
          <t>% Iport(capacity) / Icon(0)</t>
        </r>
      </text>
    </comment>
    <comment ref="C104" authorId="0">
      <text>
        <r>
          <rPr>
            <sz val="8"/>
            <color indexed="81"/>
            <rFont val="Tahoma"/>
            <family val="2"/>
          </rPr>
          <t>Assumes PSE with max 57 Volt output at full load. Use Icon_% for PSE Power Conformance.</t>
        </r>
      </text>
    </comment>
    <comment ref="C105" authorId="1">
      <text>
        <r>
          <rPr>
            <sz val="9"/>
            <color indexed="81"/>
            <rFont val="Tahoma"/>
            <family val="2"/>
          </rPr>
          <t>% Iport(capacity) / Icon(0)</t>
        </r>
      </text>
    </comment>
    <comment ref="C106" authorId="0">
      <text>
        <r>
          <rPr>
            <sz val="8"/>
            <color indexed="81"/>
            <rFont val="Tahoma"/>
            <family val="2"/>
          </rPr>
          <t>Assumes PSE with max 57 Volt output at full load. Use Icon_% for PSE Power Conformance.</t>
        </r>
      </text>
    </comment>
    <comment ref="C107" authorId="1">
      <text>
        <r>
          <rPr>
            <sz val="9"/>
            <color indexed="81"/>
            <rFont val="Tahoma"/>
            <family val="2"/>
          </rPr>
          <t>% Iport(capacity) / Icon(0)</t>
        </r>
      </text>
    </comment>
    <comment ref="C108" authorId="0">
      <text>
        <r>
          <rPr>
            <sz val="8"/>
            <color indexed="81"/>
            <rFont val="Tahoma"/>
            <family val="2"/>
          </rPr>
          <t>Assumes PSE with max 57 Volt output at full load. Use Icon_% for PSE Power Conformance.</t>
        </r>
      </text>
    </comment>
    <comment ref="C109" authorId="1">
      <text>
        <r>
          <rPr>
            <sz val="9"/>
            <color indexed="81"/>
            <rFont val="Tahoma"/>
            <family val="2"/>
          </rPr>
          <t>% Iport(capacity) / Icon(0)</t>
        </r>
      </text>
    </comment>
    <comment ref="C110" authorId="0">
      <text>
        <r>
          <rPr>
            <sz val="8"/>
            <color indexed="81"/>
            <rFont val="Tahoma"/>
            <family val="2"/>
          </rPr>
          <t>Assumes PSE with max 57 Volt output at full load. Use Icon_% for PSE Power Conformance.</t>
        </r>
      </text>
    </comment>
    <comment ref="C111" authorId="1">
      <text>
        <r>
          <rPr>
            <sz val="9"/>
            <color indexed="81"/>
            <rFont val="Tahoma"/>
            <family val="2"/>
          </rPr>
          <t>% Iport(capacity) / Icon(0)</t>
        </r>
      </text>
    </comment>
  </commentList>
</comments>
</file>

<file path=xl/sharedStrings.xml><?xml version="1.0" encoding="utf-8"?>
<sst xmlns="http://schemas.openxmlformats.org/spreadsheetml/2006/main" count="1365" uniqueCount="696">
  <si>
    <t>Peak Current Flow During Detection Below 2.8 Volts</t>
  </si>
  <si>
    <t>Maximum Valid Detection Signature Resistance</t>
  </si>
  <si>
    <t>Minimum Valid Detection Signature Resistance</t>
  </si>
  <si>
    <t>Maximum Valid Detection Signature Capacitance</t>
  </si>
  <si>
    <t>Backoff Time Between Detection Pulses</t>
  </si>
  <si>
    <t>Total Duration of Detection Pulse</t>
  </si>
  <si>
    <t>Classification Time Duration</t>
  </si>
  <si>
    <t>Rise Time of Power-Up Edge</t>
  </si>
  <si>
    <t>Time Duration from End of Detection Until Power-Up</t>
  </si>
  <si>
    <t>Time Duration from PD Disconnect Until Power-Down Initiated (AC MPS)</t>
  </si>
  <si>
    <t>DC Load Current Required To Enable AC MPS Power-Down</t>
  </si>
  <si>
    <t>Pk-Pk AC Voltage Following PD Disconnect</t>
  </si>
  <si>
    <t>AC MPS Signal Frequency</t>
  </si>
  <si>
    <t>Peak AC MPS Signal Slew Rate</t>
  </si>
  <si>
    <t>Approximate Current Compliance (Limit) Associated with AC MPS Signal</t>
  </si>
  <si>
    <t>Peak Absolute Voltage Measured Following PD Disconnect</t>
  </si>
  <si>
    <t>Peak Port Voltage Measured Following PSE Shut-Down</t>
  </si>
  <si>
    <t>Time Duration from PD Disconnect Until Power-Down Initiated (DC MPS)</t>
  </si>
  <si>
    <t>Low Current Threshold Required to Force PSE Shut-Down</t>
  </si>
  <si>
    <t>Turn-Off Time  (Assuming Effective 320 Kohm PD Load)</t>
  </si>
  <si>
    <t>Effective PSE Port Output Capacitance During Power-Down</t>
  </si>
  <si>
    <t>Average IDLE State Voltage Following Power-Down</t>
  </si>
  <si>
    <t xml:space="preserve">             Inrush_Voltage=</t>
  </si>
  <si>
    <t xml:space="preserve">             Duty_Cycle_tol=</t>
  </si>
  <si>
    <t xml:space="preserve">           Min_Valid_I_hold=</t>
  </si>
  <si>
    <t>Rp approximates PSE resistive discharge load during PSE port power-down.  It is very possible, but not certain, that this could equate to Rrev which is specified to be &gt; 45Kohm.  The measurement is accurate to approximately 3 Kohms.</t>
  </si>
  <si>
    <t>Cout measurement is accurate to approximately .1 uF.</t>
  </si>
  <si>
    <t>Eff_Backoff_Tdbo_eff=</t>
  </si>
  <si>
    <t xml:space="preserve">       Eff_Backoff_Tdbo_eff=</t>
  </si>
  <si>
    <t xml:space="preserve">             AC_MPS_V_open%=</t>
  </si>
  <si>
    <t>%Vport</t>
  </si>
  <si>
    <t>Effective Backoff Time Following Invalid Signature Measurement - measures time from invalid detection until valid detection producing a power-up.</t>
  </si>
  <si>
    <t>Upper limit is 450 mA.  Lower limit of 0 since this parameter is only compared to an upper limit.</t>
  </si>
  <si>
    <t>Average Output Voltage from 5 to 45 msec During 400 mA In-Rush Load.   In the event of power foldback, Vinrush is measured over a 5 msec period coincident with 65mA load immediately following the current limiting overload removal.  Minimum voltage allowed is 10V.</t>
  </si>
  <si>
    <t>Time from onset of inrush current-limiting overload until port shut-down by the PSE.</t>
  </si>
  <si>
    <t>Minimum In-Rush Load Current Supported During First 45 msec.</t>
  </si>
  <si>
    <t>Weight</t>
  </si>
  <si>
    <t>Info Low</t>
  </si>
  <si>
    <t>Info High</t>
  </si>
  <si>
    <t>Interop</t>
  </si>
  <si>
    <t>Score</t>
  </si>
  <si>
    <t>Port Count………………………………</t>
  </si>
  <si>
    <t>Loop Count……………………………..</t>
  </si>
  <si>
    <t>If dVtest step size measures under 1 Volt, then it may be that the PSE is using alternate steps to make the resistance measurement.   If "Info" appears with this parameter, then Good_Sig_Det_Pulse must be 2 or more steps, or this is a "FAIL".</t>
  </si>
  <si>
    <t>Intop Wt.</t>
  </si>
  <si>
    <t>Most PD's are insensitive to this parameter</t>
  </si>
  <si>
    <t>Parameter has no impact to PD's</t>
  </si>
  <si>
    <t>Deduct</t>
  </si>
  <si>
    <t>Interoperability Test Items</t>
  </si>
  <si>
    <t>Points</t>
  </si>
  <si>
    <t xml:space="preserve">Sifos PSE Interop Index*:  </t>
  </si>
  <si>
    <t>Sifos PSE Interop Index Defined</t>
  </si>
  <si>
    <r>
      <t xml:space="preserve">With ALT B PSE's, strict requirement is minimum 2 seconds.  With ALT A PSE's, IEEE recommended requirement is that a second detection cycle </t>
    </r>
    <r>
      <rPr>
        <i/>
        <u/>
        <sz val="10"/>
        <rFont val="Arial"/>
        <family val="2"/>
      </rPr>
      <t>complete</t>
    </r>
    <r>
      <rPr>
        <i/>
        <sz val="10"/>
        <rFont val="Arial"/>
        <family val="2"/>
      </rPr>
      <t xml:space="preserve"> within 2 seconds of the first detection cycle completing, however this is not a strict requirement.  Report will "Info" ALT A PSE's with longer than 1.5 second backoff, allowing 500msec for detection time.</t>
    </r>
  </si>
  <si>
    <t>PSE Conformance Test parameters are individually weighted with values of 5, 3, 1, or 0 depending upon impact to PD interoperation.   Many Conformance Test parameters have no impact on PD Interoperation meaning those parameters will not affect the Interop Index.  Conversely, parameters such as port power capacity, output voltage, and signaling levels all weigh heavily into the Interop Index.  The weightings by parameter are included with the Limits section of this document.</t>
  </si>
  <si>
    <r>
      <t xml:space="preserve">Inrush Current must be above 400mA if Vport </t>
    </r>
    <r>
      <rPr>
        <i/>
        <u/>
        <sz val="10"/>
        <rFont val="Arial"/>
        <family val="2"/>
      </rPr>
      <t>&gt;</t>
    </r>
    <r>
      <rPr>
        <i/>
        <sz val="10"/>
        <rFont val="Arial"/>
        <family val="2"/>
      </rPr>
      <t>30V and above 60 mA if Inrush Voltage is measured between 10 and 30 volts.   PSA active load in saturation is 62 ohm, so Vport will likely be between 20 and 30 VDC.</t>
    </r>
  </si>
  <si>
    <t>Verify that Class 4 Power is available 80 msec following a PHY (or 2-Event) power grant.  1= "AVAILABLE", 0= "NOT AVAILABLE"</t>
  </si>
  <si>
    <t>Only tested given 30W PSE's.  PSE must make 30W available within 80 msec of power-up if 30W Grant is "PHY" and should not allow 30W power within 80msec if 30W Grant is "LLDP".</t>
  </si>
  <si>
    <t>Measured from the final complete detection prior to the power-up event.</t>
  </si>
  <si>
    <t>Measured over exactly one cycle of detection.</t>
  </si>
  <si>
    <t>Pk-Pk AC Voltage reported as a % of Vport</t>
  </si>
  <si>
    <t>Error Log:</t>
  </si>
  <si>
    <t xml:space="preserve">            Detect_Strategy=</t>
  </si>
  <si>
    <t>****</t>
  </si>
  <si>
    <t xml:space="preserve">            Non_802_Discr_?=</t>
  </si>
  <si>
    <t>Backoff_Type=</t>
  </si>
  <si>
    <t xml:space="preserve">               Backoff_Type=</t>
  </si>
  <si>
    <t>Number of Valid Detection Transitions (i.e. between valid step levels)</t>
  </si>
  <si>
    <t>Non_802_Discr_?=</t>
  </si>
  <si>
    <t>Detect_Strategy=</t>
  </si>
  <si>
    <t>Type 2:  Zero-Backoff Type PSE Port Determined</t>
  </si>
  <si>
    <t>Type 3:  Open Circuit Signaling Includes 50V Legacy Detection Pulses</t>
  </si>
  <si>
    <t xml:space="preserve">               Event1_Tcle1=</t>
  </si>
  <si>
    <t xml:space="preserve">               Event2_Tcle2=</t>
  </si>
  <si>
    <t xml:space="preserve">                  Mark_Tme1=</t>
  </si>
  <si>
    <t xml:space="preserve">                  Mark_Tme2=</t>
  </si>
  <si>
    <t xml:space="preserve">         Mark_Voltage_Vmark=</t>
  </si>
  <si>
    <t>Average Classification Step Voltage Level</t>
  </si>
  <si>
    <t>Average Mark Region Voltage Level for 2-Event, Type 2 PSE's only</t>
  </si>
  <si>
    <t>Duration of first Class Event (or Pulse) for Type 2, 2-Event PSE</t>
  </si>
  <si>
    <t>Duration of second Class Event (or Pulse) for Type 2, 2-Event PSE</t>
  </si>
  <si>
    <t>Duration of first Mark Event (or Pulse) for Type 2, 2-Event PSE</t>
  </si>
  <si>
    <t>Duration of second Mark Event (or Pulse) for Type 2, 2-Event PSE</t>
  </si>
  <si>
    <t>This measurement is not tested to a PASS/FAIL limit because the present PSA Test Blade will not furnish the required Mark Region current to discharge the PSE port following each PSE classification measurement.</t>
  </si>
  <si>
    <t>PSE ALT TYPE Dependence</t>
  </si>
  <si>
    <t xml:space="preserve">Type 1:  Proprietary Pre-Detection Observed with Open Circuit          </t>
  </si>
  <si>
    <t>Type 5:  Zero-Backoff Type PSE Determined - Open Circuit Voltage outside PD Detection Voltage Band</t>
  </si>
  <si>
    <t>Type 4:  Proprietary Pre-Detection Observed with Open Circuit  - Open Circuit Voltage outside PD Detection Voltage Band</t>
  </si>
  <si>
    <t>PSA:</t>
  </si>
  <si>
    <t xml:space="preserve"> HighPwrGrant:</t>
  </si>
  <si>
    <t>NONE</t>
  </si>
  <si>
    <t>PHY</t>
  </si>
  <si>
    <t>LLDP</t>
  </si>
  <si>
    <t>Configuration Options:</t>
  </si>
  <si>
    <t>Type-1</t>
  </si>
  <si>
    <t>Type-2</t>
  </si>
  <si>
    <t xml:space="preserve">Test Mode:  </t>
  </si>
  <si>
    <t xml:space="preserve">Sifos Interop Index*:  </t>
  </si>
  <si>
    <t xml:space="preserve">                   Rmid_det=</t>
  </si>
  <si>
    <t xml:space="preserve">            Backoff_Voltage=</t>
  </si>
  <si>
    <t xml:space="preserve">                 Vclass_Min=</t>
  </si>
  <si>
    <t xml:space="preserve">           Mark_Voltage_Min=</t>
  </si>
  <si>
    <t xml:space="preserve">Test: class_err             </t>
  </si>
  <si>
    <t xml:space="preserve">                  Class_lim=</t>
  </si>
  <si>
    <t xml:space="preserve">                   Mark_Lim=</t>
  </si>
  <si>
    <t xml:space="preserve">                     Treset=</t>
  </si>
  <si>
    <t xml:space="preserve">                    Tinrush=</t>
  </si>
  <si>
    <t xml:space="preserve">                 Inrush_45m=</t>
  </si>
  <si>
    <t>Test: pwron_pwrcap</t>
  </si>
  <si>
    <t xml:space="preserve">                    Pcon_c0=</t>
  </si>
  <si>
    <t>Assesses PSE maintain power status (Vport) with a multi-cycling DC MPS valid/non-valid load with 20% "on" duty-cycle using 25mA valid load and Tmps_Min "on" times.</t>
  </si>
  <si>
    <t>PSE should maintain power continuously - 5 off/on cycles sequenced.  Use "Show Traces" to witness the duty cycle.</t>
  </si>
  <si>
    <t>The description in the 802.3at standard is vague and requires careful inspection to intepret properly.  Tmps is presented as a "MINIMUM" limit which makes sense from the PD point of view but is not as clear from the PSE point of view.  Use "Show Traces" to witness the minimum required "on" time.</t>
  </si>
  <si>
    <t xml:space="preserve">                    Pcon_c1=</t>
  </si>
  <si>
    <t xml:space="preserve">                    Pcon_c2=</t>
  </si>
  <si>
    <t xml:space="preserve">                    Pcon_c3=</t>
  </si>
  <si>
    <t xml:space="preserve">                    Pcon_c4=</t>
  </si>
  <si>
    <t xml:space="preserve">              Type-2_Enable=</t>
  </si>
  <si>
    <t xml:space="preserve">             Max_Iinrush_c0=</t>
  </si>
  <si>
    <t xml:space="preserve">             Max_Iinrush_c4=</t>
  </si>
  <si>
    <t>IDLE State voltage during detection backoff</t>
  </si>
  <si>
    <t>Maximum (or Minimum) Detection Signature producing a power-up given connections with various time alignments to the detection measurement.</t>
  </si>
  <si>
    <t>Assess if detection measurement is sensitive to when the detection signature is connected.</t>
  </si>
  <si>
    <t>PSE Effective Output Impedance During PD Detection given a current-sourcing detection scheme</t>
  </si>
  <si>
    <t>Minimum Class Voltage given Maximum Valid Class Signature</t>
  </si>
  <si>
    <t>Minimum Mark Region Voltage with Maximum Valid Mark Load Current</t>
  </si>
  <si>
    <t>Mark Region is only tested when High Power Grant Type is PHY and Type-2 (or 30W) Power Mode is tested.   The PSA-3000 simulates true Mark Loads while the PSA-1200 does not meaning test limits are only enforceable with the PSA-3000.</t>
  </si>
  <si>
    <t xml:space="preserve">Test: class_err                    </t>
  </si>
  <si>
    <t>Maximum Class Current PSE will support before current limiting</t>
  </si>
  <si>
    <t>PSE Power-Up Response to Current-Limited Class Current</t>
  </si>
  <si>
    <t>PSE Power-Up Response to 55mA (non-valid) Class Signature</t>
  </si>
  <si>
    <t>Maximum Mark Current supported during a 2-event Mark Region</t>
  </si>
  <si>
    <t>Duration of IDLE Region following Unequal Class Current Signature</t>
  </si>
  <si>
    <t>PSE Power-Up Response to Unequal Class Currents in 2 Event Signature</t>
  </si>
  <si>
    <t>Type-2 PSE's should not apply power</t>
  </si>
  <si>
    <t>PSE should IDLE for at least 15 msec</t>
  </si>
  <si>
    <t>Peak Inrush Current between 1 and 3 msec of current-limiting inrush overload.</t>
  </si>
  <si>
    <t>Power-Up Response to a current-limiting Inrush overload of duration 45 msec, or less than Tinrush (MIN).</t>
  </si>
  <si>
    <t>Inrush overloads less than duration Tinrush(MIN), or 50 msec, should not prohibit port power-ups.</t>
  </si>
  <si>
    <t xml:space="preserve">Test: pwron_pwrcap                  </t>
  </si>
  <si>
    <t>PSE Power Capacity to a Class 0 PD</t>
  </si>
  <si>
    <t>PSE Power Capacity to a Class 1 PD</t>
  </si>
  <si>
    <t>Tinrush=</t>
  </si>
  <si>
    <t>Tinrush is capped at 100msec, the duration of the inrush load transient applied.</t>
  </si>
  <si>
    <t>PSE Power Capacity to a Class 2 PD</t>
  </si>
  <si>
    <t>PSE Power Capacity to a Class 3 PD</t>
  </si>
  <si>
    <t>PSE Power Capacity to a Class 4 PD</t>
  </si>
  <si>
    <t>Test: class_lldp</t>
  </si>
  <si>
    <t>sec</t>
  </si>
  <si>
    <t xml:space="preserve">        PSE_Source_Priority=</t>
  </si>
  <si>
    <t xml:space="preserve">            PSE_MDI_Pwr_Sup=</t>
  </si>
  <si>
    <t xml:space="preserve">            PSE_LLDP_Time_2=</t>
  </si>
  <si>
    <t xml:space="preserve">            PSE_LLDP_Type_2=</t>
  </si>
  <si>
    <t xml:space="preserve">            PSE_Alloc_Pwr_2=</t>
  </si>
  <si>
    <t xml:space="preserve">           PSE_Alloc_Time_2=</t>
  </si>
  <si>
    <t xml:space="preserve">          PD_Power_Adjust_2=</t>
  </si>
  <si>
    <t xml:space="preserve">          PSE_Adjust_Time_2=</t>
  </si>
  <si>
    <t xml:space="preserve">            PSE_LLDP_Time_1=</t>
  </si>
  <si>
    <t xml:space="preserve">            PSE_LLDP_Type_1=</t>
  </si>
  <si>
    <t xml:space="preserve">            PSE_Alloc_Pwr_1=</t>
  </si>
  <si>
    <t xml:space="preserve">           PSE_Alloc_Time_1=</t>
  </si>
  <si>
    <t xml:space="preserve">          PD_Power_Adjust_1=</t>
  </si>
  <si>
    <t xml:space="preserve">          PSE_Adjust_Time_1=</t>
  </si>
  <si>
    <t xml:space="preserve">            PSE_Echo_Time_1=</t>
  </si>
  <si>
    <t xml:space="preserve">            PSE_Echo_Time_2=</t>
  </si>
  <si>
    <t xml:space="preserve">            PSE_LLDP_Time_n=</t>
  </si>
  <si>
    <t xml:space="preserve">            PSE_LLDP_Type_n=</t>
  </si>
  <si>
    <t xml:space="preserve">            PSE_Echo_Time_n=</t>
  </si>
  <si>
    <t xml:space="preserve">            PSE_Alloc_Pwr_n=</t>
  </si>
  <si>
    <t xml:space="preserve">           PSE_Alloc_Time_n=</t>
  </si>
  <si>
    <t xml:space="preserve">          PD_Power_Adjust_n=</t>
  </si>
  <si>
    <t xml:space="preserve">          PSE_Adjust_Time_n=</t>
  </si>
  <si>
    <t>Binary indication of Valid (=0) or Invalid (=1) PoE+ Source/Priority Field</t>
  </si>
  <si>
    <t>Binary indication of Valid (=0) or Invalid (=1) MDI Capabilities Field</t>
  </si>
  <si>
    <t>Type 2 PSE's must provide packet within 10 seconds of entering the Power-On state</t>
  </si>
  <si>
    <t>Time for PSE to Echo PD Power Request given Type "n" (1 or 2) mode PD Emulation.</t>
  </si>
  <si>
    <t>PSE Type Communicated in PoE+ Source/Priority Field given Type "n" (1 or 2) mode PD Emulation.</t>
  </si>
  <si>
    <t>Time from Power-Up until Receipt of First PoE LLDP Packet from PSE given Type "n" (1 or 2) mode PD Emulation</t>
  </si>
  <si>
    <t>Must be 1 or 2</t>
  </si>
  <si>
    <t>Requirement is in 10 seconds or less</t>
  </si>
  <si>
    <t>Time for PSE to Allocate PD Power Request given Type "n" (1 or 2) mode PD Emulation.</t>
  </si>
  <si>
    <t>Soft limit of 30 seconds used - this is not strictly specified in 802.3at.</t>
  </si>
  <si>
    <t>Should be &gt;= to PD Request (8.1 W for Type-1, 20.3W for Type-2)</t>
  </si>
  <si>
    <t>Power Allocated to PD at Startup given Type "n" (1 or 2) mode PD Emulation.</t>
  </si>
  <si>
    <t>Power Allocated to PD following a Power Adjustment Request to Maximum Power Allowed given Type "n" (1 or 2) mode PD Emulation.</t>
  </si>
  <si>
    <t>Should be = to PD Request (13 W for Type-1, 25.5W for Type-2)</t>
  </si>
  <si>
    <t>Time for PSE to Echo PD Power (Adjustment) Request given Type "n" (1 or 2) mode PD Emulation.</t>
  </si>
  <si>
    <t>Proper values are 0x07 or 0x0F according to Clause 79</t>
  </si>
  <si>
    <t>Should report "PSE", Type 1 or Type 2, "0" in Reserved Fields</t>
  </si>
  <si>
    <t xml:space="preserve">             Rbad_Cbad_Stat=</t>
  </si>
  <si>
    <t>Test: pwron_v</t>
  </si>
  <si>
    <t xml:space="preserve">                     Icut_1=</t>
  </si>
  <si>
    <t xml:space="preserve">                     Tcut_1=</t>
  </si>
  <si>
    <t xml:space="preserve">                    Isoft_1=</t>
  </si>
  <si>
    <t xml:space="preserve">                    Tsoft_1=</t>
  </si>
  <si>
    <t xml:space="preserve">                     Icut_2=</t>
  </si>
  <si>
    <t xml:space="preserve">                     Tcut_2=</t>
  </si>
  <si>
    <t xml:space="preserve">                    Isoft_2=</t>
  </si>
  <si>
    <t xml:space="preserve">                    Tsoft_2=</t>
  </si>
  <si>
    <t>Test: pwron_maxi</t>
  </si>
  <si>
    <t xml:space="preserve">                 Ilim_Min_1=</t>
  </si>
  <si>
    <t xml:space="preserve">                     Tlim_1=</t>
  </si>
  <si>
    <t xml:space="preserve">                     Vlim_1=</t>
  </si>
  <si>
    <t xml:space="preserve">                 Ilim_Max_1=</t>
  </si>
  <si>
    <t xml:space="preserve">                 Ilim_Min_2=</t>
  </si>
  <si>
    <t xml:space="preserve">                     Tlim_2=</t>
  </si>
  <si>
    <t xml:space="preserve">                     Vlim_2=</t>
  </si>
  <si>
    <t xml:space="preserve">                 Ilim_Max_2=</t>
  </si>
  <si>
    <t>%</t>
  </si>
  <si>
    <t>Test: pwron_overld</t>
  </si>
  <si>
    <t xml:space="preserve">                   %Ipeak_1=</t>
  </si>
  <si>
    <t xml:space="preserve">              Vport_Ipeak_1=</t>
  </si>
  <si>
    <t xml:space="preserve">               Vport_5%DC_1=</t>
  </si>
  <si>
    <t xml:space="preserve">                   %Ipeak_2=</t>
  </si>
  <si>
    <t xml:space="preserve">              Vport_Ipeak_2=</t>
  </si>
  <si>
    <t xml:space="preserve">               Vport_5%DC_2=</t>
  </si>
  <si>
    <t>Limit Logic Color Key</t>
  </si>
  <si>
    <t xml:space="preserve">1) All possible 802.3at compliant PD's </t>
  </si>
  <si>
    <t>2) Non-Compliant 802.3at PD's that that would successfully inter-operate 802.3at PSE's that fully meet all PSE specifications.</t>
  </si>
  <si>
    <t>PSE response to marginally invalid Rdet + lowest rejected Cdet value</t>
  </si>
  <si>
    <t>Determine if adding capacitance causes a high detection signature to become valid to PSE.</t>
  </si>
  <si>
    <t xml:space="preserve">Test: pwron_maxi                    </t>
  </si>
  <si>
    <t xml:space="preserve">Test: pwron_v                       </t>
  </si>
  <si>
    <t xml:space="preserve">                Vport_min_n=</t>
  </si>
  <si>
    <t xml:space="preserve">                Vport_max_n=</t>
  </si>
  <si>
    <t xml:space="preserve">             Vport_ripple_n=</t>
  </si>
  <si>
    <t xml:space="preserve">              Vport_noise_n=</t>
  </si>
  <si>
    <t xml:space="preserve">               Vtrans_min_n=</t>
  </si>
  <si>
    <t xml:space="preserve">               Vtrans_max_n=</t>
  </si>
  <si>
    <t>Minimum DC Port Voltage measured with minimum and maximum Port Loading for Type "n" PD emulation</t>
  </si>
  <si>
    <t>Maximum DC Port Voltage measured with minimum and maximum Port Loading for Type "n" PD emulation</t>
  </si>
  <si>
    <t>Maximum AC Ripple (20Hz - 500Hz) Vpp measured with minimum and maximum Port Loading for Type "n" PD emulation</t>
  </si>
  <si>
    <t>Maximum AC Noise (10KHz - 350KHz) Vpp measured with minimum and maximum Port Loading for Type "n" PD emulation</t>
  </si>
  <si>
    <t>Maximum output current over 8-75msec from PSE given a 1.95A load pulse with foldback suppression applied.  PSE must limit to &lt; 1.75A.</t>
  </si>
  <si>
    <t xml:space="preserve">                 Ilim_Min_n=</t>
  </si>
  <si>
    <t xml:space="preserve">                     Vlim_n=</t>
  </si>
  <si>
    <t xml:space="preserve">                 Ilim_Max_n=</t>
  </si>
  <si>
    <t>Minimum load current available given 50msec, (Ilim_Min+2mA) load pulse with foldback suppression applied given Type "n" PD.</t>
  </si>
  <si>
    <t>Port Voltage measured during Ilim_Min load pulse (no foldback suppression)</t>
  </si>
  <si>
    <t xml:space="preserve">                   %Ipeak_n=</t>
  </si>
  <si>
    <t xml:space="preserve">              Vport_Ipeak_n=</t>
  </si>
  <si>
    <t xml:space="preserve">               Vport_5%DC_n=</t>
  </si>
  <si>
    <t xml:space="preserve">                     Icut_n=</t>
  </si>
  <si>
    <t xml:space="preserve">                     Tcut_n=</t>
  </si>
  <si>
    <t xml:space="preserve">                    Isoft_n=</t>
  </si>
  <si>
    <t>Must be 0 mA in 4.x.x Test Suite, up to 10mA allowed in 3.x.x Test Suite</t>
  </si>
  <si>
    <t xml:space="preserve">                    Tsoft_n=</t>
  </si>
  <si>
    <t>The % relative to Ipeak current that the PSE will support in a load transient of at least 50msec duration (Tovld_min) given Type-"n" PD emulation.</t>
  </si>
  <si>
    <t>Minimum port voltage measured during the I= Ipeak transient load pulse given Type-"n" PD emulation.</t>
  </si>
  <si>
    <t>Minimum port voltage measured with 50msec Ipeak transient loads applied once per second over a 10 second interval given Type-"n" PD emulation.</t>
  </si>
  <si>
    <t>Min</t>
  </si>
  <si>
    <t>Max</t>
  </si>
  <si>
    <t>Average</t>
  </si>
  <si>
    <t>UNITS</t>
  </si>
  <si>
    <t>Low</t>
  </si>
  <si>
    <t>Limit</t>
  </si>
  <si>
    <t>High</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</si>
  <si>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</si>
  <si>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</si>
  <si>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</si>
  <si>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</si>
  <si>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</si>
  <si>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</si>
  <si>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</si>
  <si>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Test: pwrup_time                    </t>
  </si>
  <si>
    <t xml:space="preserve">Test: pwrup_inrush                  </t>
  </si>
  <si>
    <t xml:space="preserve">Test: mps_ac_pwrdn                  </t>
  </si>
  <si>
    <t xml:space="preserve">Test: mps_ac_vf                     </t>
  </si>
  <si>
    <t xml:space="preserve">Test: mps_ac_voff                   </t>
  </si>
  <si>
    <t xml:space="preserve">Test: pwrdn_overld                  </t>
  </si>
  <si>
    <t xml:space="preserve">Test: pwrdn_time                    </t>
  </si>
  <si>
    <t xml:space="preserve">Test: pwrdn_v                       </t>
  </si>
  <si>
    <t>Low Limit</t>
  </si>
  <si>
    <t>High Limit</t>
  </si>
  <si>
    <t xml:space="preserve">Test: mps_dc_valid                  </t>
  </si>
  <si>
    <t xml:space="preserve">Test: mps_dc_pwrdn                  </t>
  </si>
  <si>
    <t>Parameter</t>
  </si>
  <si>
    <t>P/F</t>
  </si>
  <si>
    <t>Units</t>
  </si>
  <si>
    <r>
      <t>V/</t>
    </r>
    <r>
      <rPr>
        <sz val="10"/>
        <rFont val="Symbol"/>
        <family val="1"/>
        <charset val="2"/>
      </rPr>
      <t>m</t>
    </r>
    <r>
      <rPr>
        <sz val="10"/>
        <rFont val="Arial"/>
        <family val="2"/>
      </rPr>
      <t>sec</t>
    </r>
  </si>
  <si>
    <t>mA</t>
  </si>
  <si>
    <r>
      <t>K</t>
    </r>
    <r>
      <rPr>
        <sz val="10"/>
        <rFont val="Symbol"/>
        <family val="1"/>
        <charset val="2"/>
      </rPr>
      <t>W</t>
    </r>
  </si>
  <si>
    <r>
      <t>m</t>
    </r>
    <r>
      <rPr>
        <sz val="10"/>
        <rFont val="Arial"/>
        <family val="2"/>
      </rPr>
      <t>F</t>
    </r>
  </si>
  <si>
    <t>msec</t>
  </si>
  <si>
    <r>
      <t>m</t>
    </r>
    <r>
      <rPr>
        <sz val="10"/>
        <rFont val="Arial"/>
        <family val="2"/>
      </rPr>
      <t>sec</t>
    </r>
  </si>
  <si>
    <t>Hz</t>
  </si>
  <si>
    <t xml:space="preserve">       Open_Circuit_Det_Voc=</t>
  </si>
  <si>
    <t xml:space="preserve">            Peak_Det_Vvalid=</t>
  </si>
  <si>
    <t xml:space="preserve">             Min_Det_Vvalid=</t>
  </si>
  <si>
    <t xml:space="preserve">       Det_Volt_Step_dVtest=</t>
  </si>
  <si>
    <t xml:space="preserve">             Detection_Slew=</t>
  </si>
  <si>
    <t xml:space="preserve">         Good_Sig_Det_Pulse=</t>
  </si>
  <si>
    <t xml:space="preserve">            Det_Current_Isc=</t>
  </si>
  <si>
    <t xml:space="preserve">                  Rgood_Max=</t>
  </si>
  <si>
    <t xml:space="preserve">                  Rgood_Min=</t>
  </si>
  <si>
    <t xml:space="preserve">                  Cgood_Max=</t>
  </si>
  <si>
    <t xml:space="preserve">          Backoff_Time_Tdbo=</t>
  </si>
  <si>
    <t xml:space="preserve">        Detection_Time_Tdet=</t>
  </si>
  <si>
    <t xml:space="preserve">             Total_Det_Time=</t>
  </si>
  <si>
    <t xml:space="preserve">      Output_Impedance_Zout=</t>
  </si>
  <si>
    <t xml:space="preserve">            Class_Time_Tpdc=</t>
  </si>
  <si>
    <t xml:space="preserve">               Init_Iinrush=</t>
  </si>
  <si>
    <t xml:space="preserve">      Power_Down_Time_Tmpdo=</t>
  </si>
  <si>
    <t xml:space="preserve">              AC_MPS_V_open=</t>
  </si>
  <si>
    <t xml:space="preserve">           AC_MPS_Frequency=</t>
  </si>
  <si>
    <t xml:space="preserve">                  Slew_Rate=</t>
  </si>
  <si>
    <t xml:space="preserve">        Peak_AC_MPS_V_open1=</t>
  </si>
  <si>
    <t xml:space="preserve">         Turn-Off_Time_Toff=</t>
  </si>
  <si>
    <t xml:space="preserve">        Min_Valid_Time_Tmps=</t>
  </si>
  <si>
    <t xml:space="preserve">     Time-to-Shutdown_Tmpdo=</t>
  </si>
  <si>
    <t xml:space="preserve">           Init_Current_Isc=</t>
  </si>
  <si>
    <t xml:space="preserve">          DC_Max_Load_Imin1=</t>
  </si>
  <si>
    <t>Vpk</t>
  </si>
  <si>
    <t xml:space="preserve">      Peak_Disconnect_Vport=</t>
  </si>
  <si>
    <t xml:space="preserve">        Source_Current_Isac=</t>
  </si>
  <si>
    <t xml:space="preserve">                Min_Iinrush=</t>
  </si>
  <si>
    <t xml:space="preserve">            Error_Delay_Ted=</t>
  </si>
  <si>
    <t xml:space="preserve">              Avg_Idle_Voff=</t>
  </si>
  <si>
    <t xml:space="preserve">       Peak_Error_Delay_Ved=</t>
  </si>
  <si>
    <t xml:space="preserve">            Output_Cap_Cout=</t>
  </si>
  <si>
    <t xml:space="preserve">             Output_Load_Rp=</t>
  </si>
  <si>
    <t xml:space="preserve"> version</t>
  </si>
  <si>
    <t>Type</t>
  </si>
  <si>
    <t>PF</t>
  </si>
  <si>
    <t>Warn</t>
  </si>
  <si>
    <t>Description</t>
  </si>
  <si>
    <t>Peak Open Circuit Detection Voltage</t>
  </si>
  <si>
    <t>Minimum Valid Step Voltage with Valid Detection Signature</t>
  </si>
  <si>
    <t>Maximum Step Slew Rate</t>
  </si>
  <si>
    <t>Maximum Detection Voltage with Valid Detection Signature</t>
  </si>
  <si>
    <t>Peak Current Flow During Detection Above 2.8 Volts</t>
  </si>
  <si>
    <t>Time from an overload shutdown until the next power-up is enabled.</t>
  </si>
  <si>
    <t>Peak PSE Port Voltage during Error Delay time interval preceding final detection leading to the next power-up.   Acts as indicator of a PSE that does detection and classification during Ted.</t>
  </si>
  <si>
    <t>Sampled at ~ 40 usec periodicity.  When testing Type-2 PSE's, transient voltage samples following a 250 usec "Ktran_lo" duration are evaluated for Vport_min (50V) criteria.</t>
  </si>
  <si>
    <t>Type-2 PSE should regulate voltage to stay above 92.4% of Vpse_min, or 46.2V given described transient.</t>
  </si>
  <si>
    <t>Minimum Port Voltage measured during a rapid (&lt; 5 msec) load excursion between ~ .5W to Pclass and back</t>
  </si>
  <si>
    <t>Maximum Port Voltage measured during a rapid (&lt; 5 msec) load excursion between ~ .5W to Pclass and back</t>
  </si>
  <si>
    <t>Vital Parameter to many 802.3at PD's</t>
  </si>
  <si>
    <t>Parameter could be significant to certain 802.3at PD's</t>
  </si>
  <si>
    <t xml:space="preserve">                 Ktran_lo_1=</t>
  </si>
  <si>
    <t xml:space="preserve">                 Ktran_lo_2=</t>
  </si>
  <si>
    <t>For the most part, none of these are problems.  The 50V Legacy Detection pulse will place 50V common mode on the PD connection if an invalid PD signature is measured on the first attempt by the PSE port.  Non-802.3 signaling usually indicates proprietary detection assessments.  PoH Double Detection causes detection back-off to become ambiguous.</t>
  </si>
  <si>
    <r>
      <t xml:space="preserve">Goal is to detect line voltage ripple and AC MPS signaling components below 400 Hz.  </t>
    </r>
    <r>
      <rPr>
        <i/>
        <sz val="10"/>
        <color indexed="10"/>
        <rFont val="Arial"/>
        <family val="2"/>
      </rPr>
      <t>NOTE: A "-1" reading indicates a possible hardware failure and should be reported to Sifos Technologies.</t>
    </r>
  </si>
  <si>
    <r>
      <t xml:space="preserve">Goal is to assess noise from DC-DC power conversion components in the 2KHz - 400KHz band.  </t>
    </r>
    <r>
      <rPr>
        <i/>
        <sz val="10"/>
        <color indexed="10"/>
        <rFont val="Arial"/>
        <family val="2"/>
      </rPr>
      <t>NOTE: A "-1" reading indicates a possible hardware failure and should be reported to Sifos Technologies.</t>
    </r>
  </si>
  <si>
    <t xml:space="preserve">                  Icon_%_c0=</t>
  </si>
  <si>
    <t xml:space="preserve">                  Icon_%_c1=</t>
  </si>
  <si>
    <t xml:space="preserve">                  Icon_%_c2=</t>
  </si>
  <si>
    <t xml:space="preserve">                  Icon_%_c3=</t>
  </si>
  <si>
    <t xml:space="preserve">                  Icon_%_c4=</t>
  </si>
  <si>
    <t>Load Current Capacity Ratio to Icon = Pclass / Vport_pse to Class 0 PD</t>
  </si>
  <si>
    <t>Load Current Capacity Ratio to Icon = Pclass / Vport_pse to Class 1 PD</t>
  </si>
  <si>
    <t>Load Current Capacity Ratio to Icon = Pclass / Vport_pse to Class 2 PD</t>
  </si>
  <si>
    <t>Load Current Capacity Ratio to Icon = Pclass / Vport_pse to Class 3 PD</t>
  </si>
  <si>
    <t>Load Current Capacity Ratio to Icon = Pclass / Vport_pse to Class 4 PD</t>
  </si>
  <si>
    <t>Parameter Color Key</t>
  </si>
  <si>
    <t xml:space="preserve">             Max_Iinrush_cN=</t>
  </si>
  <si>
    <r>
      <t>Minumum sub-</t>
    </r>
    <r>
      <rPr>
        <b/>
        <sz val="10"/>
        <rFont val="Arial"/>
        <family val="2"/>
      </rPr>
      <t>Ilim(n)</t>
    </r>
    <r>
      <rPr>
        <sz val="10"/>
        <rFont val="Arial"/>
        <family val="2"/>
      </rPr>
      <t xml:space="preserve"> load current causing power-down for Type-"n" PD Emulation given a 75 msec transient pulse and Type-"n" PD emulation.</t>
    </r>
  </si>
  <si>
    <r>
      <t xml:space="preserve">Time from start of </t>
    </r>
    <r>
      <rPr>
        <b/>
        <sz val="10"/>
        <rFont val="Arial"/>
        <family val="2"/>
      </rPr>
      <t>Icut_n</t>
    </r>
    <r>
      <rPr>
        <sz val="10"/>
        <rFont val="Arial"/>
        <family val="2"/>
      </rPr>
      <t xml:space="preserve"> load transient until port shutdown - will be capped at duration of the </t>
    </r>
    <r>
      <rPr>
        <b/>
        <sz val="10"/>
        <rFont val="Arial"/>
        <family val="2"/>
      </rPr>
      <t>Icut_n</t>
    </r>
    <r>
      <rPr>
        <sz val="10"/>
        <rFont val="Arial"/>
        <family val="2"/>
      </rPr>
      <t xml:space="preserve"> load transient even if the shutdown occurs up to 2 seconds following the start of transient.</t>
    </r>
  </si>
  <si>
    <r>
      <t xml:space="preserve">Time from start of </t>
    </r>
    <r>
      <rPr>
        <b/>
        <sz val="10"/>
        <rFont val="Arial"/>
        <family val="2"/>
      </rPr>
      <t>Isoft_n</t>
    </r>
    <r>
      <rPr>
        <sz val="10"/>
        <rFont val="Arial"/>
        <family val="2"/>
      </rPr>
      <t xml:space="preserve"> load transient until port shutdown - will be capped at duration of the </t>
    </r>
    <r>
      <rPr>
        <b/>
        <sz val="10"/>
        <rFont val="Arial"/>
        <family val="2"/>
      </rPr>
      <t>Isoft_n</t>
    </r>
    <r>
      <rPr>
        <sz val="10"/>
        <rFont val="Arial"/>
        <family val="2"/>
      </rPr>
      <t xml:space="preserve"> load transient even if the shutdown occurs up to 2 seconds following the start of transient.</t>
    </r>
  </si>
  <si>
    <r>
      <t xml:space="preserve">This measurement determines if PSE is likely invoking a firmware managed overload shutdown decision process.  Underpowered PSE's will report a NEGATIVE </t>
    </r>
    <r>
      <rPr>
        <b/>
        <i/>
        <sz val="10"/>
        <rFont val="Arial"/>
        <family val="2"/>
      </rPr>
      <t>Isoft_n</t>
    </r>
    <r>
      <rPr>
        <i/>
        <sz val="10"/>
        <rFont val="Arial"/>
        <family val="2"/>
      </rPr>
      <t xml:space="preserve"> value.  </t>
    </r>
    <r>
      <rPr>
        <b/>
        <i/>
        <sz val="10"/>
        <rFont val="Arial"/>
        <family val="2"/>
      </rPr>
      <t>Tsoft_n</t>
    </r>
    <r>
      <rPr>
        <i/>
        <sz val="10"/>
        <rFont val="Arial"/>
        <family val="2"/>
      </rPr>
      <t xml:space="preserve"> can range up to 4 seconds.  Reports -1 for </t>
    </r>
    <r>
      <rPr>
        <b/>
        <i/>
        <sz val="10"/>
        <rFont val="Arial"/>
        <family val="2"/>
      </rPr>
      <t>Isoft</t>
    </r>
    <r>
      <rPr>
        <i/>
        <sz val="10"/>
        <rFont val="Arial"/>
        <family val="2"/>
      </rPr>
      <t xml:space="preserve"> and </t>
    </r>
    <r>
      <rPr>
        <b/>
        <i/>
        <sz val="10"/>
        <rFont val="Arial"/>
        <family val="2"/>
      </rPr>
      <t>Tsoft</t>
    </r>
    <r>
      <rPr>
        <i/>
        <sz val="10"/>
        <rFont val="Arial"/>
        <family val="2"/>
      </rPr>
      <t xml:space="preserve"> if </t>
    </r>
    <r>
      <rPr>
        <b/>
        <i/>
        <sz val="10"/>
        <rFont val="Arial"/>
        <family val="2"/>
      </rPr>
      <t>Isoft</t>
    </r>
    <r>
      <rPr>
        <i/>
        <sz val="10"/>
        <rFont val="Arial"/>
        <family val="2"/>
      </rPr>
      <t xml:space="preserve"> is not found.</t>
    </r>
  </si>
  <si>
    <r>
      <t xml:space="preserve">Minumum load current up to or marginally exceeding </t>
    </r>
    <r>
      <rPr>
        <b/>
        <sz val="10"/>
        <rFont val="Arial"/>
        <family val="2"/>
      </rPr>
      <t>Ilim_min</t>
    </r>
    <r>
      <rPr>
        <sz val="10"/>
        <rFont val="Arial"/>
        <family val="2"/>
      </rPr>
      <t xml:space="preserve"> that causes a shutdown for Type-"n" PD Emulation given a 2 second transient pulse and Type-"n" PD emulation.</t>
    </r>
  </si>
  <si>
    <r>
      <t xml:space="preserve">Qualifying shutdowns must occur during or shortly after 75msec transient duration.   Under-powered PSE's will report a NEGATIVE </t>
    </r>
    <r>
      <rPr>
        <b/>
        <i/>
        <sz val="10"/>
        <rFont val="Arial"/>
        <family val="2"/>
      </rPr>
      <t>Icut_n</t>
    </r>
    <r>
      <rPr>
        <i/>
        <sz val="10"/>
        <rFont val="Arial"/>
        <family val="2"/>
      </rPr>
      <t xml:space="preserve"> value.  Report '-1' if </t>
    </r>
    <r>
      <rPr>
        <b/>
        <i/>
        <sz val="10"/>
        <rFont val="Arial"/>
        <family val="2"/>
      </rPr>
      <t>Icut_n</t>
    </r>
    <r>
      <rPr>
        <i/>
        <sz val="10"/>
        <rFont val="Arial"/>
        <family val="2"/>
      </rPr>
      <t xml:space="preserve"> not found below </t>
    </r>
    <r>
      <rPr>
        <b/>
        <i/>
        <sz val="10"/>
        <rFont val="Arial"/>
        <family val="2"/>
      </rPr>
      <t xml:space="preserve">Ilim_Min </t>
    </r>
    <r>
      <rPr>
        <i/>
        <sz val="10"/>
        <rFont val="Arial"/>
        <family val="2"/>
      </rPr>
      <t xml:space="preserve">for Type </t>
    </r>
    <r>
      <rPr>
        <b/>
        <i/>
        <sz val="10"/>
        <rFont val="Arial"/>
        <family val="2"/>
      </rPr>
      <t>n</t>
    </r>
    <r>
      <rPr>
        <i/>
        <sz val="10"/>
        <rFont val="Arial"/>
        <family val="2"/>
      </rPr>
      <t>.</t>
    </r>
  </si>
  <si>
    <r>
      <t xml:space="preserve">Given an </t>
    </r>
    <r>
      <rPr>
        <b/>
        <i/>
        <sz val="10"/>
        <rFont val="Arial"/>
        <family val="2"/>
      </rPr>
      <t xml:space="preserve">Icut </t>
    </r>
    <r>
      <rPr>
        <i/>
        <sz val="10"/>
        <rFont val="Arial"/>
        <family val="2"/>
      </rPr>
      <t xml:space="preserve">shutdown, </t>
    </r>
    <r>
      <rPr>
        <b/>
        <i/>
        <sz val="10"/>
        <rFont val="Arial"/>
        <family val="2"/>
      </rPr>
      <t>Tcut</t>
    </r>
    <r>
      <rPr>
        <i/>
        <sz val="10"/>
        <rFont val="Arial"/>
        <family val="2"/>
      </rPr>
      <t xml:space="preserve"> will always fall between 0 and 75 msec.   Reports 9999 no </t>
    </r>
    <r>
      <rPr>
        <b/>
        <i/>
        <sz val="10"/>
        <rFont val="Arial"/>
        <family val="2"/>
      </rPr>
      <t>Icut</t>
    </r>
    <r>
      <rPr>
        <i/>
        <sz val="10"/>
        <rFont val="Arial"/>
        <family val="2"/>
      </rPr>
      <t xml:space="preserve"> shutdown produced.   Allows for PSE's that measure elapsed time </t>
    </r>
    <r>
      <rPr>
        <b/>
        <i/>
        <sz val="10"/>
        <rFont val="Arial"/>
        <family val="2"/>
      </rPr>
      <t>Tcut</t>
    </r>
    <r>
      <rPr>
        <i/>
        <sz val="10"/>
        <rFont val="Arial"/>
        <family val="2"/>
      </rPr>
      <t xml:space="preserve"> over a longer time window.</t>
    </r>
  </si>
  <si>
    <t xml:space="preserve">         Inrush_Strategy_c0=</t>
  </si>
  <si>
    <t xml:space="preserve">         Inrush_Strategy_c4=</t>
  </si>
  <si>
    <t xml:space="preserve">         Inrush_Strategy_cN=</t>
  </si>
  <si>
    <t>Maximum In-Rush Load Current Supplied During After 1 msec given Class N power-up.</t>
  </si>
  <si>
    <t>This binary indicator is set to "1" when a PSE is determined to be using means other than normal 802.3at detection measurements to resolve the valid detection range.</t>
  </si>
  <si>
    <t>While not required by the standard, one would expect to see normal 802.3at detection pulses when PD signatures are somewhat out of the valid band.   Some PSE's withold 802.3at detection measurements until the signature is virtually inside the valid detection band.</t>
  </si>
  <si>
    <t xml:space="preserve">Type 0:  Normal 802.3at Detection Methods </t>
  </si>
  <si>
    <t>This parameter categorizes PSE port detection strategy into one of 6 categories.   Pre-Detection Only indicates PSE does not form full 802.3at detection pulses until a near valid detection signature is present.   Zero-Backoff means the PSE does not have distinct backoffs during open circuit detection.   50V Pulses refers to existance of legacy detection pulses prior to any PD connection.  Type 4 and 5 indicate that the open circuit detection signaling is entirely above the required PD signature band and thus PSE is relying on PD Detection Signature to be visible outside the minimum specified valid signature band.</t>
  </si>
  <si>
    <t>Type 0:  Normal 802.3at Detection Backoffs                                              Type 1:  Non-802.3 Signaling Detected                                                  Type 2:  50 Volt Legacy Detection Pulses Detected                                            Type 3: PoH Double-Detection Scheme</t>
  </si>
  <si>
    <t>Duration of 802.3at Detection Measurements</t>
  </si>
  <si>
    <t>Measured only over 802.3at Min to Max detection levels.</t>
  </si>
  <si>
    <t>A PSE must support 400 mA of inrush current during power-up so long as port voltage (Inrush_Voltage) remains above 30VDC.</t>
  </si>
  <si>
    <t>Effective PSE Shunt Port Resistance During Power-Down. This will generally be the same as Rrev in the 802.3at specification.</t>
  </si>
  <si>
    <t>PSE Conformance Test Suite</t>
  </si>
  <si>
    <t>30W_Grant:</t>
  </si>
  <si>
    <t>Alt-A</t>
  </si>
  <si>
    <t>Alt-B</t>
  </si>
  <si>
    <t>30W Grant (PSE Type) Dependence</t>
  </si>
  <si>
    <r>
      <t xml:space="preserve">The Interop Index should </t>
    </r>
    <r>
      <rPr>
        <b/>
        <sz val="10"/>
        <color theme="3"/>
        <rFont val="Arial"/>
        <family val="2"/>
      </rPr>
      <t xml:space="preserve">not </t>
    </r>
    <r>
      <rPr>
        <sz val="10"/>
        <color theme="3"/>
        <rFont val="Arial"/>
        <family val="2"/>
      </rPr>
      <t>be interpreted as a probability or percentage of PD's that will operate with this PSE.  Instead, it is simply an aggregate score of performance developed from the test data collected on the Loop1 page of this report.  It will be influenced therefore by what tests are run and by how many ports are tested.</t>
    </r>
  </si>
  <si>
    <t>test port version info</t>
  </si>
  <si>
    <t>Sig. Dig.</t>
  </si>
  <si>
    <t>MinFW Ver:</t>
  </si>
  <si>
    <t>Minumum 802.3at Voltage Step Magnitude</t>
  </si>
  <si>
    <r>
      <t xml:space="preserve">Determines if Port Voltage or </t>
    </r>
    <r>
      <rPr>
        <b/>
        <sz val="10"/>
        <rFont val="Arial"/>
        <family val="2"/>
      </rPr>
      <t>Tinrush</t>
    </r>
    <r>
      <rPr>
        <sz val="10"/>
        <rFont val="Arial"/>
        <family val="2"/>
      </rPr>
      <t xml:space="preserve"> Time is used to mark the end of the Power Up (Inrush) processing state.  If Voltage is used, characterizes subsequent current limiting behavior given Class N power-up.                                           0 = Time (802.3at  recommended)
1= Voltage, current limited @ </t>
    </r>
    <r>
      <rPr>
        <b/>
        <sz val="10"/>
        <rFont val="Arial"/>
        <family val="2"/>
      </rPr>
      <t>Ilim_1</t>
    </r>
    <r>
      <rPr>
        <sz val="10"/>
        <rFont val="Arial"/>
        <family val="2"/>
      </rPr>
      <t xml:space="preserve"> (&lt; 450mA) for </t>
    </r>
    <r>
      <rPr>
        <b/>
        <sz val="10"/>
        <rFont val="Arial"/>
        <family val="2"/>
      </rPr>
      <t>Tlim_1</t>
    </r>
    <r>
      <rPr>
        <sz val="10"/>
        <rFont val="Arial"/>
        <family val="2"/>
      </rPr>
      <t xml:space="preserve"> (50-75 msec)
2= Voltage, current limited @ </t>
    </r>
    <r>
      <rPr>
        <b/>
        <sz val="10"/>
        <rFont val="Arial"/>
        <family val="2"/>
      </rPr>
      <t>Ilim_1</t>
    </r>
    <r>
      <rPr>
        <sz val="10"/>
        <rFont val="Arial"/>
        <family val="2"/>
      </rPr>
      <t xml:space="preserve"> (&lt; 450mA) for &gt; </t>
    </r>
    <r>
      <rPr>
        <b/>
        <sz val="10"/>
        <rFont val="Arial"/>
        <family val="2"/>
      </rPr>
      <t xml:space="preserve">Tlim_1(max)
</t>
    </r>
    <r>
      <rPr>
        <sz val="10"/>
        <rFont val="Arial"/>
        <family val="2"/>
      </rPr>
      <t xml:space="preserve">3= Voltage, current not limited @ </t>
    </r>
    <r>
      <rPr>
        <b/>
        <sz val="10"/>
        <rFont val="Arial"/>
        <family val="2"/>
      </rPr>
      <t>Ilim_1</t>
    </r>
    <r>
      <rPr>
        <sz val="10"/>
        <rFont val="Arial"/>
        <family val="2"/>
      </rPr>
      <t xml:space="preserve"> (&lt; 450mA) and/or no inrush shutdown
4= Voltage, current limited @ </t>
    </r>
    <r>
      <rPr>
        <b/>
        <sz val="10"/>
        <rFont val="Arial"/>
        <family val="2"/>
      </rPr>
      <t xml:space="preserve">Ilim_1 </t>
    </r>
    <r>
      <rPr>
        <sz val="10"/>
        <rFont val="Arial"/>
        <family val="2"/>
      </rPr>
      <t xml:space="preserve">(&lt; 450mA) + low voltage shutdown </t>
    </r>
  </si>
  <si>
    <t xml:space="preserve">           Pclass_LLDP_22.7=</t>
  </si>
  <si>
    <t xml:space="preserve">           Pclass_LLDP_24.5=</t>
  </si>
  <si>
    <t xml:space="preserve">Indicator as to whether the PSE supported a Pclass_pse power level following a 22.7 watt LLDP power allocation.  0= FAIL, 1= PASS.  </t>
  </si>
  <si>
    <t xml:space="preserve">Indicator as to whether the PSE supported a Pclass_pse power level following a 24.5 watt LLDP power allocation.  0= FAIL, 1= PASS.  </t>
  </si>
  <si>
    <t>Purpose is to search for flaws in LLDP power allocation algorithms.  Value will be -1 for non-LLDP granting PSE's, when testing with Type-1 PD emulation, and if PSE fails to allocate requested power.</t>
  </si>
  <si>
    <t>DEMO MODE!</t>
  </si>
  <si>
    <t xml:space="preserve">              Pwr_Cl_Uneven=</t>
  </si>
  <si>
    <t xml:space="preserve">                  Pwr_Cl_55=</t>
  </si>
  <si>
    <t xml:space="preserve">                 Pwr_Cl_lim=</t>
  </si>
  <si>
    <t xml:space="preserve">       Link_Down_Shutdown_?=</t>
  </si>
  <si>
    <t>Sig.Digs.</t>
  </si>
  <si>
    <t>Indicator of PSE response when LAN link drops after powering and negotiating with a PD.  0= POWERED, 1= POWER_REMOVED.</t>
  </si>
  <si>
    <t>Test evaluates power status 12 seconds after LAN Link Drop.   PSE's that drop power are at risk interoperating with PD's that deliberately shut down PHY's.</t>
  </si>
  <si>
    <t>PD TYPE:</t>
  </si>
  <si>
    <t>Pwr'd Prs:</t>
  </si>
  <si>
    <t>Test Count</t>
  </si>
  <si>
    <t>Parameter Count</t>
  </si>
  <si>
    <t>Last 3 rows are</t>
  </si>
  <si>
    <t>Tests Run:</t>
  </si>
  <si>
    <t>Total Parameters:</t>
  </si>
  <si>
    <t xml:space="preserve">           Class_Reset_Time=</t>
  </si>
  <si>
    <t xml:space="preserve">         Class_Probe_Events=</t>
  </si>
  <si>
    <t xml:space="preserve">              Class_Reset_V=</t>
  </si>
  <si>
    <t>BT:</t>
  </si>
  <si>
    <t xml:space="preserve">     PSE_Alloc_Pwr_bt_tlv_1=</t>
  </si>
  <si>
    <t xml:space="preserve">   PD_Power_Adjust_bt_tlv_1=</t>
  </si>
  <si>
    <t xml:space="preserve">   PD_Power_Adjust_bt_tlv_2=</t>
  </si>
  <si>
    <t xml:space="preserve">     PSE_Alloc_Pwr_bt_tlv_2=</t>
  </si>
  <si>
    <t xml:space="preserve">     PSE_Alloc_Pwr_bt_tlv_n=</t>
  </si>
  <si>
    <t xml:space="preserve">   PD_Power_Adjust_bt_tlv_n=</t>
  </si>
  <si>
    <t>For Type-3 BT 2-pair PSEs. Maximum value of the Class Reset Voltage after a Class Probe and prior to Classification</t>
  </si>
  <si>
    <t>For Type-3 BT 2-Pair PSEs.  Number of Class Events in the Class Probe</t>
  </si>
  <si>
    <t>For Type-3 BT 2-Pair PSEs.  Time duration of a Class Reset after a Class Probe and Prior to Classification</t>
  </si>
  <si>
    <t>802.3at</t>
  </si>
  <si>
    <t>802.3bt</t>
  </si>
  <si>
    <t>802.3at vs 802.3bt Dependence</t>
  </si>
  <si>
    <t>PD Pwr Type + 30W Grant Dependence</t>
  </si>
  <si>
    <t>Conformance Test Suite for 802.3at, 802.3bt</t>
  </si>
  <si>
    <t xml:space="preserve">PSA-3000 Conformance Suite for 802.3bt </t>
  </si>
  <si>
    <t>PHY,PHY+</t>
  </si>
  <si>
    <t>All</t>
  </si>
  <si>
    <t>30W Grnt=</t>
  </si>
  <si>
    <t>SEE</t>
  </si>
  <si>
    <t>BELOW</t>
  </si>
  <si>
    <t>BT vs AT + 30W Grant + PD TYPE Dependence</t>
  </si>
  <si>
    <t>BT vs AT+ 30W Grant Dependence</t>
  </si>
  <si>
    <t>PHY+LLDP</t>
  </si>
  <si>
    <t xml:space="preserve"> Pwr'd Prs:</t>
  </si>
  <si>
    <t xml:space="preserve"> PD TYPE:</t>
  </si>
  <si>
    <t>YES</t>
  </si>
  <si>
    <t>NO</t>
  </si>
  <si>
    <t xml:space="preserve"> BT:</t>
  </si>
  <si>
    <r>
      <t>EVENT COUNT LIMITS</t>
    </r>
    <r>
      <rPr>
        <sz val="10"/>
        <rFont val="Arial"/>
        <family val="2"/>
      </rPr>
      <t xml:space="preserve"> (</t>
    </r>
    <r>
      <rPr>
        <i/>
        <sz val="10"/>
        <rFont val="Arial"/>
        <family val="2"/>
      </rPr>
      <t>hardcoded into formula</t>
    </r>
    <r>
      <rPr>
        <sz val="10"/>
        <rFont val="Arial"/>
        <family val="2"/>
      </rPr>
      <t>)</t>
    </r>
  </si>
  <si>
    <t xml:space="preserve">                Event1_Tlce=</t>
  </si>
  <si>
    <t>Duration of the LCE Event for Type 3 PSEs</t>
  </si>
  <si>
    <t xml:space="preserve">                 Tlim_Min_1=</t>
  </si>
  <si>
    <t xml:space="preserve">                 Tlim_Min_2=</t>
  </si>
  <si>
    <t xml:space="preserve">                 Tlim_Max_1=</t>
  </si>
  <si>
    <t xml:space="preserve">                 Tlim_Max_2=</t>
  </si>
  <si>
    <r>
      <t xml:space="preserve">Fastest rise time that can be measured is 6usec.  If -99, then rise time measurement likely false triggered on a large voltage transient most likely at start or end of classification pulse.
As of report version </t>
    </r>
    <r>
      <rPr>
        <b/>
        <i/>
        <sz val="10"/>
        <rFont val="Arial"/>
        <family val="2"/>
      </rPr>
      <t>5.1.04</t>
    </r>
    <r>
      <rPr>
        <i/>
        <sz val="10"/>
        <rFont val="Arial"/>
        <family val="2"/>
      </rPr>
      <t>, this parameter is PASS/</t>
    </r>
    <r>
      <rPr>
        <b/>
        <i/>
        <sz val="10"/>
        <rFont val="Arial"/>
        <family val="2"/>
      </rPr>
      <t>INFO</t>
    </r>
    <r>
      <rPr>
        <i/>
        <sz val="10"/>
        <rFont val="Arial"/>
        <family val="2"/>
      </rPr>
      <t xml:space="preserve"> and not PASS/</t>
    </r>
    <r>
      <rPr>
        <b/>
        <i/>
        <sz val="10"/>
        <rFont val="Arial"/>
        <family val="2"/>
      </rPr>
      <t xml:space="preserve">FAIL </t>
    </r>
    <r>
      <rPr>
        <i/>
        <sz val="10"/>
        <rFont val="Arial"/>
        <family val="2"/>
      </rPr>
      <t xml:space="preserve">because technically speaking, the explicit measurement of 10% to 90% of </t>
    </r>
    <r>
      <rPr>
        <b/>
        <i/>
        <sz val="10"/>
        <rFont val="Arial"/>
        <family val="2"/>
      </rPr>
      <t>Vpse</t>
    </r>
    <r>
      <rPr>
        <i/>
        <sz val="10"/>
        <rFont val="Arial"/>
        <family val="2"/>
      </rPr>
      <t xml:space="preserve"> is not possible with the PSA time interval measurement and would not be feasible using any method if the PSE powers up from Vmark (2-Event classification).   A rise time measurement with an </t>
    </r>
    <r>
      <rPr>
        <b/>
        <i/>
        <sz val="10"/>
        <rFont val="Arial"/>
        <family val="2"/>
      </rPr>
      <t>INFO</t>
    </r>
    <r>
      <rPr>
        <i/>
        <sz val="10"/>
        <rFont val="Arial"/>
        <family val="2"/>
      </rPr>
      <t xml:space="preserve"> mark indicates a power-up slew rate that exceeds the 'intent' of the 802.3 standard.</t>
    </r>
  </si>
  <si>
    <t>Interoperability Weight Scale</t>
  </si>
  <si>
    <r>
      <t xml:space="preserve">PSE Conformance Test Suite </t>
    </r>
    <r>
      <rPr>
        <b/>
        <sz val="14"/>
        <color theme="4" tint="0.79998168889431442"/>
        <rFont val="Arial"/>
        <family val="2"/>
      </rPr>
      <t>5.x.x</t>
    </r>
    <r>
      <rPr>
        <b/>
        <sz val="14"/>
        <color rgb="FFFFFFFF"/>
        <rFont val="Arial"/>
        <family val="2"/>
      </rPr>
      <t xml:space="preserve"> (</t>
    </r>
    <r>
      <rPr>
        <b/>
        <sz val="14"/>
        <color theme="4" tint="0.79998168889431442"/>
        <rFont val="Arial"/>
        <family val="2"/>
      </rPr>
      <t>PSA-3000</t>
    </r>
    <r>
      <rPr>
        <b/>
        <sz val="14"/>
        <color rgb="FFFFFFFF"/>
        <rFont val="Arial"/>
        <family val="2"/>
      </rPr>
      <t>) Tests and Parameters</t>
    </r>
  </si>
  <si>
    <r>
      <t xml:space="preserve">802.3at / 802.3bt Test Limits            </t>
    </r>
    <r>
      <rPr>
        <i/>
        <sz val="10"/>
        <color theme="2"/>
        <rFont val="Arial"/>
        <family val="2"/>
      </rPr>
      <t/>
    </r>
  </si>
  <si>
    <t>Tlim_max_n=</t>
  </si>
  <si>
    <t xml:space="preserve">                     Tlim_n=
or      Tlim_min_n=</t>
  </si>
  <si>
    <t>TYPE-3 PSE Only:  Time until power removal given an 850mA load pulse with foldback suppression.</t>
  </si>
  <si>
    <r>
      <t xml:space="preserve">Time until power removal given an Ilim_Min load pulse (no foldback suppression).  </t>
    </r>
    <r>
      <rPr>
        <b/>
        <sz val="10"/>
        <rFont val="Arial"/>
        <family val="2"/>
      </rPr>
      <t>Tlim_min_n</t>
    </r>
    <r>
      <rPr>
        <sz val="10"/>
        <rFont val="Arial"/>
        <family val="2"/>
      </rPr>
      <t xml:space="preserve"> reported with TYPE-3 PSE's.</t>
    </r>
  </si>
  <si>
    <t>Test: pwron_autoclass</t>
  </si>
  <si>
    <t xml:space="preserve">         Autoclass_Shutdown=</t>
  </si>
  <si>
    <t xml:space="preserve">          Pac_margin_C3_low=</t>
  </si>
  <si>
    <t xml:space="preserve">         Pac_margin_C3_high=</t>
  </si>
  <si>
    <t xml:space="preserve">Test: pwron_autoclass              </t>
  </si>
  <si>
    <t>Set PSE power to 95% of Pclass and determine if PSE removes power</t>
  </si>
  <si>
    <t>PSE powers 3W in Class 3 and determines that PSE maintains power at Pautoclass + Pac_margin.  Pac_margin for Class 1-4 is 0.5 W.</t>
  </si>
  <si>
    <t>PSE powers 9W in Class 3 and determines that PSE maintains power at Pautoclass + Pac_margin.  Pac_margin for Class 1-4 is 0.5 W.</t>
  </si>
  <si>
    <t>This is an INFO only paramter.  If PSE removes power set to 1 otherwise set to 0.  A value of 0 implies that the PSE does not support Autoclass.  The remaining parameters will not be tested and values will be set to 99.</t>
  </si>
  <si>
    <t>If PSE remains powered set to 1 otherwise set to 0.  If PSE determined to not support Autoclass then set to 99.</t>
  </si>
  <si>
    <t>PSE powers 3W in Class 4 and determines that PSE maintains power at Pautoclass + Pac_margin.  Pac_margin for Class 1-4 is 0.5 W.</t>
  </si>
  <si>
    <t>PSE powers 16W in Class 4 and determines that PSE maintains power at Pautoclass + Pac_margin.  Pac_margin for Class 1-4 is 0.5 W.</t>
  </si>
  <si>
    <t xml:space="preserve">          Pac_margin_C4_low=</t>
  </si>
  <si>
    <t xml:space="preserve">         Pac_margin_C4_high=</t>
  </si>
  <si>
    <t xml:space="preserve">               Autoclass_4W=</t>
  </si>
  <si>
    <t>Powers PSE with Pautoclass &lt; 4W then applys 95% of Pclass.  Verifies that PSE remains powered.</t>
  </si>
  <si>
    <t>Parameter from Supplemental Spec 802.3cv.  Returns 1 if PSE remains powered otherwise set to 0.  If PSE does not support Autoclass then value is set to 99.</t>
  </si>
  <si>
    <t>Additional Information</t>
  </si>
  <si>
    <t>PSE12</t>
  </si>
  <si>
    <t>PSE13</t>
  </si>
  <si>
    <t>33.2.5.1</t>
  </si>
  <si>
    <t xml:space="preserve">PSE5
PSE11
PSE13
PSE16
PSE17
PSE18
</t>
  </si>
  <si>
    <t xml:space="preserve">33.2.4.1
33.2.5.1
33.2.5.2
33.2.5.2
</t>
  </si>
  <si>
    <t>PSE9
PSE10
PSE19
PSE20</t>
  </si>
  <si>
    <t>33.2.5
33.2.5.3</t>
  </si>
  <si>
    <t>33.2.6.1
33.2.6.2</t>
  </si>
  <si>
    <t>33.2.4.4
33.2.4.6
33.2.6
33.2.6.1
33.2.6.2</t>
  </si>
  <si>
    <t>33.2.6
33.2.6.1
33.2.6.2</t>
  </si>
  <si>
    <t>PSE25
PSE26
PSE33
PSE36
PSE44
PSE45</t>
  </si>
  <si>
    <t>PSE23
PSE24
PSE31
PSE32
PSE40
PSE41
PSE42
PSE46</t>
  </si>
  <si>
    <t>PSE47</t>
  </si>
  <si>
    <t>33.2.7</t>
  </si>
  <si>
    <t>PSE47
PSE54
PSE55</t>
  </si>
  <si>
    <t>33.2.7
33.2.7.5</t>
  </si>
  <si>
    <t>PSE47
PSE50
PSE56
PSE57
PSE58</t>
  </si>
  <si>
    <t>33.2.7
33.2.7.2
33.2.7.7</t>
  </si>
  <si>
    <t>PSE12
PSE15
PSE59</t>
  </si>
  <si>
    <t>33.2.5.1
33.2.7.8</t>
  </si>
  <si>
    <t>PSE60</t>
  </si>
  <si>
    <t>33.2.7.9</t>
  </si>
  <si>
    <t>PSE64</t>
  </si>
  <si>
    <t>33.2.9.1.1</t>
  </si>
  <si>
    <t>PSE65
PSE66
PSE67</t>
  </si>
  <si>
    <t>PSE47
PSE69
PSE70</t>
  </si>
  <si>
    <t>33.2.7
33.2.9.1.2</t>
  </si>
  <si>
    <t>PSE47
PSE68
PSE71</t>
  </si>
  <si>
    <t>33.2.4.4
33.2.4.6
33.2.6
33.6
33.6.1
33.6.2
33.6.3</t>
  </si>
  <si>
    <t>PSE8
PSE47
PSE48
PSE52</t>
  </si>
  <si>
    <t>33.2.4.6
33.2.7
33.2.7.1
33.2.7.3</t>
  </si>
  <si>
    <t>PSE6
PSE7
PSE21
PSE27
PSE29
PSE34
PSE37
PSE38
PSE39
PSE43</t>
  </si>
  <si>
    <t>PSE8
PSE22
PSE28
PSE29
PSE30
PSE35
PSE43
PSE47
PSE63</t>
  </si>
  <si>
    <t>33.2.4.6
33.2.6
33.2.6.1
33.2.6.2
33.2.7
3.2.8</t>
  </si>
  <si>
    <t>PSE22
PSE51
PSE53
PSE63</t>
  </si>
  <si>
    <t>33.2.6
33.2.7.2
33.2.7.4
33.2.8</t>
  </si>
  <si>
    <t>802.3at PICS Tested Implicitly or Reduntantly</t>
  </si>
  <si>
    <t>802.3at Summary</t>
  </si>
  <si>
    <t>802.3at PICS Not Tested</t>
  </si>
  <si>
    <t>802.3bt PICS Not Tested</t>
  </si>
  <si>
    <t>Total Tested</t>
  </si>
  <si>
    <t>% Covered</t>
  </si>
  <si>
    <t>802.3bt Summary</t>
  </si>
  <si>
    <t>Clause</t>
  </si>
  <si>
    <t>PICS</t>
  </si>
  <si>
    <t>145.2.5.1
145.2.6.1
145.2.6.2
145.2.7
145.2.10.11</t>
  </si>
  <si>
    <t>PSE6
PSE10
PSE12
PSE15
PSE16
PSE17
PSE21
PSD75</t>
  </si>
  <si>
    <t>PSE76:  Applies to Dual Signature PD powering</t>
  </si>
  <si>
    <t xml:space="preserve">PSE12
</t>
  </si>
  <si>
    <t xml:space="preserve">145.2.6.2
</t>
  </si>
  <si>
    <t>PSE21:  Applies to 4-Pair PSE's that do connection check</t>
  </si>
  <si>
    <t>802.3bt PICS Tested Implicitly or Only Relevant to 4-Pair PSE's</t>
  </si>
  <si>
    <t xml:space="preserve">PSE9
PSE18
PSE19
</t>
  </si>
  <si>
    <t>PSE56:  Pertains to 4-Pair ID</t>
  </si>
  <si>
    <t>145.2.6
145.2.6.3
145.2.6.4</t>
  </si>
  <si>
    <t>PSE4
PSE5
PSE57</t>
  </si>
  <si>
    <t>145.2.5
145.2.5.1
145.2.10</t>
  </si>
  <si>
    <t>PSE7:  Applies to 4-Pair PSE's performing detection/connection check</t>
  </si>
  <si>
    <t>PSE11</t>
  </si>
  <si>
    <t>145.2.6.1</t>
  </si>
  <si>
    <t>PSE2:  Test won't operate unless PSE is valid Alt-A or Alt-B</t>
  </si>
  <si>
    <t>PSE3:  Test won't operate unless PSE is valid Alt-A or Alt-B</t>
  </si>
  <si>
    <t>PSE20:  Applies to 4-Pair PSE's that do connection check</t>
  </si>
  <si>
    <t>PSE22:  Applies to 4-Pair PSE's that do connection check</t>
  </si>
  <si>
    <t>145.2.8
145.2.8.1</t>
  </si>
  <si>
    <t>PSE1:  Type-4 Polarity Configuration with Limit Check in Test Report Header</t>
  </si>
  <si>
    <t>PSE14:  No capability to drive current into PSE port - this would risk damage to PSE port</t>
  </si>
  <si>
    <t>PSE61:  No ability to measure individual conductor currents nor to create ideal external balance</t>
  </si>
  <si>
    <t>PSE62:  No abilit to measure LAN Differential pulse characteristics (droop)</t>
  </si>
  <si>
    <t>PSE1:  Test Suite tests Endspans and Midspans</t>
  </si>
  <si>
    <t>PSE2:  Test won't operate unless Alt-A or Alt-B implemented</t>
  </si>
  <si>
    <t>PSE3:  Tests are organized by State Machine functions</t>
  </si>
  <si>
    <t>PSE4:  Redundant with other PICS (e.g. PSE27, PSE29, PSE47)</t>
  </si>
  <si>
    <t>PSE38
PSE40
PSE42
PSE44
PSE49
PSE50
PSE52
PSE53</t>
  </si>
  <si>
    <t>PSE28: Applies to Dual Signature PD detection</t>
  </si>
  <si>
    <t>PSE33: Applies to Dual Signature PD classification</t>
  </si>
  <si>
    <t>PSE31: Applies to Dual Signature PD classification</t>
  </si>
  <si>
    <t>PSE34:  Applies to Type-4 PSE's</t>
  </si>
  <si>
    <t>PSE35:  Applies to Type-4 PSE's</t>
  </si>
  <si>
    <t>PSE53:  Applies to Dual Signature PD classification</t>
  </si>
  <si>
    <t xml:space="preserve">145.2.8
145.2.8.1
</t>
  </si>
  <si>
    <t>PSE8:  This is primarily applicable to 4-Pair PSE's</t>
  </si>
  <si>
    <t>PSE27
PSE29
PSE30
PSE32
PSA36
PSE38
PSE40
PSE41
PSE43
PSE45
PSE50
PSE51
PSE52</t>
  </si>
  <si>
    <t>PSE37:  Applies to Dual Signature PD classification</t>
  </si>
  <si>
    <t>145.2.5
145.2.8.1</t>
  </si>
  <si>
    <t>PSE4
PSE30
PSE46
PSE47
PSE48</t>
  </si>
  <si>
    <t>PSE6
PSE7
PSE21
DLL1
DLL2
DLL3
DLL4
DLL5
DLL9</t>
  </si>
  <si>
    <t>DLL1
DLL2
DLL8
DLL9
PVT3
PVT18
PVT19</t>
  </si>
  <si>
    <t>145.5.1
145.5.2
145.5.3
79.3.2
79.3.2.5
79.3.2.6</t>
  </si>
  <si>
    <t>PSE60:  Applies to 4-Pair Powering</t>
  </si>
  <si>
    <t>PSE4
PSE57
PSE80</t>
  </si>
  <si>
    <t>PSE81:  Applies to Dual Signature PD powering</t>
  </si>
  <si>
    <t>145.2.5
145.2.10
145.2.10.14</t>
  </si>
  <si>
    <t>PSE4
PSE57
PSE68
PSE69</t>
  </si>
  <si>
    <t>145.2.5
145.2.10.7</t>
  </si>
  <si>
    <t>PSE57
PSE58
PSE61
PSE64</t>
  </si>
  <si>
    <t>145.2.10
145.2.10.1
145.2.10.3
145.2.10.5</t>
  </si>
  <si>
    <t>PSE29
PSE65
PSE68
PSE82</t>
  </si>
  <si>
    <t>145.2.8
145.2.10.6
145.2.10.7
145.2.11</t>
  </si>
  <si>
    <t>PSE57
PSE61
PSE71
PSE72
PSE73</t>
  </si>
  <si>
    <t>PSE79:  Applies to 4-Pair Type-4 PSE powering</t>
  </si>
  <si>
    <t>145.2.10.3
145.2.10.9</t>
  </si>
  <si>
    <t xml:space="preserve">PSE24a
PSE39
PSE54
PSE55
</t>
  </si>
  <si>
    <t>145.2.8.1
145.2.8.2</t>
  </si>
  <si>
    <t>PSE57
PSE62
PSE66
PSE82</t>
  </si>
  <si>
    <t>145.2.10.3
145.2.10.6
145.2.11</t>
  </si>
  <si>
    <t>145.2.10
145.2.12</t>
  </si>
  <si>
    <t>PSE57
PSE83
PSE84
PSE85
PSE87</t>
  </si>
  <si>
    <t>PSE88 - PSE96:  All apply to 4-Pair Powering</t>
  </si>
  <si>
    <t>PSE57
PSE83
PSE85
PSE86</t>
  </si>
  <si>
    <t>PSE14
PSE57
PSE74</t>
  </si>
  <si>
    <t>145.2.6.1
145.2.10.10</t>
  </si>
  <si>
    <t>PSE4
PSE57
PSE75
PSE76</t>
  </si>
  <si>
    <t>145.2.5
145.2.10
145.2.10.11</t>
  </si>
  <si>
    <r>
      <rPr>
        <b/>
        <i/>
        <sz val="10"/>
        <rFont val="Arial"/>
        <family val="2"/>
      </rPr>
      <t>Ilim_min</t>
    </r>
    <r>
      <rPr>
        <i/>
        <sz val="10"/>
        <rFont val="Arial"/>
        <family val="2"/>
      </rPr>
      <t xml:space="preserve"> is completely redefined in 802.3at and 802.3bt to represent a MINIMUM transient current level that a PSE port must support for a minimum duration of </t>
    </r>
    <r>
      <rPr>
        <b/>
        <i/>
        <sz val="10"/>
        <rFont val="Arial"/>
        <family val="2"/>
      </rPr>
      <t>Tlim_Min</t>
    </r>
    <r>
      <rPr>
        <i/>
        <sz val="10"/>
        <rFont val="Arial"/>
        <family val="2"/>
      </rPr>
      <t xml:space="preserve">.  For Type-1 and 15W Type-3 PSE's (Type-1 PD emulation), the PSE must support 400mA for 50 msec.   For Type-2 and 30W Type-3 PSE's, the PSE must support 684 mA for 10 msec assuming port voltage does not drop below </t>
    </r>
    <r>
      <rPr>
        <b/>
        <i/>
        <sz val="10"/>
        <rFont val="Arial"/>
        <family val="2"/>
      </rPr>
      <t>Vpse_min</t>
    </r>
    <r>
      <rPr>
        <i/>
        <sz val="10"/>
        <rFont val="Arial"/>
        <family val="2"/>
      </rPr>
      <t xml:space="preserve">.   Given these loads, the PSE should support a port voltage of </t>
    </r>
    <r>
      <rPr>
        <b/>
        <i/>
        <sz val="10"/>
        <rFont val="Arial"/>
        <family val="2"/>
      </rPr>
      <t>Vpse_min</t>
    </r>
    <r>
      <rPr>
        <i/>
        <sz val="10"/>
        <rFont val="Arial"/>
        <family val="2"/>
      </rPr>
      <t xml:space="preserve"> or higher.
</t>
    </r>
    <r>
      <rPr>
        <b/>
        <i/>
        <sz val="10"/>
        <rFont val="Arial"/>
        <family val="2"/>
      </rPr>
      <t>Tlim_max</t>
    </r>
    <r>
      <rPr>
        <i/>
        <sz val="10"/>
        <rFont val="Arial"/>
        <family val="2"/>
      </rPr>
      <t xml:space="preserve"> with Type-3 PSE's is tested using an 850mA load rather than </t>
    </r>
    <r>
      <rPr>
        <b/>
        <i/>
        <sz val="10"/>
        <rFont val="Arial"/>
        <family val="2"/>
      </rPr>
      <t>Ilim_min</t>
    </r>
    <r>
      <rPr>
        <i/>
        <sz val="10"/>
        <rFont val="Arial"/>
        <family val="2"/>
      </rPr>
      <t xml:space="preserve"> in accordance with the Type-3 current template in clause 145.</t>
    </r>
  </si>
  <si>
    <t>Reported with 802.3at PSE's.</t>
  </si>
  <si>
    <t>Reported with 802.3bt Type-3 PSE's</t>
  </si>
  <si>
    <r>
      <t xml:space="preserve">A PSE using the voltage method (legacy_powerup exception in 802.3at) will not necessarily limit inrush current to a PD that delays its inrush load by even just one millisecond.   This could damage a PD that is expecting inrush PSE-based limiting.   If </t>
    </r>
    <r>
      <rPr>
        <b/>
        <i/>
        <sz val="10"/>
        <rFont val="Arial"/>
        <family val="2"/>
      </rPr>
      <t>Inrush_Strategy_cN</t>
    </r>
    <r>
      <rPr>
        <i/>
        <sz val="10"/>
        <rFont val="Arial"/>
        <family val="2"/>
      </rPr>
      <t xml:space="preserve"> is 1, the PSE is using Type-1 </t>
    </r>
    <r>
      <rPr>
        <b/>
        <i/>
        <sz val="10"/>
        <rFont val="Arial"/>
        <family val="2"/>
      </rPr>
      <t>Ilim</t>
    </r>
    <r>
      <rPr>
        <i/>
        <sz val="10"/>
        <rFont val="Arial"/>
        <family val="2"/>
      </rPr>
      <t xml:space="preserve"> and </t>
    </r>
    <r>
      <rPr>
        <b/>
        <i/>
        <sz val="10"/>
        <rFont val="Arial"/>
        <family val="2"/>
      </rPr>
      <t>Tlim</t>
    </r>
    <r>
      <rPr>
        <i/>
        <sz val="10"/>
        <rFont val="Arial"/>
        <family val="2"/>
      </rPr>
      <t xml:space="preserve"> to produce a shutdown after 50 msec and before 75 msec while limiting to 450mA or less, so this is almost as good as the recommended </t>
    </r>
    <r>
      <rPr>
        <b/>
        <i/>
        <sz val="10"/>
        <rFont val="Arial"/>
        <family val="2"/>
      </rPr>
      <t>Tinrush</t>
    </r>
    <r>
      <rPr>
        <i/>
        <sz val="10"/>
        <rFont val="Arial"/>
        <family val="2"/>
      </rPr>
      <t xml:space="preserve"> processing.  Values 2 and 3 produce INFO warnings as they risk damage to a PD.   Value 4 produces INFO warning as it may prohibit PD powering.  With Type-3 (802.3bt) PSE's, </t>
    </r>
    <r>
      <rPr>
        <b/>
        <i/>
        <sz val="10"/>
        <rFont val="Arial"/>
        <family val="2"/>
      </rPr>
      <t>Inrush_Strategy</t>
    </r>
    <r>
      <rPr>
        <i/>
        <sz val="10"/>
        <rFont val="Arial"/>
        <family val="2"/>
      </rPr>
      <t xml:space="preserve"> must report 0 or test will FAIL.</t>
    </r>
  </si>
  <si>
    <r>
      <t xml:space="preserve">Excursion below 50V given a 250usec, 686mA load pulse when testing Type-2 PSE's.   In 802.3bt (clause 145), this parameter is named </t>
    </r>
    <r>
      <rPr>
        <b/>
        <sz val="10"/>
        <rFont val="Arial"/>
        <family val="2"/>
      </rPr>
      <t>Vtrans_2p</t>
    </r>
    <r>
      <rPr>
        <sz val="10"/>
        <rFont val="Arial"/>
        <family val="2"/>
      </rPr>
      <t>.</t>
    </r>
  </si>
  <si>
    <r>
      <t xml:space="preserve">Must support at least 100% of Ipeak for 50 msec. </t>
    </r>
    <r>
      <rPr>
        <b/>
        <i/>
        <sz val="10"/>
        <rFont val="Arial"/>
        <family val="2"/>
      </rPr>
      <t xml:space="preserve"> Ipeak</t>
    </r>
    <r>
      <rPr>
        <i/>
        <sz val="10"/>
        <rFont val="Arial"/>
        <family val="2"/>
      </rPr>
      <t xml:space="preserve"> computed from formula 33-4.</t>
    </r>
  </si>
  <si>
    <r>
      <t xml:space="preserve">Port voltage must be </t>
    </r>
    <r>
      <rPr>
        <i/>
        <u/>
        <sz val="10"/>
        <rFont val="Arial"/>
        <family val="2"/>
      </rPr>
      <t>&gt;</t>
    </r>
    <r>
      <rPr>
        <i/>
        <sz val="10"/>
        <rFont val="Arial"/>
        <family val="2"/>
      </rPr>
      <t xml:space="preserve"> </t>
    </r>
    <r>
      <rPr>
        <b/>
        <i/>
        <sz val="10"/>
        <rFont val="Arial"/>
        <family val="2"/>
      </rPr>
      <t>Vpse_min</t>
    </r>
  </si>
  <si>
    <r>
      <t xml:space="preserve">Maximum time over which a PSE can decide to reset it's </t>
    </r>
    <r>
      <rPr>
        <b/>
        <sz val="10"/>
        <rFont val="Arial"/>
        <family val="2"/>
      </rPr>
      <t>Tmpdo</t>
    </r>
    <r>
      <rPr>
        <sz val="10"/>
        <rFont val="Arial"/>
        <family val="2"/>
      </rPr>
      <t xml:space="preserve"> timer given a VALID DC MPS load level.    
802.3at (clause 33) PSE's should reset Tmpdo timer with 60msec or less of valid MPS current.
802.3bt (clause 145) PSE's should reset Tmpdo timer with 6msec or less of valid MPS current.</t>
    </r>
  </si>
  <si>
    <t>802.3at (clause 33) and 802.3bt (clause 145) have different requirements for I_hold.  Valid values are 5-10 mA for 802.3at and 4-9 mA for 802.3bt PSE's.</t>
  </si>
  <si>
    <t>802.3at (clause 33) and 802.3bt (clause 145) have different requirements for Tmpdo.  Valid values are 300 msec-400msec for 802.3at and 320-400msec for 802.3bt PSE's.</t>
  </si>
  <si>
    <t>802.3af Maintenance Request 1117 redfined error delay processing to allow detection and classification during the error delay interval so long as power-up is inhibited.  The 802.3at and 802.3bt PSE state machines include this optional PSE behavior.</t>
  </si>
  <si>
    <t>PSE13:  See 802.3at PSE14</t>
  </si>
  <si>
    <t>PSE23:  Applies to 4-Pair PSE's that do connection check</t>
  </si>
  <si>
    <t>PSE25:  Applies to pairset power removal from 4-Pair powering</t>
  </si>
  <si>
    <t>PSE24:  Applies to pairset power removal from 4-Pair powering</t>
  </si>
  <si>
    <t>PSE26:  Applies to pairset power removal from 4-Pair powering</t>
  </si>
  <si>
    <t>PSE63:  Applies to 4-Pair Powering</t>
  </si>
  <si>
    <t>PSE67:  Applies to 4-Pair Powering</t>
  </si>
  <si>
    <t>PSE70:  No ability to measure inrush current with PSE voltage between 5 and 30V</t>
  </si>
  <si>
    <t>PSE77:  See 802.3at PSE61</t>
  </si>
  <si>
    <t>PSE59:  See 802.3at PSE49</t>
  </si>
  <si>
    <t>PSE78:  See 802.3at PSE62</t>
  </si>
  <si>
    <t>PSE49:  No ability to adjust current at 35mA/usec and no assurance that a measurable slew rate would occur</t>
  </si>
  <si>
    <t>Total PSE  / Applicable DLL PICS</t>
  </si>
  <si>
    <t xml:space="preserve">For Type-3 BT 2-pair PSEs. 2 &gt; at_tlv value, 1 = at_tlv value, 0 &lt; at_tlv value.  -1 if PSE did not transmit BT TLVs </t>
  </si>
  <si>
    <t>If PD Emulation is done using a PSA-3102 test blade, then BT TLVs are not supported.  This will result in a -1 result that will FAIL.   PSA-3202 test blades should be used for Testing Type-3 PSE's that utilize LLDP.</t>
  </si>
  <si>
    <t xml:space="preserve">Peak output current from 1 to 75 msec given a current limiting (&gt; Ilim_Min) load pulse with foldback suppression.  </t>
  </si>
  <si>
    <r>
      <t xml:space="preserve">Informational only.   If it reports lower than </t>
    </r>
    <r>
      <rPr>
        <b/>
        <i/>
        <sz val="10"/>
        <rFont val="Arial"/>
        <family val="2"/>
      </rPr>
      <t>Ilim_min_n</t>
    </r>
    <r>
      <rPr>
        <i/>
        <sz val="10"/>
        <rFont val="Arial"/>
        <family val="2"/>
      </rPr>
      <t>, then the PSE is either shutting down or folding back to a lower current limit very rapidly (&lt;&lt; 1 msec).</t>
    </r>
  </si>
  <si>
    <t xml:space="preserve">          PSE_Detect_Source=</t>
  </si>
  <si>
    <t xml:space="preserve">              Class_0_Count=</t>
  </si>
  <si>
    <t xml:space="preserve">              Class_4_Count=</t>
  </si>
  <si>
    <t xml:space="preserve">          Power-On_Trise_c0=</t>
  </si>
  <si>
    <t xml:space="preserve">           Power-On_Tpon_c0=</t>
  </si>
  <si>
    <t xml:space="preserve">           Power-On_Tpon_c4=</t>
  </si>
  <si>
    <t xml:space="preserve">          Power-On_Trise_c4=</t>
  </si>
  <si>
    <t xml:space="preserve">                  Vport_max=</t>
  </si>
  <si>
    <t xml:space="preserve">                  Vport_min=</t>
  </si>
  <si>
    <t xml:space="preserve">               Vport_ripple=</t>
  </si>
  <si>
    <t xml:space="preserve">                Vport_noise=</t>
  </si>
  <si>
    <t xml:space="preserve">                 Vtrans_min=</t>
  </si>
  <si>
    <t xml:space="preserve">                 Vtrans_max=</t>
  </si>
  <si>
    <t xml:space="preserve">                Ilim_Peak_1=</t>
  </si>
  <si>
    <t xml:space="preserve">                Ilim_Peak_2=</t>
  </si>
  <si>
    <t>Indicate if Detection is a Current Source or Voltage Source</t>
  </si>
  <si>
    <t>set to 0 if Voltage Source, 1 if Current Source</t>
  </si>
  <si>
    <r>
      <t>det_rsource cannot determine if PSE output is diode protected or if reverse input resistance = Zout.  Rp (pwrdn_time) MAY be a more accurate indication of Rrev.  Maximum value reported will be 450K</t>
    </r>
    <r>
      <rPr>
        <i/>
        <sz val="10"/>
        <rFont val="Symbol"/>
        <family val="1"/>
        <charset val="2"/>
      </rPr>
      <t>W</t>
    </r>
    <r>
      <rPr>
        <i/>
        <sz val="10"/>
        <rFont val="Arial"/>
        <family val="2"/>
      </rPr>
      <t xml:space="preserve"> as this is highest Zout that can be resolved by the measurement technique.  If PSE_Detect_Source is 0 (Voltage) then this parameter is set to 0.</t>
    </r>
  </si>
  <si>
    <t>Classification Pulse (Or Event) Count for Class 0</t>
  </si>
  <si>
    <t>Classification Pulse (Or Event) Count for Class 4</t>
  </si>
  <si>
    <t>Class_0_Count must be 0 or 1 for Type 1 PSEs, 1 for Type 2 PSEs using LLDP, 1 or 2 for Type 2 PSEs using PHY and 1 for Type 3 PSEs.</t>
  </si>
  <si>
    <t>Class_4_Count must be 0 or 1 for Type 1 PSEs, 1 for Type 2 PSEs using LLDP, 2 for Type 2 PSEs using PHY and 2 or 3 for Type 3 PSEs.</t>
  </si>
  <si>
    <t xml:space="preserve">          Power-On_Trise_cN=</t>
  </si>
  <si>
    <t xml:space="preserve">           Power-On_Tpon_cN=</t>
  </si>
  <si>
    <t>Unscored</t>
  </si>
  <si>
    <t>Accept</t>
  </si>
  <si>
    <t>Type-1 and Type-2 PSEs are tested at all 5 PD Classes.  Type-1 PSE's expect to meet Class 3 specs when tested with Class 4 signature.  The power output, Pclass, required from a PSE port is calculated as as function of PSE port voltage at full load capacity using IEEE 802.3at equation 33-3.  The load current at full capacity is then ratio'd to Pclass / Vport_pse to produce Icon_%.</t>
  </si>
  <si>
    <t xml:space="preserve">                Ilim_Peak_n=</t>
  </si>
  <si>
    <t>Pertains to all PSE's that do PHY classification.  43 mA is used for all PSEs to calculate Vclass_Min.</t>
  </si>
  <si>
    <t>Ktran_lo_n=</t>
  </si>
  <si>
    <t xml:space="preserve">                 Vclass_Max=</t>
  </si>
  <si>
    <t>V</t>
  </si>
  <si>
    <t>edges</t>
  </si>
  <si>
    <t>W</t>
  </si>
  <si>
    <t>mVpp</t>
  </si>
  <si>
    <t xml:space="preserve"> report version 5.3.02</t>
  </si>
  <si>
    <r>
      <rPr>
        <b/>
        <sz val="10"/>
        <color theme="4"/>
        <rFont val="Arial"/>
        <family val="2"/>
      </rPr>
      <t>Important!</t>
    </r>
    <r>
      <rPr>
        <sz val="10"/>
        <color theme="3"/>
        <rFont val="Arial"/>
        <family val="2"/>
      </rPr>
      <t xml:space="preserve">  The Sifos Interop  Index is </t>
    </r>
    <r>
      <rPr>
        <b/>
        <sz val="10"/>
        <color theme="3"/>
        <rFont val="Arial"/>
        <family val="2"/>
      </rPr>
      <t>NOT</t>
    </r>
    <r>
      <rPr>
        <sz val="10"/>
        <color theme="3"/>
        <rFont val="Arial"/>
        <family val="2"/>
      </rPr>
      <t xml:space="preserve"> an indication of PSE Conformance.   PSE conformance to 802.3 specifications is established when:
1.  All available tests applicable to PSE attributes are sequenced AND
2.  No </t>
    </r>
    <r>
      <rPr>
        <b/>
        <sz val="10"/>
        <color rgb="FFFF0000"/>
        <rFont val="Arial"/>
        <family val="2"/>
      </rPr>
      <t>FAIL</t>
    </r>
    <r>
      <rPr>
        <sz val="10"/>
        <color theme="3"/>
        <rFont val="Arial"/>
        <family val="2"/>
      </rPr>
      <t xml:space="preserve"> marks appear in the test report.
The Sifos Interop Index is a aggregate summary derived from PSE Conformance Testing Results.   The index only considers those PSE characteristics that </t>
    </r>
    <r>
      <rPr>
        <b/>
        <sz val="10"/>
        <color theme="3"/>
        <rFont val="Arial"/>
        <family val="2"/>
      </rPr>
      <t>may</t>
    </r>
    <r>
      <rPr>
        <sz val="10"/>
        <color theme="3"/>
        <rFont val="Arial"/>
        <family val="2"/>
      </rPr>
      <t xml:space="preserve"> affect PSE inter-operation with: </t>
    </r>
  </si>
  <si>
    <r>
      <rPr>
        <b/>
        <sz val="10"/>
        <rFont val="Arial"/>
        <family val="2"/>
      </rPr>
      <t>*</t>
    </r>
    <r>
      <rPr>
        <sz val="10"/>
        <rFont val="Arial"/>
        <family val="2"/>
      </rPr>
      <t xml:space="preserve"> </t>
    </r>
    <r>
      <rPr>
        <i/>
        <sz val="10"/>
        <rFont val="Arial"/>
        <family val="2"/>
      </rPr>
      <t xml:space="preserve">See footnote on </t>
    </r>
    <r>
      <rPr>
        <b/>
        <i/>
        <sz val="10"/>
        <rFont val="Arial"/>
        <family val="2"/>
      </rPr>
      <t>Interop</t>
    </r>
    <r>
      <rPr>
        <i/>
        <sz val="10"/>
        <rFont val="Arial"/>
        <family val="2"/>
      </rPr>
      <t xml:space="preserve"> tab</t>
    </r>
  </si>
  <si>
    <t>June 5 2025</t>
    <phoneticPr fontId="0" type="noConversion"/>
  </si>
  <si>
    <t>4.19</t>
  </si>
  <si>
    <t>Chassis ID: 192.168.221.105</t>
    <phoneticPr fontId="0" type="noConversion"/>
  </si>
  <si>
    <t>5.3.10</t>
  </si>
  <si>
    <t>None</t>
    <phoneticPr fontId="0" type="noConversion"/>
  </si>
  <si>
    <r>
      <t xml:space="preserve">PSE Tested: </t>
    </r>
    <r>
      <rPr>
        <b/>
        <sz val="10"/>
        <color theme="2"/>
        <rFont val="Arial"/>
        <family val="2"/>
      </rPr>
      <t>Unspecified Type-2 30W</t>
    </r>
    <phoneticPr fontId="0" type="noConversion"/>
  </si>
  <si>
    <t xml:space="preserve">    1-1</t>
  </si>
  <si>
    <t xml:space="preserve">Test: det_v                 </t>
  </si>
  <si>
    <t xml:space="preserve">Test: det_i                 </t>
  </si>
  <si>
    <t xml:space="preserve">Test: det_range             </t>
  </si>
  <si>
    <t xml:space="preserve">Test: det_time              </t>
  </si>
  <si>
    <t xml:space="preserve">Test: det_rsource           </t>
  </si>
  <si>
    <t xml:space="preserve">Test: class_v               </t>
  </si>
  <si>
    <t xml:space="preserve">Test: class_time            </t>
  </si>
  <si>
    <t xml:space="preserve">                   Mark_lim=</t>
  </si>
  <si>
    <t xml:space="preserve">Test: pwrup_time            </t>
  </si>
  <si>
    <t xml:space="preserve">Test: pwrup_inrush          </t>
  </si>
  <si>
    <t xml:space="preserve">Test: pwron_v               </t>
  </si>
  <si>
    <t xml:space="preserve">Test: pwron_pwrcap          </t>
  </si>
  <si>
    <t xml:space="preserve">Test: pwron_maxi            </t>
  </si>
  <si>
    <t xml:space="preserve">Test: pwron_overld          </t>
  </si>
  <si>
    <t xml:space="preserve">Test: mps_dc_valid          </t>
  </si>
  <si>
    <t xml:space="preserve">Test: mps_dc_pwrdn          </t>
  </si>
  <si>
    <t xml:space="preserve">Test: pwrdn_overld          </t>
  </si>
  <si>
    <t xml:space="preserve">Test: pwrdn_time            </t>
  </si>
  <si>
    <t xml:space="preserve">Test: pwrdn_v               </t>
  </si>
  <si>
    <t>Test Port Model Number:</t>
  </si>
  <si>
    <t>Test Port Hardware Version:</t>
  </si>
  <si>
    <t>Test Port Firmware Version:</t>
  </si>
  <si>
    <t>TestLoop:  1</t>
    <phoneticPr fontId="0" type="noConversion"/>
  </si>
  <si>
    <t xml:space="preserve">      V</t>
  </si>
  <si>
    <t xml:space="preserve"> V/usec</t>
  </si>
  <si>
    <t xml:space="preserve">  edges</t>
  </si>
  <si>
    <t xml:space="preserve">   ****</t>
  </si>
  <si>
    <t xml:space="preserve">     mA</t>
  </si>
  <si>
    <t xml:space="preserve">   Kohm</t>
  </si>
  <si>
    <t xml:space="preserve">     uF</t>
  </si>
  <si>
    <t xml:space="preserve">   msec</t>
  </si>
  <si>
    <t xml:space="preserve">   usec</t>
  </si>
  <si>
    <t xml:space="preserve">   mVpp</t>
  </si>
  <si>
    <t xml:space="preserve">      W</t>
  </si>
  <si>
    <t xml:space="preserve">      %</t>
  </si>
  <si>
    <t>4.19 lc19</t>
  </si>
  <si>
    <t>Info</t>
  </si>
  <si>
    <t>Pass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</si>
</sst>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mmm\ d\,\ yyyy"/>
    <numFmt numFmtId="177" formatCode="0.0%"/>
    <numFmt numFmtId="178" formatCode="[$-409]mmmm\ d\,\ yyyy;@"/>
    <numFmt numFmtId="179" formatCode="[$-409]h:mm\ AM/PM;@"/>
  </numFmts>
  <fonts count="59" x14ac:knownFonts="1">
    <font>
      <sz val="10"/>
      <name val="Arial"/>
    </font>
    <font>
      <b/>
      <sz val="11"/>
      <name val="Arial"/>
      <family val="2"/>
    </font>
    <font>
      <b/>
      <sz val="12"/>
      <name val="Arial"/>
      <family val="2"/>
    </font>
    <font>
      <b/>
      <sz val="11"/>
      <color indexed="9"/>
      <name val="Arial"/>
      <family val="2"/>
    </font>
    <font>
      <sz val="10"/>
      <name val="Symbol"/>
      <family val="1"/>
      <charset val="2"/>
    </font>
    <font>
      <b/>
      <sz val="9"/>
      <color indexed="9"/>
      <name val="Arial"/>
      <family val="2"/>
    </font>
    <font>
      <sz val="10"/>
      <color indexed="22"/>
      <name val="Arial"/>
      <family val="2"/>
    </font>
    <font>
      <i/>
      <sz val="10"/>
      <color indexed="22"/>
      <name val="Arial"/>
      <family val="2"/>
    </font>
    <font>
      <sz val="10"/>
      <name val="Courier New"/>
      <family val="3"/>
    </font>
    <font>
      <sz val="10"/>
      <name val="Arial"/>
      <family val="2"/>
    </font>
    <font>
      <b/>
      <sz val="10"/>
      <name val="Arial"/>
      <family val="2"/>
    </font>
    <font>
      <sz val="10"/>
      <color indexed="9"/>
      <name val="Arial"/>
      <family val="2"/>
    </font>
    <font>
      <i/>
      <sz val="10"/>
      <name val="Arial"/>
      <family val="2"/>
    </font>
    <font>
      <b/>
      <sz val="10"/>
      <color indexed="18"/>
      <name val="Arial"/>
      <family val="2"/>
    </font>
    <font>
      <i/>
      <u/>
      <sz val="10"/>
      <name val="Arial"/>
      <family val="2"/>
    </font>
    <font>
      <b/>
      <sz val="10"/>
      <color indexed="26"/>
      <name val="Arial"/>
      <family val="2"/>
    </font>
    <font>
      <i/>
      <sz val="10"/>
      <color indexed="44"/>
      <name val="Arial"/>
      <family val="2"/>
    </font>
    <font>
      <sz val="10"/>
      <color indexed="44"/>
      <name val="Arial"/>
      <family val="2"/>
    </font>
    <font>
      <b/>
      <sz val="14"/>
      <color indexed="9"/>
      <name val="Arial"/>
      <family val="2"/>
    </font>
    <font>
      <b/>
      <sz val="12"/>
      <color indexed="9"/>
      <name val="Arial"/>
      <family val="2"/>
    </font>
    <font>
      <i/>
      <sz val="10"/>
      <name val="Symbol"/>
      <family val="1"/>
      <charset val="2"/>
    </font>
    <font>
      <i/>
      <sz val="10"/>
      <color indexed="10"/>
      <name val="Arial"/>
      <family val="2"/>
    </font>
    <font>
      <sz val="10"/>
      <color indexed="81"/>
      <name val="Tahoma"/>
      <family val="2"/>
    </font>
    <font>
      <b/>
      <sz val="10"/>
      <color indexed="81"/>
      <name val="Tahoma"/>
      <family val="2"/>
    </font>
    <font>
      <b/>
      <sz val="8"/>
      <color indexed="81"/>
      <name val="Tahoma"/>
      <family val="2"/>
    </font>
    <font>
      <sz val="8"/>
      <color indexed="81"/>
      <name val="Tahoma"/>
      <family val="2"/>
    </font>
    <font>
      <b/>
      <i/>
      <sz val="10"/>
      <name val="Arial"/>
      <family val="2"/>
    </font>
    <font>
      <i/>
      <sz val="10"/>
      <color theme="5"/>
      <name val="Arial"/>
      <family val="2"/>
    </font>
    <font>
      <i/>
      <sz val="10"/>
      <color theme="7" tint="0.79998168889431442"/>
      <name val="Arial"/>
      <family val="2"/>
    </font>
    <font>
      <i/>
      <sz val="10"/>
      <color rgb="FFC00000"/>
      <name val="Arial"/>
      <family val="2"/>
    </font>
    <font>
      <b/>
      <sz val="10"/>
      <color rgb="FFC00000"/>
      <name val="Arial"/>
      <family val="2"/>
    </font>
    <font>
      <b/>
      <sz val="10"/>
      <color theme="3"/>
      <name val="Arial"/>
      <family val="2"/>
    </font>
    <font>
      <b/>
      <sz val="12"/>
      <color rgb="FFFFFFFF"/>
      <name val="Arial"/>
      <family val="2"/>
    </font>
    <font>
      <b/>
      <sz val="14"/>
      <color theme="3"/>
      <name val="Arial"/>
      <family val="2"/>
    </font>
    <font>
      <sz val="10"/>
      <color theme="3"/>
      <name val="Arial"/>
      <family val="2"/>
    </font>
    <font>
      <b/>
      <sz val="10"/>
      <color theme="0" tint="0.79998168889431442"/>
      <name val="Arial"/>
      <family val="2"/>
    </font>
    <font>
      <b/>
      <sz val="12"/>
      <color theme="7" tint="0.79998168889431442"/>
      <name val="Arial"/>
      <family val="2"/>
    </font>
    <font>
      <sz val="10"/>
      <color theme="0" tint="0.79998168889431442"/>
      <name val="Arial"/>
      <family val="2"/>
    </font>
    <font>
      <b/>
      <sz val="11"/>
      <color rgb="FFFFFFFF"/>
      <name val="Arial"/>
      <family val="2"/>
    </font>
    <font>
      <b/>
      <sz val="11"/>
      <color theme="2"/>
      <name val="Arial"/>
      <family val="2"/>
    </font>
    <font>
      <sz val="10"/>
      <color rgb="FFFFFFFF"/>
      <name val="Arial"/>
      <family val="2"/>
    </font>
    <font>
      <b/>
      <sz val="10"/>
      <color rgb="FFFFFFFF"/>
      <name val="Arial"/>
      <family val="2"/>
    </font>
    <font>
      <i/>
      <sz val="10"/>
      <color theme="2"/>
      <name val="Arial"/>
      <family val="2"/>
    </font>
    <font>
      <sz val="9"/>
      <color indexed="81"/>
      <name val="Tahoma"/>
      <family val="2"/>
    </font>
    <font>
      <b/>
      <sz val="14"/>
      <color rgb="FFFFFFFF"/>
      <name val="Arial"/>
      <family val="2"/>
    </font>
    <font>
      <b/>
      <sz val="14"/>
      <color theme="4" tint="0.79998168889431442"/>
      <name val="Arial"/>
      <family val="2"/>
    </font>
    <font>
      <i/>
      <sz val="10"/>
      <color theme="4" tint="0.79998168889431442"/>
      <name val="Arial"/>
      <family val="2"/>
    </font>
    <font>
      <b/>
      <sz val="10"/>
      <color theme="7" tint="0.79998168889431442"/>
      <name val="Arial"/>
      <family val="2"/>
    </font>
    <font>
      <sz val="10"/>
      <color theme="7" tint="0.79998168889431442"/>
      <name val="Arial"/>
      <family val="2"/>
    </font>
    <font>
      <b/>
      <sz val="26"/>
      <color theme="7" tint="0.79998168889431442"/>
      <name val="Arial"/>
      <family val="2"/>
    </font>
    <font>
      <sz val="10"/>
      <color theme="0"/>
      <name val="Arial"/>
      <family val="2"/>
    </font>
    <font>
      <b/>
      <sz val="12"/>
      <color theme="3"/>
      <name val="Arial"/>
      <family val="2"/>
    </font>
    <font>
      <sz val="10"/>
      <color theme="8" tint="-0.249977111117893"/>
      <name val="Arial"/>
      <family val="2"/>
    </font>
    <font>
      <b/>
      <sz val="11"/>
      <color theme="7" tint="0.79998168889431442"/>
      <name val="Arial"/>
      <family val="2"/>
    </font>
    <font>
      <sz val="10"/>
      <name val="Arial"/>
      <family val="2"/>
    </font>
    <font>
      <i/>
      <sz val="10"/>
      <color theme="0"/>
      <name val="Arial"/>
      <family val="2"/>
    </font>
    <font>
      <b/>
      <sz val="10"/>
      <color theme="4"/>
      <name val="Arial"/>
      <family val="2"/>
    </font>
    <font>
      <b/>
      <sz val="10"/>
      <color rgb="FFFF0000"/>
      <name val="Arial"/>
      <family val="2"/>
    </font>
    <font>
      <b/>
      <sz val="10"/>
      <color theme="2"/>
      <name val="Arial"/>
      <family val="2"/>
    </font>
  </fonts>
  <fills count="2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3"/>
        <bgColor indexed="64"/>
      </patternFill>
    </fill>
    <fill>
      <patternFill patternType="solid">
        <fgColor theme="2" tint="0.79998168889431442"/>
        <bgColor indexed="64"/>
      </patternFill>
    </fill>
    <fill>
      <patternFill patternType="solid">
        <fgColor theme="6" tint="0.59999389629810485"/>
        <bgColor indexed="64"/>
      </patternFill>
    </fill>
    <fill>
      <patternFill patternType="solid">
        <fgColor theme="5"/>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59999389629810485"/>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7C80"/>
        <bgColor indexed="64"/>
      </patternFill>
    </fill>
    <fill>
      <patternFill patternType="solid">
        <fgColor theme="3" tint="0.749992370372631"/>
        <bgColor indexed="64"/>
      </patternFill>
    </fill>
    <fill>
      <patternFill patternType="solid">
        <fgColor theme="0"/>
        <bgColor indexed="64"/>
      </patternFill>
    </fill>
    <fill>
      <patternFill patternType="solid">
        <fgColor theme="9" tint="0.79998168889431442"/>
        <bgColor indexed="64"/>
      </patternFill>
    </fill>
  </fills>
  <borders count="14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9"/>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thin">
        <color indexed="64"/>
      </right>
      <top style="medium">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18"/>
      </left>
      <right/>
      <top style="thin">
        <color indexed="18"/>
      </top>
      <bottom/>
      <diagonal/>
    </border>
    <border>
      <left/>
      <right/>
      <top style="thin">
        <color indexed="18"/>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26"/>
      </top>
      <bottom/>
      <diagonal/>
    </border>
    <border>
      <left/>
      <right/>
      <top/>
      <bottom style="thin">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56"/>
      </right>
      <top/>
      <bottom style="thin">
        <color indexed="56"/>
      </bottom>
      <diagonal/>
    </border>
    <border>
      <left/>
      <right style="thin">
        <color indexed="64"/>
      </right>
      <top style="thin">
        <color indexed="26"/>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56"/>
      </top>
      <bottom/>
      <diagonal/>
    </border>
    <border>
      <left/>
      <right style="thin">
        <color indexed="64"/>
      </right>
      <top style="thin">
        <color indexed="56"/>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ck">
        <color theme="3"/>
      </right>
      <top/>
      <bottom/>
      <diagonal/>
    </border>
    <border>
      <left style="medium">
        <color theme="3"/>
      </left>
      <right style="thin">
        <color indexed="64"/>
      </right>
      <top style="medium">
        <color theme="3"/>
      </top>
      <bottom style="medium">
        <color theme="3"/>
      </bottom>
      <diagonal/>
    </border>
    <border>
      <left style="thin">
        <color indexed="64"/>
      </left>
      <right style="thin">
        <color indexed="64"/>
      </right>
      <top style="medium">
        <color theme="3"/>
      </top>
      <bottom style="medium">
        <color theme="3"/>
      </bottom>
      <diagonal/>
    </border>
    <border>
      <left style="thin">
        <color indexed="64"/>
      </left>
      <right style="thin">
        <color indexed="64"/>
      </right>
      <top style="thin">
        <color indexed="64"/>
      </top>
      <bottom style="medium">
        <color theme="3"/>
      </bottom>
      <diagonal/>
    </border>
    <border>
      <left style="thin">
        <color indexed="64"/>
      </left>
      <right style="thin">
        <color indexed="64"/>
      </right>
      <top style="medium">
        <color theme="3"/>
      </top>
      <bottom/>
      <diagonal/>
    </border>
    <border>
      <left style="medium">
        <color theme="3"/>
      </left>
      <right style="thin">
        <color indexed="64"/>
      </right>
      <top style="medium">
        <color theme="3"/>
      </top>
      <bottom/>
      <diagonal/>
    </border>
    <border>
      <left style="medium">
        <color theme="3"/>
      </left>
      <right style="thin">
        <color indexed="64"/>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medium">
        <color theme="3"/>
      </left>
      <right style="thin">
        <color indexed="64"/>
      </right>
      <top style="thin">
        <color indexed="64"/>
      </top>
      <bottom style="medium">
        <color theme="3"/>
      </bottom>
      <diagonal/>
    </border>
    <border>
      <left/>
      <right/>
      <top/>
      <bottom style="medium">
        <color theme="8" tint="0.79998168889431442"/>
      </bottom>
      <diagonal/>
    </border>
    <border>
      <left/>
      <right style="thick">
        <color theme="3"/>
      </right>
      <top/>
      <bottom style="medium">
        <color theme="8" tint="0.79998168889431442"/>
      </bottom>
      <diagonal/>
    </border>
    <border>
      <left/>
      <right/>
      <top/>
      <bottom style="medium">
        <color theme="3"/>
      </bottom>
      <diagonal/>
    </border>
    <border>
      <left/>
      <right style="thin">
        <color indexed="64"/>
      </right>
      <top/>
      <bottom style="medium">
        <color theme="3"/>
      </bottom>
      <diagonal/>
    </border>
    <border>
      <left style="thin">
        <color indexed="64"/>
      </left>
      <right style="medium">
        <color theme="3"/>
      </right>
      <top/>
      <bottom style="medium">
        <color theme="3"/>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3"/>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3"/>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3"/>
      </bottom>
      <diagonal/>
    </border>
    <border>
      <left style="thin">
        <color theme="7" tint="0.79998168889431442"/>
      </left>
      <right style="thin">
        <color theme="3"/>
      </right>
      <top style="thin">
        <color theme="7" tint="0.79998168889431442"/>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medium">
        <color theme="3"/>
      </left>
      <right style="medium">
        <color theme="3"/>
      </right>
      <top style="medium">
        <color theme="3"/>
      </top>
      <bottom/>
      <diagonal/>
    </border>
    <border>
      <left/>
      <right style="medium">
        <color theme="3"/>
      </right>
      <top/>
      <bottom style="medium">
        <color theme="3"/>
      </bottom>
      <diagonal/>
    </border>
    <border>
      <left style="thin">
        <color theme="7" tint="0.79998168889431442"/>
      </left>
      <right style="thin">
        <color indexed="26"/>
      </right>
      <top style="thin">
        <color theme="7" tint="0.79998168889431442"/>
      </top>
      <bottom style="thin">
        <color indexed="26"/>
      </bottom>
      <diagonal/>
    </border>
    <border>
      <left style="thin">
        <color indexed="26"/>
      </left>
      <right style="thin">
        <color theme="7" tint="0.79998168889431442"/>
      </right>
      <top style="thin">
        <color theme="7" tint="0.79998168889431442"/>
      </top>
      <bottom style="thin">
        <color indexed="26"/>
      </bottom>
      <diagonal/>
    </border>
    <border>
      <left style="thin">
        <color theme="7" tint="0.79998168889431442"/>
      </left>
      <right style="thin">
        <color indexed="26"/>
      </right>
      <top style="thin">
        <color indexed="26"/>
      </top>
      <bottom style="thin">
        <color indexed="26"/>
      </bottom>
      <diagonal/>
    </border>
    <border>
      <left style="thin">
        <color indexed="26"/>
      </left>
      <right style="thin">
        <color theme="7" tint="0.79998168889431442"/>
      </right>
      <top style="thin">
        <color indexed="26"/>
      </top>
      <bottom style="thin">
        <color indexed="26"/>
      </bottom>
      <diagonal/>
    </border>
    <border>
      <left style="thin">
        <color theme="7" tint="0.79998168889431442"/>
      </left>
      <right style="thin">
        <color indexed="26"/>
      </right>
      <top style="thin">
        <color indexed="26"/>
      </top>
      <bottom style="thin">
        <color theme="7" tint="0.79998168889431442"/>
      </bottom>
      <diagonal/>
    </border>
    <border>
      <left style="thin">
        <color indexed="26"/>
      </left>
      <right style="thin">
        <color theme="7" tint="0.79998168889431442"/>
      </right>
      <top style="thin">
        <color indexed="26"/>
      </top>
      <bottom style="thin">
        <color theme="7" tint="0.7999816888943144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medium">
        <color theme="3"/>
      </left>
      <right style="thin">
        <color indexed="64"/>
      </right>
      <top style="thin">
        <color theme="3"/>
      </top>
      <bottom style="medium">
        <color theme="3"/>
      </bottom>
      <diagonal/>
    </border>
    <border>
      <left style="medium">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indexed="64"/>
      </right>
      <top style="thin">
        <color theme="3"/>
      </top>
      <bottom style="medium">
        <color theme="3"/>
      </bottom>
      <diagonal/>
    </border>
    <border>
      <left style="medium">
        <color theme="3"/>
      </left>
      <right/>
      <top style="thin">
        <color indexed="64"/>
      </top>
      <bottom style="thin">
        <color theme="3"/>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3"/>
      </left>
      <right/>
      <top style="thin">
        <color theme="7" tint="0.79998168889431442"/>
      </top>
      <bottom style="thin">
        <color theme="3"/>
      </bottom>
      <diagonal/>
    </border>
    <border>
      <left/>
      <right style="thin">
        <color theme="7" tint="0.79998168889431442"/>
      </right>
      <top style="thin">
        <color theme="7" tint="0.79998168889431442"/>
      </top>
      <bottom style="thin">
        <color theme="3"/>
      </bottom>
      <diagonal/>
    </border>
    <border>
      <left style="thin">
        <color theme="3"/>
      </left>
      <right/>
      <top style="thin">
        <color theme="3"/>
      </top>
      <bottom style="thin">
        <color theme="7" tint="0.79998168889431442"/>
      </bottom>
      <diagonal/>
    </border>
    <border>
      <left/>
      <right/>
      <top style="thin">
        <color theme="3"/>
      </top>
      <bottom style="thin">
        <color theme="7" tint="0.79998168889431442"/>
      </bottom>
      <diagonal/>
    </border>
    <border>
      <left/>
      <right style="thin">
        <color theme="3"/>
      </right>
      <top style="thin">
        <color theme="3"/>
      </top>
      <bottom style="thin">
        <color theme="7" tint="0.79998168889431442"/>
      </bottom>
      <diagonal/>
    </border>
    <border>
      <left style="thin">
        <color indexed="64"/>
      </left>
      <right/>
      <top style="medium">
        <color theme="3"/>
      </top>
      <bottom/>
      <diagonal/>
    </border>
    <border>
      <left/>
      <right/>
      <top style="medium">
        <color theme="3"/>
      </top>
      <bottom/>
      <diagonal/>
    </border>
    <border>
      <left style="medium">
        <color theme="3"/>
      </left>
      <right style="thin">
        <color indexed="64"/>
      </right>
      <top/>
      <bottom style="thin">
        <color theme="3"/>
      </bottom>
      <diagonal/>
    </border>
    <border>
      <left style="thin">
        <color indexed="64"/>
      </left>
      <right/>
      <top style="medium">
        <color indexed="64"/>
      </top>
      <bottom/>
      <diagonal/>
    </border>
    <border>
      <left/>
      <right/>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thin">
        <color indexed="64"/>
      </bottom>
      <diagonal/>
    </border>
    <border>
      <left/>
      <right style="medium">
        <color theme="3"/>
      </right>
      <top/>
      <bottom style="thin">
        <color indexed="64"/>
      </bottom>
      <diagonal/>
    </border>
    <border>
      <left style="medium">
        <color theme="3"/>
      </left>
      <right style="medium">
        <color theme="3"/>
      </right>
      <top/>
      <bottom style="thin">
        <color indexed="64"/>
      </bottom>
      <diagonal/>
    </border>
    <border>
      <left style="thin">
        <color auto="1"/>
      </left>
      <right style="medium">
        <color theme="3"/>
      </right>
      <top/>
      <bottom style="thin">
        <color indexed="64"/>
      </bottom>
      <diagonal/>
    </border>
    <border>
      <left style="thin">
        <color auto="1"/>
      </left>
      <right style="medium">
        <color theme="3"/>
      </right>
      <top style="thin">
        <color indexed="64"/>
      </top>
      <bottom style="thin">
        <color indexed="64"/>
      </bottom>
      <diagonal/>
    </border>
    <border>
      <left style="thin">
        <color auto="1"/>
      </left>
      <right style="medium">
        <color theme="3"/>
      </right>
      <top style="thin">
        <color indexed="64"/>
      </top>
      <bottom style="medium">
        <color theme="3"/>
      </bottom>
      <diagonal/>
    </border>
    <border>
      <left style="medium">
        <color theme="3"/>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theme="3"/>
      </right>
      <top/>
      <bottom style="thin">
        <color indexed="64"/>
      </bottom>
      <diagonal/>
    </border>
    <border>
      <left style="medium">
        <color theme="3"/>
      </left>
      <right style="thin">
        <color theme="1"/>
      </right>
      <top/>
      <bottom style="medium">
        <color theme="3"/>
      </bottom>
      <diagonal/>
    </border>
    <border>
      <left style="thin">
        <color theme="1"/>
      </left>
      <right style="thin">
        <color theme="1"/>
      </right>
      <top/>
      <bottom style="medium">
        <color theme="3"/>
      </bottom>
      <diagonal/>
    </border>
    <border>
      <left style="thin">
        <color theme="1"/>
      </left>
      <right style="medium">
        <color theme="3"/>
      </right>
      <top/>
      <bottom style="medium">
        <color theme="3"/>
      </bottom>
      <diagonal/>
    </border>
    <border>
      <left style="thin">
        <color indexed="64"/>
      </left>
      <right style="medium">
        <color theme="3"/>
      </right>
      <top/>
      <bottom/>
      <diagonal/>
    </border>
    <border>
      <left style="thin">
        <color indexed="64"/>
      </left>
      <right style="medium">
        <color theme="3"/>
      </right>
      <top style="medium">
        <color theme="3"/>
      </top>
      <bottom/>
      <diagonal/>
    </border>
    <border>
      <left style="thin">
        <color indexed="64"/>
      </left>
      <right style="medium">
        <color theme="3"/>
      </right>
      <top style="medium">
        <color indexed="64"/>
      </top>
      <bottom/>
      <diagonal/>
    </border>
    <border>
      <left style="medium">
        <color theme="3"/>
      </left>
      <right style="medium">
        <color theme="3"/>
      </right>
      <top style="thin">
        <color auto="1"/>
      </top>
      <bottom style="thin">
        <color auto="1"/>
      </bottom>
      <diagonal/>
    </border>
    <border>
      <left style="medium">
        <color theme="3"/>
      </left>
      <right style="medium">
        <color theme="3"/>
      </right>
      <top style="thin">
        <color auto="1"/>
      </top>
      <bottom style="medium">
        <color theme="3"/>
      </bottom>
      <diagonal/>
    </border>
    <border>
      <left style="medium">
        <color theme="3"/>
      </left>
      <right/>
      <top style="thin">
        <color auto="1"/>
      </top>
      <bottom style="medium">
        <color theme="3"/>
      </bottom>
      <diagonal/>
    </border>
    <border>
      <left/>
      <right/>
      <top style="thin">
        <color auto="1"/>
      </top>
      <bottom style="medium">
        <color theme="3"/>
      </bottom>
      <diagonal/>
    </border>
    <border>
      <left/>
      <right style="medium">
        <color theme="3"/>
      </right>
      <top style="thin">
        <color auto="1"/>
      </top>
      <bottom style="medium">
        <color theme="3"/>
      </bottom>
      <diagonal/>
    </border>
    <border>
      <left style="medium">
        <color theme="3"/>
      </left>
      <right/>
      <top style="thin">
        <color indexed="64"/>
      </top>
      <bottom style="thin">
        <color indexed="64"/>
      </bottom>
      <diagonal/>
    </border>
    <border>
      <left/>
      <right/>
      <top style="thin">
        <color indexed="64"/>
      </top>
      <bottom style="thin">
        <color indexed="64"/>
      </bottom>
      <diagonal/>
    </border>
    <border>
      <left/>
      <right style="medium">
        <color theme="3"/>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theme="9" tint="0.79998168889431442"/>
      </right>
      <top/>
      <bottom/>
      <diagonal/>
    </border>
    <border>
      <left/>
      <right style="medium">
        <color theme="9" tint="0.79998168889431442"/>
      </right>
      <top/>
      <bottom style="medium">
        <color theme="9" tint="0.79998168889431442"/>
      </bottom>
      <diagonal/>
    </border>
  </borders>
  <cellStyleXfs count="6">
    <xf numFmtId="0" fontId="0" fillId="0" borderId="0"/>
    <xf numFmtId="9" fontId="54"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453">
    <xf numFmtId="0" fontId="0" fillId="0" borderId="0" xfId="0"/>
    <xf numFmtId="0" fontId="0" fillId="0" borderId="5" xfId="0" applyBorder="1" applyProtection="1">
      <protection locked="0"/>
    </xf>
    <xf numFmtId="0" fontId="0" fillId="0" borderId="6" xfId="0" applyBorder="1" applyProtection="1">
      <protection locked="0"/>
    </xf>
    <xf numFmtId="0" fontId="0" fillId="0" borderId="5" xfId="0" applyBorder="1" applyAlignment="1" applyProtection="1">
      <alignment horizontal="right"/>
      <protection locked="0"/>
    </xf>
    <xf numFmtId="0" fontId="0" fillId="0" borderId="6" xfId="0" applyBorder="1" applyAlignment="1" applyProtection="1">
      <alignment horizontal="right"/>
      <protection locked="0"/>
    </xf>
    <xf numFmtId="0" fontId="4" fillId="0" borderId="6" xfId="0" applyFont="1" applyBorder="1" applyAlignment="1" applyProtection="1">
      <alignment horizontal="right"/>
      <protection locked="0"/>
    </xf>
    <xf numFmtId="0" fontId="4" fillId="0" borderId="5" xfId="0" applyFont="1" applyBorder="1" applyAlignment="1" applyProtection="1">
      <alignment horizontal="right"/>
      <protection locked="0"/>
    </xf>
    <xf numFmtId="0" fontId="0" fillId="0" borderId="3" xfId="0" applyBorder="1" applyProtection="1">
      <protection locked="0"/>
    </xf>
    <xf numFmtId="0" fontId="0" fillId="0" borderId="3" xfId="0" applyBorder="1" applyAlignment="1" applyProtection="1">
      <alignment horizontal="right"/>
      <protection locked="0"/>
    </xf>
    <xf numFmtId="0" fontId="8" fillId="0" borderId="6" xfId="0" applyFont="1" applyBorder="1" applyProtection="1">
      <protection locked="0"/>
    </xf>
    <xf numFmtId="0" fontId="8" fillId="0" borderId="5" xfId="0" applyFont="1" applyBorder="1" applyAlignment="1">
      <alignment horizontal="left"/>
    </xf>
    <xf numFmtId="0" fontId="8" fillId="0" borderId="6"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0" fillId="0" borderId="7" xfId="0" applyBorder="1" applyProtection="1">
      <protection locked="0"/>
    </xf>
    <xf numFmtId="0" fontId="0" fillId="0" borderId="7" xfId="0" applyBorder="1" applyAlignment="1" applyProtection="1">
      <alignment horizontal="right"/>
      <protection locked="0"/>
    </xf>
    <xf numFmtId="0" fontId="0" fillId="0" borderId="5" xfId="0" applyBorder="1" applyAlignment="1" applyProtection="1">
      <alignment vertical="top"/>
      <protection locked="0"/>
    </xf>
    <xf numFmtId="0" fontId="0" fillId="0" borderId="6" xfId="0" applyBorder="1" applyAlignment="1" applyProtection="1">
      <alignment vertical="top"/>
      <protection locked="0"/>
    </xf>
    <xf numFmtId="0" fontId="12" fillId="0" borderId="6" xfId="0" applyFont="1" applyBorder="1" applyAlignment="1" applyProtection="1">
      <alignment vertical="top" wrapText="1"/>
      <protection locked="0"/>
    </xf>
    <xf numFmtId="0" fontId="8" fillId="0" borderId="6" xfId="0" applyFont="1" applyBorder="1" applyAlignment="1">
      <alignment horizontal="right"/>
    </xf>
    <xf numFmtId="0" fontId="0" fillId="0" borderId="6" xfId="0" applyBorder="1" applyAlignment="1" applyProtection="1">
      <alignment vertical="top" wrapText="1"/>
      <protection locked="0"/>
    </xf>
    <xf numFmtId="0" fontId="9" fillId="0" borderId="6" xfId="0" applyFont="1" applyBorder="1" applyProtection="1">
      <protection locked="0"/>
    </xf>
    <xf numFmtId="0" fontId="0" fillId="0" borderId="7"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Fill="1" applyBorder="1"/>
    <xf numFmtId="0" fontId="9" fillId="0" borderId="12" xfId="0" applyFont="1" applyBorder="1" applyAlignment="1">
      <alignment horizontal="right"/>
    </xf>
    <xf numFmtId="0" fontId="0" fillId="0" borderId="13" xfId="0" applyBorder="1"/>
    <xf numFmtId="0" fontId="0" fillId="0" borderId="15" xfId="0" applyBorder="1" applyAlignment="1">
      <alignment horizontal="right"/>
    </xf>
    <xf numFmtId="0" fontId="0" fillId="0" borderId="1" xfId="0" applyBorder="1"/>
    <xf numFmtId="0" fontId="0" fillId="0" borderId="17" xfId="0" applyBorder="1" applyAlignment="1">
      <alignment horizontal="right"/>
    </xf>
    <xf numFmtId="0" fontId="0" fillId="0" borderId="18" xfId="0" applyBorder="1"/>
    <xf numFmtId="0" fontId="0" fillId="0" borderId="5" xfId="0" applyFill="1" applyBorder="1" applyAlignment="1" applyProtection="1">
      <alignment horizontal="right"/>
      <protection locked="0"/>
    </xf>
    <xf numFmtId="0" fontId="0" fillId="0" borderId="6" xfId="0" applyFill="1" applyBorder="1" applyAlignment="1" applyProtection="1">
      <alignment horizontal="right"/>
      <protection locked="0"/>
    </xf>
    <xf numFmtId="0" fontId="0" fillId="0" borderId="7" xfId="0" applyFill="1" applyBorder="1" applyAlignment="1" applyProtection="1">
      <alignment horizontal="right"/>
      <protection locked="0"/>
    </xf>
    <xf numFmtId="0" fontId="8" fillId="0" borderId="5" xfId="0" applyFont="1" applyFill="1" applyBorder="1" applyAlignment="1">
      <alignment horizontal="left"/>
    </xf>
    <xf numFmtId="0" fontId="8" fillId="0" borderId="6" xfId="0" applyFont="1" applyFill="1" applyBorder="1" applyAlignment="1">
      <alignment horizontal="left"/>
    </xf>
    <xf numFmtId="0" fontId="8" fillId="0" borderId="6" xfId="0" applyFont="1" applyFill="1" applyBorder="1" applyAlignment="1">
      <alignment horizontal="right"/>
    </xf>
    <xf numFmtId="0" fontId="0" fillId="0" borderId="5" xfId="0" applyFill="1" applyBorder="1" applyProtection="1">
      <protection locked="0"/>
    </xf>
    <xf numFmtId="0" fontId="11" fillId="0" borderId="0" xfId="0" applyFont="1"/>
    <xf numFmtId="0" fontId="0" fillId="0" borderId="3" xfId="0" applyBorder="1" applyAlignment="1" applyProtection="1">
      <alignment vertical="top" wrapText="1"/>
      <protection locked="0"/>
    </xf>
    <xf numFmtId="0" fontId="0" fillId="3" borderId="27" xfId="0" applyFill="1" applyBorder="1"/>
    <xf numFmtId="0" fontId="0" fillId="0" borderId="6" xfId="0" applyFill="1" applyBorder="1" applyProtection="1">
      <protection locked="0"/>
    </xf>
    <xf numFmtId="0" fontId="0" fillId="0" borderId="28" xfId="0" applyFill="1" applyBorder="1" applyAlignment="1"/>
    <xf numFmtId="0" fontId="0" fillId="0" borderId="32" xfId="0" applyFill="1" applyBorder="1" applyAlignment="1"/>
    <xf numFmtId="0" fontId="0" fillId="0" borderId="29" xfId="0" applyFill="1" applyBorder="1" applyAlignment="1"/>
    <xf numFmtId="0" fontId="0" fillId="0" borderId="6" xfId="0" applyBorder="1"/>
    <xf numFmtId="0" fontId="0" fillId="0" borderId="6" xfId="0" applyBorder="1" applyAlignment="1">
      <alignment horizontal="right"/>
    </xf>
    <xf numFmtId="0" fontId="8" fillId="0" borderId="5" xfId="0" applyFont="1" applyBorder="1" applyAlignment="1">
      <alignment horizontal="right"/>
    </xf>
    <xf numFmtId="0" fontId="0" fillId="0" borderId="6" xfId="0" quotePrefix="1" applyBorder="1" applyAlignment="1" applyProtection="1">
      <alignment horizontal="right"/>
      <protection locked="0"/>
    </xf>
    <xf numFmtId="0" fontId="9" fillId="0" borderId="6"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protection locked="0"/>
    </xf>
    <xf numFmtId="0" fontId="0" fillId="4" borderId="27" xfId="0" applyFill="1" applyBorder="1"/>
    <xf numFmtId="0" fontId="0" fillId="4" borderId="38" xfId="0" applyFill="1" applyBorder="1"/>
    <xf numFmtId="0" fontId="0" fillId="4" borderId="26" xfId="0" applyFill="1" applyBorder="1"/>
    <xf numFmtId="0" fontId="19" fillId="4" borderId="26" xfId="0" applyFont="1" applyFill="1" applyBorder="1"/>
    <xf numFmtId="0" fontId="0" fillId="4" borderId="39" xfId="0" applyFill="1" applyBorder="1"/>
    <xf numFmtId="0" fontId="0" fillId="4" borderId="0" xfId="0" applyFill="1" applyBorder="1"/>
    <xf numFmtId="0" fontId="6" fillId="4" borderId="0" xfId="0" applyFont="1" applyFill="1" applyBorder="1"/>
    <xf numFmtId="0" fontId="7" fillId="4" borderId="0" xfId="0" applyFont="1" applyFill="1" applyBorder="1"/>
    <xf numFmtId="0" fontId="16" fillId="4" borderId="10" xfId="0" applyFont="1" applyFill="1" applyBorder="1" applyProtection="1">
      <protection locked="0"/>
    </xf>
    <xf numFmtId="0" fontId="17" fillId="4" borderId="10" xfId="0" applyFont="1" applyFill="1" applyBorder="1"/>
    <xf numFmtId="0" fontId="0" fillId="4" borderId="10" xfId="0" applyFill="1" applyBorder="1"/>
    <xf numFmtId="0" fontId="1" fillId="5" borderId="2" xfId="0" applyFont="1" applyFill="1" applyBorder="1" applyAlignment="1" applyProtection="1">
      <alignment horizontal="center"/>
      <protection locked="0"/>
    </xf>
    <xf numFmtId="0" fontId="0" fillId="6" borderId="6" xfId="0" applyFill="1" applyBorder="1" applyProtection="1">
      <protection locked="0"/>
    </xf>
    <xf numFmtId="0" fontId="0" fillId="7" borderId="6" xfId="0" applyFill="1" applyBorder="1" applyProtection="1">
      <protection locked="0"/>
    </xf>
    <xf numFmtId="0" fontId="1" fillId="7" borderId="4" xfId="0" applyFont="1" applyFill="1" applyBorder="1" applyAlignment="1">
      <alignment horizontal="center"/>
    </xf>
    <xf numFmtId="0" fontId="0" fillId="7" borderId="40" xfId="0" applyFill="1" applyBorder="1" applyProtection="1">
      <protection locked="0"/>
    </xf>
    <xf numFmtId="0" fontId="1" fillId="6" borderId="2" xfId="0" applyFont="1" applyFill="1" applyBorder="1" applyAlignment="1">
      <alignment horizontal="center"/>
    </xf>
    <xf numFmtId="0" fontId="0" fillId="6" borderId="40" xfId="0" applyFill="1" applyBorder="1" applyProtection="1">
      <protection locked="0"/>
    </xf>
    <xf numFmtId="176" fontId="5" fillId="8" borderId="0" xfId="0" applyNumberFormat="1" applyFont="1" applyFill="1" applyBorder="1" applyAlignment="1" applyProtection="1">
      <alignment horizontal="right"/>
      <protection locked="0"/>
    </xf>
    <xf numFmtId="18" fontId="5" fillId="8" borderId="49" xfId="0" applyNumberFormat="1" applyFont="1" applyFill="1" applyBorder="1" applyAlignment="1" applyProtection="1">
      <protection locked="0"/>
    </xf>
    <xf numFmtId="0" fontId="0" fillId="9" borderId="0" xfId="0" applyFill="1" applyBorder="1"/>
    <xf numFmtId="0" fontId="0" fillId="9" borderId="0" xfId="0" applyFill="1"/>
    <xf numFmtId="0" fontId="27" fillId="4" borderId="0" xfId="0" applyFont="1" applyFill="1" applyBorder="1" applyAlignment="1">
      <alignment horizontal="left"/>
    </xf>
    <xf numFmtId="0" fontId="27" fillId="4" borderId="0" xfId="0" applyFont="1" applyFill="1" applyBorder="1"/>
    <xf numFmtId="0" fontId="0" fillId="6" borderId="3" xfId="0" applyFill="1" applyBorder="1"/>
    <xf numFmtId="0" fontId="9" fillId="0" borderId="6" xfId="0" applyFont="1" applyFill="1" applyBorder="1" applyAlignment="1" applyProtection="1">
      <alignment horizontal="center"/>
      <protection locked="0"/>
    </xf>
    <xf numFmtId="0" fontId="1" fillId="10" borderId="3" xfId="0" applyFont="1" applyFill="1" applyBorder="1" applyAlignment="1">
      <alignment horizontal="center"/>
    </xf>
    <xf numFmtId="0" fontId="1" fillId="10" borderId="2" xfId="0" applyFont="1" applyFill="1" applyBorder="1" applyAlignment="1">
      <alignment horizontal="center"/>
    </xf>
    <xf numFmtId="0" fontId="0" fillId="0" borderId="52" xfId="0" applyBorder="1" applyAlignment="1" applyProtection="1">
      <alignment vertical="top" wrapText="1"/>
      <protection locked="0"/>
    </xf>
    <xf numFmtId="0" fontId="8" fillId="0" borderId="55" xfId="0" applyFont="1" applyBorder="1" applyAlignment="1">
      <alignment vertical="top"/>
    </xf>
    <xf numFmtId="0" fontId="8" fillId="0" borderId="56" xfId="0" applyFont="1" applyBorder="1" applyAlignment="1">
      <alignment vertical="top"/>
    </xf>
    <xf numFmtId="0" fontId="8" fillId="0" borderId="57" xfId="0" applyFont="1" applyBorder="1" applyAlignment="1">
      <alignment horizontal="right" vertical="top"/>
    </xf>
    <xf numFmtId="0" fontId="8" fillId="0" borderId="55" xfId="0" applyFont="1" applyBorder="1" applyAlignment="1">
      <alignment horizontal="right" vertical="top"/>
    </xf>
    <xf numFmtId="0" fontId="8" fillId="0" borderId="56" xfId="0" applyFont="1" applyBorder="1" applyAlignment="1">
      <alignment horizontal="left" vertical="top"/>
    </xf>
    <xf numFmtId="0" fontId="8" fillId="0" borderId="56" xfId="0" applyFont="1" applyBorder="1" applyAlignment="1">
      <alignment horizontal="left"/>
    </xf>
    <xf numFmtId="0" fontId="8" fillId="0" borderId="55" xfId="0" applyFont="1" applyBorder="1" applyAlignment="1">
      <alignment horizontal="left" vertical="top"/>
    </xf>
    <xf numFmtId="0" fontId="8" fillId="0" borderId="57" xfId="0" applyFont="1" applyBorder="1" applyAlignment="1">
      <alignment horizontal="left" vertical="top"/>
    </xf>
    <xf numFmtId="0" fontId="8" fillId="0" borderId="56" xfId="0" applyFont="1" applyBorder="1" applyAlignment="1">
      <alignment horizontal="right" vertical="top"/>
    </xf>
    <xf numFmtId="0" fontId="8" fillId="0" borderId="55" xfId="0" applyFont="1" applyBorder="1" applyAlignment="1">
      <alignment horizontal="left"/>
    </xf>
    <xf numFmtId="0" fontId="8" fillId="0" borderId="58" xfId="0" applyFont="1" applyBorder="1" applyAlignment="1">
      <alignment vertical="top"/>
    </xf>
    <xf numFmtId="0" fontId="0" fillId="0" borderId="59" xfId="0" applyBorder="1" applyAlignment="1" applyProtection="1">
      <alignment vertical="top"/>
      <protection locked="0"/>
    </xf>
    <xf numFmtId="0" fontId="8" fillId="0" borderId="60" xfId="0" applyFont="1" applyBorder="1" applyAlignment="1">
      <alignment vertical="top"/>
    </xf>
    <xf numFmtId="0" fontId="0" fillId="0" borderId="52" xfId="0" applyBorder="1" applyAlignment="1" applyProtection="1">
      <alignment vertical="top"/>
      <protection locked="0"/>
    </xf>
    <xf numFmtId="0" fontId="0" fillId="0" borderId="59" xfId="0" applyBorder="1" applyAlignment="1" applyProtection="1">
      <alignment vertical="top" wrapText="1"/>
      <protection locked="0"/>
    </xf>
    <xf numFmtId="0" fontId="8" fillId="0" borderId="60" xfId="0" applyFont="1" applyBorder="1" applyAlignment="1">
      <alignment horizontal="left"/>
    </xf>
    <xf numFmtId="0" fontId="8" fillId="0" borderId="60" xfId="0" applyFont="1" applyBorder="1" applyAlignment="1">
      <alignment horizontal="left" vertical="top"/>
    </xf>
    <xf numFmtId="0" fontId="9" fillId="0" borderId="52" xfId="0" applyFont="1" applyBorder="1" applyAlignment="1" applyProtection="1">
      <alignment vertical="top" wrapText="1"/>
      <protection locked="0"/>
    </xf>
    <xf numFmtId="0" fontId="0" fillId="11" borderId="3" xfId="0" applyFill="1" applyBorder="1"/>
    <xf numFmtId="0" fontId="0" fillId="12" borderId="3" xfId="0" applyFill="1" applyBorder="1"/>
    <xf numFmtId="0" fontId="1" fillId="12" borderId="2" xfId="0" applyFont="1" applyFill="1" applyBorder="1" applyAlignment="1">
      <alignment horizontal="center"/>
    </xf>
    <xf numFmtId="0" fontId="0" fillId="12" borderId="40" xfId="0" applyFill="1" applyBorder="1" applyProtection="1">
      <protection locked="0"/>
    </xf>
    <xf numFmtId="0" fontId="0" fillId="12" borderId="6" xfId="0" applyFill="1" applyBorder="1" applyProtection="1">
      <protection locked="0"/>
    </xf>
    <xf numFmtId="0" fontId="1" fillId="11" borderId="2" xfId="0" applyFont="1" applyFill="1" applyBorder="1" applyAlignment="1">
      <alignment horizontal="center"/>
    </xf>
    <xf numFmtId="0" fontId="0" fillId="11" borderId="40" xfId="0" applyFill="1" applyBorder="1" applyProtection="1">
      <protection locked="0"/>
    </xf>
    <xf numFmtId="0" fontId="0" fillId="11" borderId="6" xfId="0" applyFill="1" applyBorder="1" applyProtection="1">
      <protection locked="0"/>
    </xf>
    <xf numFmtId="0" fontId="8" fillId="0" borderId="8" xfId="0" applyFont="1" applyBorder="1" applyProtection="1">
      <protection locked="0"/>
    </xf>
    <xf numFmtId="0" fontId="1" fillId="11" borderId="3" xfId="0" applyFont="1" applyFill="1" applyBorder="1" applyAlignment="1">
      <alignment horizontal="center"/>
    </xf>
    <xf numFmtId="0" fontId="1" fillId="12" borderId="3" xfId="0" applyFont="1" applyFill="1" applyBorder="1" applyAlignment="1">
      <alignment horizontal="center"/>
    </xf>
    <xf numFmtId="0" fontId="0" fillId="13" borderId="0" xfId="0" applyFill="1" applyBorder="1" applyAlignment="1">
      <alignment horizontal="left"/>
    </xf>
    <xf numFmtId="0" fontId="0" fillId="13" borderId="49" xfId="0" applyFill="1" applyBorder="1" applyAlignment="1" applyProtection="1">
      <alignment horizontal="left"/>
      <protection locked="0"/>
    </xf>
    <xf numFmtId="0" fontId="12" fillId="0" borderId="52"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59" xfId="0" applyFont="1" applyBorder="1" applyAlignment="1" applyProtection="1">
      <alignment vertical="top" wrapText="1"/>
      <protection locked="0"/>
    </xf>
    <xf numFmtId="0" fontId="8" fillId="0" borderId="60" xfId="0" applyFont="1" applyBorder="1" applyAlignment="1">
      <alignment horizontal="right" vertical="top"/>
    </xf>
    <xf numFmtId="0" fontId="10" fillId="9" borderId="0" xfId="0" applyFont="1" applyFill="1" applyBorder="1"/>
    <xf numFmtId="0" fontId="38" fillId="8" borderId="2" xfId="0" applyFont="1" applyFill="1" applyBorder="1" applyAlignment="1">
      <alignment horizontal="center"/>
    </xf>
    <xf numFmtId="0" fontId="9" fillId="10" borderId="66" xfId="0" applyFont="1" applyFill="1" applyBorder="1"/>
    <xf numFmtId="0" fontId="0" fillId="10" borderId="66" xfId="0" applyFill="1" applyBorder="1"/>
    <xf numFmtId="0" fontId="0" fillId="10" borderId="68" xfId="0" applyFill="1" applyBorder="1"/>
    <xf numFmtId="0" fontId="0" fillId="19" borderId="5" xfId="0" applyFill="1" applyBorder="1" applyProtection="1">
      <protection locked="0"/>
    </xf>
    <xf numFmtId="0" fontId="39" fillId="0" borderId="71" xfId="0" applyFont="1" applyBorder="1"/>
    <xf numFmtId="0" fontId="0" fillId="16" borderId="72" xfId="0" applyFill="1" applyBorder="1"/>
    <xf numFmtId="0" fontId="41" fillId="8" borderId="71" xfId="0" applyFont="1" applyFill="1" applyBorder="1"/>
    <xf numFmtId="0" fontId="40" fillId="8" borderId="72" xfId="0" applyFont="1" applyFill="1" applyBorder="1"/>
    <xf numFmtId="0" fontId="41" fillId="15" borderId="71" xfId="0" applyFont="1" applyFill="1" applyBorder="1"/>
    <xf numFmtId="0" fontId="40" fillId="15" borderId="72" xfId="0" applyFont="1" applyFill="1" applyBorder="1"/>
    <xf numFmtId="0" fontId="41" fillId="4" borderId="71" xfId="0" applyFont="1" applyFill="1" applyBorder="1"/>
    <xf numFmtId="0" fontId="40" fillId="4" borderId="72" xfId="0" applyFont="1" applyFill="1" applyBorder="1"/>
    <xf numFmtId="0" fontId="10" fillId="16" borderId="71" xfId="0" applyFont="1" applyFill="1" applyBorder="1"/>
    <xf numFmtId="0" fontId="0" fillId="19" borderId="5" xfId="0" applyFill="1" applyBorder="1" applyAlignment="1" applyProtection="1">
      <alignment horizontal="right"/>
      <protection locked="0"/>
    </xf>
    <xf numFmtId="0" fontId="0" fillId="19" borderId="5" xfId="0" applyNumberFormat="1" applyFill="1" applyBorder="1" applyAlignment="1" applyProtection="1">
      <alignment horizontal="right"/>
      <protection locked="0"/>
    </xf>
    <xf numFmtId="0" fontId="0" fillId="22" borderId="5" xfId="0" applyFill="1" applyBorder="1" applyProtection="1">
      <protection locked="0"/>
    </xf>
    <xf numFmtId="0" fontId="0" fillId="22" borderId="6" xfId="0" applyFill="1" applyBorder="1" applyProtection="1">
      <protection locked="0"/>
    </xf>
    <xf numFmtId="0" fontId="9" fillId="18" borderId="8" xfId="0" applyFont="1" applyFill="1" applyBorder="1"/>
    <xf numFmtId="0" fontId="0" fillId="18" borderId="8" xfId="0" applyFill="1" applyBorder="1" applyProtection="1">
      <protection locked="0"/>
    </xf>
    <xf numFmtId="0" fontId="9" fillId="18" borderId="7" xfId="0" applyFont="1" applyFill="1" applyBorder="1"/>
    <xf numFmtId="0" fontId="0" fillId="18" borderId="7" xfId="0" applyFill="1" applyBorder="1" applyProtection="1">
      <protection locked="0"/>
    </xf>
    <xf numFmtId="0" fontId="0" fillId="18" borderId="7" xfId="0" applyFill="1" applyBorder="1" applyAlignment="1" applyProtection="1">
      <alignment horizontal="right"/>
      <protection locked="0"/>
    </xf>
    <xf numFmtId="0" fontId="9" fillId="11" borderId="23" xfId="0" applyFont="1" applyFill="1" applyBorder="1" applyProtection="1">
      <protection locked="0"/>
    </xf>
    <xf numFmtId="0" fontId="9" fillId="12" borderId="22" xfId="0" applyFont="1" applyFill="1" applyBorder="1" applyProtection="1">
      <protection locked="0"/>
    </xf>
    <xf numFmtId="0" fontId="9" fillId="20" borderId="23" xfId="0" applyFont="1" applyFill="1" applyBorder="1" applyProtection="1">
      <protection locked="0"/>
    </xf>
    <xf numFmtId="0" fontId="9" fillId="20" borderId="33" xfId="0" applyFont="1" applyFill="1" applyBorder="1" applyProtection="1">
      <protection locked="0"/>
    </xf>
    <xf numFmtId="0" fontId="9" fillId="21" borderId="22" xfId="0" applyFont="1" applyFill="1" applyBorder="1" applyProtection="1">
      <protection locked="0"/>
    </xf>
    <xf numFmtId="0" fontId="9" fillId="21" borderId="34" xfId="0" applyFont="1" applyFill="1" applyBorder="1" applyProtection="1">
      <protection locked="0"/>
    </xf>
    <xf numFmtId="0" fontId="38" fillId="8" borderId="50" xfId="0" applyFont="1" applyFill="1" applyBorder="1" applyAlignment="1">
      <alignment horizontal="center"/>
    </xf>
    <xf numFmtId="0" fontId="38" fillId="8" borderId="51" xfId="0" applyFont="1" applyFill="1" applyBorder="1" applyAlignment="1">
      <alignment horizontal="center"/>
    </xf>
    <xf numFmtId="0" fontId="1" fillId="17" borderId="51" xfId="0" applyFont="1" applyFill="1" applyBorder="1" applyAlignment="1">
      <alignment horizontal="center"/>
    </xf>
    <xf numFmtId="0" fontId="31" fillId="18" borderId="54" xfId="0" applyFont="1" applyFill="1" applyBorder="1" applyAlignment="1">
      <alignment vertical="top"/>
    </xf>
    <xf numFmtId="0" fontId="0" fillId="18" borderId="53" xfId="0" applyFill="1" applyBorder="1" applyAlignment="1" applyProtection="1">
      <alignment vertical="top"/>
      <protection locked="0"/>
    </xf>
    <xf numFmtId="0" fontId="12" fillId="18" borderId="53" xfId="0" applyFont="1" applyFill="1" applyBorder="1" applyAlignment="1" applyProtection="1">
      <alignment vertical="top" wrapText="1"/>
      <protection locked="0"/>
    </xf>
    <xf numFmtId="0" fontId="13" fillId="18" borderId="54" xfId="0" applyFont="1" applyFill="1" applyBorder="1" applyAlignment="1">
      <alignment vertical="top"/>
    </xf>
    <xf numFmtId="0" fontId="39" fillId="0" borderId="10" xfId="0" applyFont="1" applyBorder="1" applyProtection="1">
      <protection locked="0"/>
    </xf>
    <xf numFmtId="0" fontId="39" fillId="0" borderId="9" xfId="0" applyFont="1" applyBorder="1" applyProtection="1">
      <protection locked="0"/>
    </xf>
    <xf numFmtId="0" fontId="0" fillId="4" borderId="0" xfId="0" applyFill="1"/>
    <xf numFmtId="0" fontId="3" fillId="4" borderId="26" xfId="0" applyFont="1" applyFill="1" applyBorder="1"/>
    <xf numFmtId="0" fontId="16" fillId="4" borderId="0" xfId="0" applyFont="1" applyFill="1" applyBorder="1" applyAlignment="1">
      <alignment horizontal="left"/>
    </xf>
    <xf numFmtId="0" fontId="16" fillId="4" borderId="10" xfId="0" applyFont="1" applyFill="1" applyBorder="1" applyAlignment="1">
      <alignment horizontal="left"/>
    </xf>
    <xf numFmtId="0" fontId="16" fillId="4" borderId="0" xfId="0" applyFont="1" applyFill="1" applyBorder="1"/>
    <xf numFmtId="0" fontId="15" fillId="4" borderId="0" xfId="0" applyFont="1" applyFill="1" applyBorder="1" applyAlignment="1">
      <alignment horizontal="right"/>
    </xf>
    <xf numFmtId="0" fontId="46" fillId="4" borderId="0" xfId="0" applyFont="1" applyFill="1" applyBorder="1" applyAlignment="1">
      <alignment horizontal="left"/>
    </xf>
    <xf numFmtId="0" fontId="2" fillId="9" borderId="0" xfId="0" applyFont="1" applyFill="1"/>
    <xf numFmtId="0" fontId="2" fillId="9" borderId="11" xfId="0" applyFont="1" applyFill="1" applyBorder="1"/>
    <xf numFmtId="0" fontId="19" fillId="4" borderId="20" xfId="0" applyFont="1" applyFill="1" applyBorder="1"/>
    <xf numFmtId="0" fontId="11" fillId="4" borderId="21" xfId="0" applyFont="1" applyFill="1" applyBorder="1"/>
    <xf numFmtId="0" fontId="0" fillId="7" borderId="3" xfId="0" applyFill="1" applyBorder="1" applyAlignment="1"/>
    <xf numFmtId="0" fontId="1" fillId="24" borderId="10" xfId="0" applyFont="1" applyFill="1" applyBorder="1" applyAlignment="1">
      <alignment horizontal="center"/>
    </xf>
    <xf numFmtId="0" fontId="1" fillId="24" borderId="2" xfId="0" applyFont="1" applyFill="1" applyBorder="1" applyAlignment="1">
      <alignment horizontal="center"/>
    </xf>
    <xf numFmtId="0" fontId="0" fillId="13" borderId="49" xfId="0" applyFill="1" applyBorder="1" applyAlignment="1">
      <alignment horizontal="left"/>
    </xf>
    <xf numFmtId="0" fontId="34" fillId="18" borderId="86" xfId="0" applyFont="1" applyFill="1" applyBorder="1" applyAlignment="1">
      <alignment vertical="top" wrapText="1"/>
    </xf>
    <xf numFmtId="0" fontId="34" fillId="18" borderId="87" xfId="0" applyFont="1" applyFill="1" applyBorder="1" applyAlignment="1">
      <alignment vertical="top" wrapText="1"/>
    </xf>
    <xf numFmtId="0" fontId="34" fillId="18" borderId="88" xfId="0" applyFont="1" applyFill="1" applyBorder="1" applyAlignment="1">
      <alignment vertical="top" wrapText="1"/>
    </xf>
    <xf numFmtId="177" fontId="0" fillId="0" borderId="14" xfId="0" applyNumberFormat="1" applyBorder="1"/>
    <xf numFmtId="177" fontId="0" fillId="0" borderId="16" xfId="0" applyNumberFormat="1" applyBorder="1"/>
    <xf numFmtId="177" fontId="0" fillId="0" borderId="19" xfId="0" applyNumberFormat="1" applyBorder="1"/>
    <xf numFmtId="0" fontId="0" fillId="0" borderId="5" xfId="0" applyNumberFormat="1" applyFill="1" applyBorder="1" applyAlignment="1" applyProtection="1">
      <alignment horizontal="right"/>
      <protection locked="0"/>
    </xf>
    <xf numFmtId="0" fontId="50" fillId="0" borderId="0" xfId="0" applyFont="1"/>
    <xf numFmtId="0" fontId="51" fillId="9" borderId="0" xfId="0" applyFont="1" applyFill="1"/>
    <xf numFmtId="0" fontId="10" fillId="11" borderId="71" xfId="0" applyFont="1" applyFill="1" applyBorder="1"/>
    <xf numFmtId="0" fontId="52" fillId="0" borderId="0" xfId="0" applyFont="1"/>
    <xf numFmtId="49" fontId="9" fillId="11" borderId="72" xfId="0" applyNumberFormat="1" applyFont="1" applyFill="1" applyBorder="1" applyAlignment="1">
      <alignment horizontal="right"/>
    </xf>
    <xf numFmtId="0" fontId="8" fillId="0" borderId="60" xfId="0" applyFont="1" applyBorder="1" applyAlignment="1">
      <alignment horizontal="right" vertical="top"/>
    </xf>
    <xf numFmtId="0" fontId="12" fillId="0" borderId="6" xfId="0" applyFont="1" applyBorder="1" applyAlignment="1" applyProtection="1">
      <alignment vertical="top" wrapText="1"/>
      <protection locked="0"/>
    </xf>
    <xf numFmtId="0" fontId="28" fillId="4" borderId="0" xfId="0" applyFont="1" applyFill="1"/>
    <xf numFmtId="0" fontId="48" fillId="4" borderId="0" xfId="0" applyFont="1" applyFill="1" applyBorder="1" applyAlignment="1">
      <alignment horizontal="right"/>
    </xf>
    <xf numFmtId="1" fontId="48" fillId="4" borderId="0" xfId="0" applyNumberFormat="1" applyFont="1" applyFill="1" applyBorder="1" applyAlignment="1">
      <alignment horizontal="left"/>
    </xf>
    <xf numFmtId="0" fontId="48" fillId="4" borderId="0" xfId="0" applyFont="1" applyFill="1" applyAlignment="1">
      <alignment horizontal="right"/>
    </xf>
    <xf numFmtId="178" fontId="5" fillId="8" borderId="0" xfId="0" applyNumberFormat="1" applyFont="1" applyFill="1" applyBorder="1" applyAlignment="1" applyProtection="1">
      <alignment horizontal="right"/>
      <protection locked="0"/>
    </xf>
    <xf numFmtId="179" fontId="5" fillId="8" borderId="49" xfId="0" applyNumberFormat="1" applyFont="1" applyFill="1" applyBorder="1" applyAlignment="1" applyProtection="1">
      <protection locked="0"/>
    </xf>
    <xf numFmtId="0" fontId="0" fillId="0" borderId="25" xfId="0" applyFill="1" applyBorder="1" applyAlignment="1" applyProtection="1">
      <alignment horizontal="right"/>
    </xf>
    <xf numFmtId="0" fontId="0" fillId="0" borderId="24" xfId="0" applyFill="1" applyBorder="1" applyAlignment="1" applyProtection="1">
      <alignment horizontal="right"/>
    </xf>
    <xf numFmtId="0" fontId="0" fillId="0" borderId="30" xfId="0" applyFill="1" applyBorder="1" applyAlignment="1" applyProtection="1">
      <alignment horizontal="right"/>
    </xf>
    <xf numFmtId="0" fontId="0" fillId="0" borderId="31" xfId="0" applyFill="1" applyBorder="1" applyAlignment="1" applyProtection="1">
      <alignment horizontal="right"/>
    </xf>
    <xf numFmtId="0" fontId="0" fillId="0" borderId="91" xfId="0" applyFill="1" applyBorder="1" applyAlignment="1">
      <alignment horizontal="right"/>
    </xf>
    <xf numFmtId="0" fontId="9" fillId="0" borderId="7" xfId="0" applyFont="1" applyBorder="1" applyAlignment="1" applyProtection="1">
      <alignment horizontal="right"/>
      <protection locked="0"/>
    </xf>
    <xf numFmtId="0" fontId="9" fillId="0" borderId="6" xfId="0" applyFont="1" applyBorder="1" applyAlignment="1" applyProtection="1">
      <alignment horizontal="right"/>
      <protection locked="0"/>
    </xf>
    <xf numFmtId="0" fontId="10" fillId="23" borderId="71" xfId="0" applyFont="1" applyFill="1" applyBorder="1"/>
    <xf numFmtId="49" fontId="9" fillId="23" borderId="72" xfId="0" applyNumberFormat="1" applyFont="1" applyFill="1" applyBorder="1" applyAlignment="1">
      <alignment horizontal="right"/>
    </xf>
    <xf numFmtId="0" fontId="12" fillId="0" borderId="52"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8" fillId="25" borderId="89" xfId="0" applyFont="1" applyFill="1" applyBorder="1" applyAlignment="1">
      <alignment horizontal="left"/>
    </xf>
    <xf numFmtId="0" fontId="8" fillId="25" borderId="28" xfId="0" applyFont="1" applyFill="1" applyBorder="1" applyAlignment="1">
      <alignment horizontal="left"/>
    </xf>
    <xf numFmtId="0" fontId="0" fillId="0" borderId="7" xfId="0" applyFill="1" applyBorder="1" applyProtection="1">
      <protection locked="0"/>
    </xf>
    <xf numFmtId="0" fontId="0" fillId="0" borderId="90" xfId="0" applyFill="1" applyBorder="1" applyProtection="1">
      <protection locked="0"/>
    </xf>
    <xf numFmtId="0" fontId="8" fillId="0" borderId="92" xfId="0" applyFont="1" applyBorder="1" applyAlignment="1">
      <alignment horizontal="left" vertical="top"/>
    </xf>
    <xf numFmtId="0" fontId="0" fillId="0" borderId="93" xfId="0" applyBorder="1" applyAlignment="1" applyProtection="1">
      <alignment vertical="top" wrapText="1"/>
      <protection locked="0"/>
    </xf>
    <xf numFmtId="0" fontId="12" fillId="0" borderId="93" xfId="0" applyFont="1" applyBorder="1" applyAlignment="1" applyProtection="1">
      <alignment vertical="top" wrapText="1"/>
      <protection locked="0"/>
    </xf>
    <xf numFmtId="0" fontId="8" fillId="0" borderId="95" xfId="0" applyFont="1" applyBorder="1" applyAlignment="1">
      <alignment horizontal="left" vertical="top"/>
    </xf>
    <xf numFmtId="0" fontId="8" fillId="0" borderId="94" xfId="0" applyFont="1" applyBorder="1" applyAlignment="1">
      <alignment horizontal="left" vertical="top"/>
    </xf>
    <xf numFmtId="0" fontId="9" fillId="0" borderId="93" xfId="0" applyFont="1" applyBorder="1" applyAlignment="1" applyProtection="1">
      <alignment vertical="top" wrapText="1"/>
      <protection locked="0"/>
    </xf>
    <xf numFmtId="0" fontId="8" fillId="0" borderId="98" xfId="0" applyFont="1" applyBorder="1" applyAlignment="1">
      <alignment horizontal="left"/>
    </xf>
    <xf numFmtId="0" fontId="0" fillId="0" borderId="93" xfId="0" applyBorder="1" applyAlignment="1" applyProtection="1">
      <alignment vertical="top"/>
      <protection locked="0"/>
    </xf>
    <xf numFmtId="0" fontId="8" fillId="0" borderId="98" xfId="0" applyFont="1" applyBorder="1" applyAlignment="1">
      <alignment horizontal="left" vertical="top"/>
    </xf>
    <xf numFmtId="0" fontId="0" fillId="0" borderId="96" xfId="0" applyBorder="1" applyAlignment="1" applyProtection="1">
      <alignment vertical="top"/>
      <protection locked="0"/>
    </xf>
    <xf numFmtId="0" fontId="9" fillId="0" borderId="96" xfId="0" applyFont="1" applyBorder="1" applyAlignment="1" applyProtection="1">
      <alignment vertical="top"/>
      <protection locked="0"/>
    </xf>
    <xf numFmtId="0" fontId="9" fillId="0" borderId="97" xfId="0" applyFont="1" applyBorder="1" applyAlignment="1" applyProtection="1">
      <alignment vertical="top" wrapText="1"/>
      <protection locked="0"/>
    </xf>
    <xf numFmtId="0" fontId="0" fillId="17" borderId="0" xfId="0" applyFill="1" applyBorder="1" applyProtection="1">
      <protection locked="0"/>
    </xf>
    <xf numFmtId="0" fontId="8" fillId="0" borderId="28" xfId="0" applyFont="1" applyFill="1" applyBorder="1" applyAlignment="1">
      <alignment horizontal="left"/>
    </xf>
    <xf numFmtId="0" fontId="0" fillId="0" borderId="99" xfId="0" applyBorder="1" applyAlignment="1" applyProtection="1">
      <alignment horizontal="right"/>
      <protection locked="0"/>
    </xf>
    <xf numFmtId="0" fontId="0" fillId="0" borderId="3" xfId="0" applyFill="1" applyBorder="1" applyProtection="1">
      <protection locked="0"/>
    </xf>
    <xf numFmtId="0" fontId="0" fillId="0" borderId="10" xfId="0" applyFill="1" applyBorder="1" applyProtection="1">
      <protection locked="0"/>
    </xf>
    <xf numFmtId="0" fontId="0" fillId="0" borderId="6" xfId="0" applyFill="1" applyBorder="1" applyAlignment="1" applyProtection="1">
      <alignment horizontal="right"/>
    </xf>
    <xf numFmtId="0" fontId="9" fillId="0" borderId="5" xfId="0" applyFont="1" applyFill="1" applyBorder="1" applyAlignment="1" applyProtection="1">
      <alignment horizontal="right"/>
      <protection locked="0"/>
    </xf>
    <xf numFmtId="0" fontId="9" fillId="17" borderId="46" xfId="0" applyFont="1" applyFill="1" applyBorder="1" applyProtection="1">
      <protection locked="0"/>
    </xf>
    <xf numFmtId="0" fontId="8" fillId="0" borderId="7" xfId="0" applyFont="1" applyFill="1" applyBorder="1" applyAlignment="1">
      <alignment horizontal="left"/>
    </xf>
    <xf numFmtId="0" fontId="0" fillId="11" borderId="5" xfId="0" applyFill="1" applyBorder="1" applyProtection="1">
      <protection locked="0"/>
    </xf>
    <xf numFmtId="0" fontId="0" fillId="11" borderId="7" xfId="0" applyFill="1" applyBorder="1" applyProtection="1">
      <protection locked="0"/>
    </xf>
    <xf numFmtId="0" fontId="9" fillId="23" borderId="46" xfId="0" applyFont="1" applyFill="1" applyBorder="1"/>
    <xf numFmtId="0" fontId="0" fillId="23" borderId="0" xfId="0" applyFill="1" applyBorder="1"/>
    <xf numFmtId="0" fontId="0" fillId="23" borderId="47" xfId="0" applyFill="1" applyBorder="1"/>
    <xf numFmtId="0" fontId="9" fillId="22" borderId="46" xfId="0" applyFont="1" applyFill="1" applyBorder="1" applyProtection="1">
      <protection locked="0"/>
    </xf>
    <xf numFmtId="0" fontId="0" fillId="22" borderId="0" xfId="0" applyFill="1" applyBorder="1" applyProtection="1">
      <protection locked="0"/>
    </xf>
    <xf numFmtId="0" fontId="9" fillId="11" borderId="6" xfId="0" applyFont="1" applyFill="1" applyBorder="1" applyProtection="1">
      <protection locked="0"/>
    </xf>
    <xf numFmtId="0" fontId="9" fillId="11" borderId="25" xfId="0" applyFont="1" applyFill="1" applyBorder="1" applyProtection="1">
      <protection locked="0"/>
    </xf>
    <xf numFmtId="0" fontId="0" fillId="0" borderId="102" xfId="0" applyFill="1" applyBorder="1" applyAlignment="1" applyProtection="1">
      <alignment horizontal="right"/>
    </xf>
    <xf numFmtId="0" fontId="9" fillId="11" borderId="24" xfId="0" applyFont="1" applyFill="1" applyBorder="1" applyProtection="1">
      <protection locked="0"/>
    </xf>
    <xf numFmtId="0" fontId="9" fillId="22" borderId="23" xfId="0" applyFont="1" applyFill="1" applyBorder="1" applyProtection="1">
      <protection locked="0"/>
    </xf>
    <xf numFmtId="0" fontId="9" fillId="22" borderId="7" xfId="0" applyFont="1" applyFill="1" applyBorder="1" applyProtection="1">
      <protection locked="0"/>
    </xf>
    <xf numFmtId="0" fontId="9" fillId="22" borderId="22" xfId="0" applyFont="1" applyFill="1" applyBorder="1" applyProtection="1">
      <protection locked="0"/>
    </xf>
    <xf numFmtId="0" fontId="9" fillId="22" borderId="33" xfId="0" applyFont="1" applyFill="1" applyBorder="1" applyProtection="1">
      <protection locked="0"/>
    </xf>
    <xf numFmtId="0" fontId="9" fillId="22" borderId="5" xfId="0" applyFont="1" applyFill="1" applyBorder="1" applyProtection="1">
      <protection locked="0"/>
    </xf>
    <xf numFmtId="0" fontId="9" fillId="22" borderId="34" xfId="0" applyFont="1" applyFill="1" applyBorder="1" applyProtection="1">
      <protection locked="0"/>
    </xf>
    <xf numFmtId="0" fontId="9" fillId="15" borderId="25" xfId="0" applyFont="1" applyFill="1" applyBorder="1" applyProtection="1">
      <protection locked="0"/>
    </xf>
    <xf numFmtId="0" fontId="9" fillId="15" borderId="6" xfId="0" applyFont="1" applyFill="1" applyBorder="1" applyProtection="1">
      <protection locked="0"/>
    </xf>
    <xf numFmtId="0" fontId="9" fillId="15" borderId="24" xfId="0" applyFont="1" applyFill="1" applyBorder="1" applyProtection="1">
      <protection locked="0"/>
    </xf>
    <xf numFmtId="0" fontId="10" fillId="9" borderId="0" xfId="0" applyFont="1" applyFill="1"/>
    <xf numFmtId="0" fontId="0" fillId="0" borderId="102" xfId="0" applyFill="1" applyBorder="1" applyAlignment="1" applyProtection="1">
      <alignment horizontal="right"/>
      <protection locked="0"/>
    </xf>
    <xf numFmtId="0" fontId="0" fillId="22" borderId="47" xfId="0" applyFill="1" applyBorder="1" applyProtection="1">
      <protection locked="0"/>
    </xf>
    <xf numFmtId="0" fontId="0" fillId="17" borderId="47" xfId="0" applyFill="1" applyBorder="1" applyProtection="1">
      <protection locked="0"/>
    </xf>
    <xf numFmtId="0" fontId="0" fillId="20" borderId="6" xfId="0" applyFill="1" applyBorder="1" applyProtection="1">
      <protection locked="0"/>
    </xf>
    <xf numFmtId="0" fontId="9" fillId="10" borderId="66" xfId="0" applyFont="1" applyFill="1" applyBorder="1" applyAlignment="1">
      <alignment horizontal="left"/>
    </xf>
    <xf numFmtId="0" fontId="0" fillId="10" borderId="69" xfId="0" applyFill="1" applyBorder="1"/>
    <xf numFmtId="0" fontId="10" fillId="18" borderId="105" xfId="0" applyFont="1" applyFill="1" applyBorder="1" applyAlignment="1"/>
    <xf numFmtId="0" fontId="10" fillId="18" borderId="106" xfId="0" applyFont="1" applyFill="1" applyBorder="1" applyAlignment="1"/>
    <xf numFmtId="0" fontId="10" fillId="18" borderId="107" xfId="0" applyFont="1" applyFill="1" applyBorder="1" applyAlignment="1"/>
    <xf numFmtId="0" fontId="9" fillId="10" borderId="68" xfId="0" applyFont="1" applyFill="1" applyBorder="1"/>
    <xf numFmtId="0" fontId="9" fillId="10" borderId="68" xfId="0" applyFont="1" applyFill="1" applyBorder="1" applyAlignment="1">
      <alignment horizontal="left"/>
    </xf>
    <xf numFmtId="0" fontId="9" fillId="10" borderId="70" xfId="0" applyFont="1" applyFill="1" applyBorder="1"/>
    <xf numFmtId="0" fontId="12" fillId="0" borderId="6" xfId="0" applyFont="1" applyBorder="1" applyAlignment="1" applyProtection="1">
      <alignment vertical="top" wrapText="1"/>
      <protection locked="0"/>
    </xf>
    <xf numFmtId="0" fontId="9" fillId="9" borderId="30" xfId="0" applyFont="1" applyFill="1" applyBorder="1" applyAlignment="1" applyProtection="1">
      <alignment horizontal="right"/>
    </xf>
    <xf numFmtId="0" fontId="0" fillId="9" borderId="31" xfId="0" applyFill="1" applyBorder="1" applyAlignment="1" applyProtection="1">
      <alignment horizontal="right"/>
    </xf>
    <xf numFmtId="0" fontId="8" fillId="0" borderId="56" xfId="0" applyFont="1" applyBorder="1" applyAlignment="1">
      <alignment horizontal="right" vertical="top" wrapText="1"/>
    </xf>
    <xf numFmtId="0" fontId="9" fillId="0" borderId="7" xfId="0" applyFont="1" applyBorder="1" applyAlignment="1" applyProtection="1">
      <alignment vertical="top" wrapText="1"/>
      <protection locked="0"/>
    </xf>
    <xf numFmtId="0" fontId="12" fillId="0" borderId="5" xfId="0" applyFont="1" applyBorder="1" applyAlignment="1" applyProtection="1">
      <alignment horizontal="left" vertical="top" wrapText="1"/>
      <protection locked="0"/>
    </xf>
    <xf numFmtId="0" fontId="12" fillId="0" borderId="3" xfId="0" applyFont="1" applyBorder="1" applyAlignment="1">
      <alignment horizontal="left" vertical="top" wrapText="1"/>
    </xf>
    <xf numFmtId="0" fontId="0" fillId="18" borderId="108" xfId="0" applyFill="1" applyBorder="1" applyAlignment="1" applyProtection="1">
      <alignment vertical="top"/>
      <protection locked="0"/>
    </xf>
    <xf numFmtId="0" fontId="9" fillId="18" borderId="108" xfId="0" applyFont="1" applyFill="1" applyBorder="1" applyAlignment="1" applyProtection="1">
      <alignment vertical="top"/>
      <protection locked="0"/>
    </xf>
    <xf numFmtId="0" fontId="9" fillId="18" borderId="109" xfId="0" applyFont="1" applyFill="1" applyBorder="1" applyAlignment="1" applyProtection="1">
      <alignment vertical="top"/>
      <protection locked="0"/>
    </xf>
    <xf numFmtId="0" fontId="9" fillId="18" borderId="108" xfId="0" applyFont="1" applyFill="1" applyBorder="1" applyAlignment="1" applyProtection="1">
      <alignment vertical="top" wrapText="1"/>
      <protection locked="0"/>
    </xf>
    <xf numFmtId="0" fontId="9" fillId="18" borderId="41" xfId="0" applyFont="1" applyFill="1" applyBorder="1" applyAlignment="1" applyProtection="1">
      <alignment vertical="top" wrapText="1"/>
      <protection locked="0"/>
    </xf>
    <xf numFmtId="0" fontId="9" fillId="0" borderId="0" xfId="0" applyFont="1"/>
    <xf numFmtId="0" fontId="8" fillId="0" borderId="110" xfId="0" applyFont="1" applyBorder="1" applyAlignment="1">
      <alignment vertical="top"/>
    </xf>
    <xf numFmtId="0" fontId="9" fillId="18" borderId="111" xfId="0" applyFont="1" applyFill="1" applyBorder="1" applyAlignment="1" applyProtection="1">
      <alignment vertical="top" wrapText="1"/>
      <protection locked="0"/>
    </xf>
    <xf numFmtId="0" fontId="12" fillId="0" borderId="5" xfId="0" applyFont="1" applyBorder="1" applyAlignment="1" applyProtection="1">
      <alignment vertical="top" wrapText="1"/>
      <protection locked="0"/>
    </xf>
    <xf numFmtId="0" fontId="9" fillId="0" borderId="55" xfId="0" applyFont="1" applyBorder="1" applyAlignment="1" applyProtection="1">
      <alignment horizontal="right" vertical="top" wrapText="1"/>
      <protection locked="0"/>
    </xf>
    <xf numFmtId="0" fontId="9" fillId="0" borderId="56" xfId="0" applyFont="1" applyBorder="1" applyAlignment="1" applyProtection="1">
      <alignment horizontal="right" vertical="top" wrapText="1"/>
      <protection locked="0"/>
    </xf>
    <xf numFmtId="0" fontId="9" fillId="0" borderId="60" xfId="0" applyFont="1" applyBorder="1" applyAlignment="1" applyProtection="1">
      <alignment horizontal="right" vertical="top" wrapText="1"/>
      <protection locked="0"/>
    </xf>
    <xf numFmtId="0" fontId="0" fillId="0" borderId="118" xfId="0" applyBorder="1" applyAlignment="1" applyProtection="1">
      <alignment horizontal="right" vertical="top" wrapText="1"/>
      <protection locked="0"/>
    </xf>
    <xf numFmtId="0" fontId="0" fillId="0" borderId="119" xfId="0" applyBorder="1" applyAlignment="1" applyProtection="1">
      <alignment horizontal="right" vertical="top" wrapText="1"/>
      <protection locked="0"/>
    </xf>
    <xf numFmtId="9" fontId="0" fillId="0" borderId="120" xfId="1" applyFont="1" applyBorder="1" applyAlignment="1" applyProtection="1">
      <alignment horizontal="right" vertical="top" wrapText="1"/>
      <protection locked="0"/>
    </xf>
    <xf numFmtId="0" fontId="0" fillId="0" borderId="121" xfId="0" applyBorder="1" applyAlignment="1" applyProtection="1">
      <alignment horizontal="right" vertical="top"/>
      <protection locked="0"/>
    </xf>
    <xf numFmtId="0" fontId="0" fillId="0" borderId="124" xfId="0" applyBorder="1" applyAlignment="1" applyProtection="1">
      <alignment horizontal="right" vertical="top"/>
      <protection locked="0"/>
    </xf>
    <xf numFmtId="0" fontId="38" fillId="14" borderId="65" xfId="0" applyFont="1" applyFill="1" applyBorder="1" applyAlignment="1">
      <alignment horizontal="center"/>
    </xf>
    <xf numFmtId="0" fontId="9" fillId="18" borderId="128" xfId="0" applyFont="1" applyFill="1" applyBorder="1" applyAlignment="1" applyProtection="1">
      <alignment vertical="top"/>
      <protection locked="0"/>
    </xf>
    <xf numFmtId="0" fontId="9" fillId="18" borderId="114" xfId="0" applyFont="1" applyFill="1" applyBorder="1" applyAlignment="1" applyProtection="1">
      <alignment vertical="top"/>
      <protection locked="0"/>
    </xf>
    <xf numFmtId="0" fontId="9" fillId="18" borderId="128" xfId="0" applyFont="1" applyFill="1" applyBorder="1" applyAlignment="1" applyProtection="1">
      <alignment vertical="top" wrapText="1"/>
      <protection locked="0"/>
    </xf>
    <xf numFmtId="0" fontId="9" fillId="18" borderId="129" xfId="0" applyFont="1" applyFill="1" applyBorder="1" applyAlignment="1" applyProtection="1">
      <alignment vertical="top" wrapText="1"/>
      <protection locked="0"/>
    </xf>
    <xf numFmtId="0" fontId="9" fillId="18" borderId="127" xfId="0" applyFont="1" applyFill="1" applyBorder="1" applyAlignment="1" applyProtection="1">
      <alignment vertical="top" wrapText="1"/>
      <protection locked="0"/>
    </xf>
    <xf numFmtId="0" fontId="9" fillId="18" borderId="7" xfId="2" applyFont="1" applyFill="1" applyBorder="1"/>
    <xf numFmtId="0" fontId="9" fillId="18" borderId="7" xfId="2" applyFill="1" applyBorder="1" applyProtection="1">
      <protection locked="0"/>
    </xf>
    <xf numFmtId="0" fontId="9" fillId="18" borderId="7" xfId="2" applyFill="1" applyBorder="1" applyAlignment="1" applyProtection="1">
      <alignment horizontal="right"/>
      <protection locked="0"/>
    </xf>
    <xf numFmtId="0" fontId="8" fillId="0" borderId="5" xfId="2" applyFont="1" applyFill="1" applyBorder="1" applyAlignment="1">
      <alignment horizontal="left"/>
    </xf>
    <xf numFmtId="0" fontId="9" fillId="0" borderId="5" xfId="2" applyBorder="1" applyProtection="1">
      <protection locked="0"/>
    </xf>
    <xf numFmtId="0" fontId="9" fillId="0" borderId="3" xfId="2" applyBorder="1" applyAlignment="1" applyProtection="1">
      <alignment horizontal="right"/>
      <protection locked="0"/>
    </xf>
    <xf numFmtId="0" fontId="8" fillId="0" borderId="7" xfId="2" applyFont="1" applyFill="1" applyBorder="1" applyAlignment="1">
      <alignment horizontal="left"/>
    </xf>
    <xf numFmtId="0" fontId="9" fillId="0" borderId="7" xfId="2" applyBorder="1" applyProtection="1">
      <protection locked="0"/>
    </xf>
    <xf numFmtId="0" fontId="9" fillId="0" borderId="7" xfId="2" applyBorder="1" applyAlignment="1" applyProtection="1">
      <alignment horizontal="right"/>
      <protection locked="0"/>
    </xf>
    <xf numFmtId="0" fontId="9" fillId="0" borderId="6" xfId="2" applyBorder="1" applyProtection="1">
      <protection locked="0"/>
    </xf>
    <xf numFmtId="0" fontId="9" fillId="0" borderId="6" xfId="2" applyBorder="1" applyAlignment="1" applyProtection="1">
      <alignment horizontal="right"/>
      <protection locked="0"/>
    </xf>
    <xf numFmtId="0" fontId="0" fillId="25" borderId="5" xfId="0" applyFill="1" applyBorder="1" applyProtection="1">
      <protection locked="0"/>
    </xf>
    <xf numFmtId="0" fontId="0" fillId="25" borderId="6" xfId="0" applyFill="1" applyBorder="1" applyProtection="1">
      <protection locked="0"/>
    </xf>
    <xf numFmtId="0" fontId="0" fillId="25" borderId="5" xfId="0" applyFill="1" applyBorder="1" applyAlignment="1" applyProtection="1">
      <alignment horizontal="right"/>
      <protection locked="0"/>
    </xf>
    <xf numFmtId="0" fontId="12" fillId="0" borderId="5" xfId="0" applyFont="1" applyBorder="1" applyAlignment="1" applyProtection="1">
      <alignment vertical="top" wrapText="1"/>
      <protection locked="0"/>
    </xf>
    <xf numFmtId="0" fontId="0" fillId="20" borderId="5" xfId="0" applyFill="1" applyBorder="1" applyProtection="1">
      <protection locked="0"/>
    </xf>
    <xf numFmtId="0" fontId="0" fillId="23" borderId="5" xfId="0" applyFill="1" applyBorder="1" applyProtection="1">
      <protection locked="0"/>
    </xf>
    <xf numFmtId="0" fontId="0" fillId="23" borderId="6" xfId="0" applyFill="1" applyBorder="1" applyAlignment="1" applyProtection="1">
      <alignment horizontal="right"/>
    </xf>
    <xf numFmtId="0" fontId="0" fillId="6" borderId="5" xfId="0" applyFill="1" applyBorder="1" applyProtection="1">
      <protection locked="0"/>
    </xf>
    <xf numFmtId="0" fontId="12" fillId="0" borderId="5" xfId="0" applyFont="1" applyBorder="1" applyAlignment="1" applyProtection="1">
      <alignment vertical="top" wrapText="1"/>
      <protection locked="0"/>
    </xf>
    <xf numFmtId="0" fontId="0" fillId="18" borderId="3" xfId="0" applyFill="1" applyBorder="1" applyAlignment="1" applyProtection="1">
      <alignment vertical="top"/>
      <protection locked="0"/>
    </xf>
    <xf numFmtId="0" fontId="9" fillId="0" borderId="5" xfId="0" applyFont="1" applyBorder="1" applyAlignment="1" applyProtection="1">
      <alignment vertical="top"/>
      <protection locked="0"/>
    </xf>
    <xf numFmtId="0" fontId="12" fillId="26" borderId="5" xfId="0" applyFont="1" applyFill="1" applyBorder="1" applyAlignment="1" applyProtection="1">
      <alignment vertical="top"/>
      <protection locked="0"/>
    </xf>
    <xf numFmtId="0" fontId="9" fillId="0" borderId="59" xfId="0" applyFont="1" applyBorder="1" applyAlignment="1" applyProtection="1">
      <alignment vertical="top" wrapText="1"/>
      <protection locked="0"/>
    </xf>
    <xf numFmtId="0" fontId="12" fillId="0" borderId="138" xfId="0" applyFont="1" applyBorder="1" applyAlignment="1" applyProtection="1">
      <alignment vertical="top" wrapText="1"/>
      <protection locked="0"/>
    </xf>
    <xf numFmtId="0" fontId="12" fillId="0" borderId="139" xfId="0" applyFont="1" applyBorder="1" applyAlignment="1" applyProtection="1">
      <alignment vertical="top" wrapText="1"/>
      <protection locked="0"/>
    </xf>
    <xf numFmtId="0" fontId="0" fillId="0" borderId="136" xfId="0" applyFill="1" applyBorder="1" applyAlignment="1">
      <alignment horizontal="right"/>
    </xf>
    <xf numFmtId="0" fontId="0" fillId="0" borderId="139" xfId="0" applyBorder="1" applyAlignment="1" applyProtection="1">
      <alignment horizontal="right"/>
      <protection locked="0"/>
    </xf>
    <xf numFmtId="0" fontId="0" fillId="0" borderId="139" xfId="0" applyFill="1" applyBorder="1" applyAlignment="1" applyProtection="1">
      <alignment horizontal="right"/>
      <protection locked="0"/>
    </xf>
    <xf numFmtId="0" fontId="9" fillId="0" borderId="139" xfId="2" applyBorder="1" applyAlignment="1" applyProtection="1">
      <alignment horizontal="right"/>
      <protection locked="0"/>
    </xf>
    <xf numFmtId="0" fontId="50" fillId="2" borderId="0" xfId="0" applyFont="1" applyFill="1"/>
    <xf numFmtId="0" fontId="50" fillId="0" borderId="0" xfId="0" applyFont="1" applyBorder="1"/>
    <xf numFmtId="0" fontId="50" fillId="2" borderId="0" xfId="0" applyFont="1" applyFill="1" applyBorder="1"/>
    <xf numFmtId="0" fontId="55" fillId="2" borderId="0" xfId="0" applyFont="1" applyFill="1"/>
    <xf numFmtId="0" fontId="0" fillId="0" borderId="139" xfId="0" applyFill="1" applyBorder="1" applyAlignment="1">
      <alignment horizontal="right"/>
    </xf>
    <xf numFmtId="0" fontId="0" fillId="0" borderId="139" xfId="0" applyBorder="1" applyAlignment="1" applyProtection="1">
      <alignment horizontal="right"/>
      <protection locked="0"/>
    </xf>
    <xf numFmtId="0" fontId="21" fillId="27" borderId="0" xfId="0" applyFont="1" applyFill="1"/>
    <xf numFmtId="0" fontId="10" fillId="27" borderId="0" xfId="0" applyFont="1" applyFill="1" applyAlignment="1">
      <alignment horizontal="right"/>
    </xf>
    <xf numFmtId="0" fontId="0" fillId="27" borderId="0" xfId="0" applyFill="1"/>
    <xf numFmtId="0" fontId="29" fillId="27" borderId="0" xfId="0" quotePrefix="1" applyFont="1" applyFill="1"/>
    <xf numFmtId="0" fontId="30" fillId="27" borderId="0" xfId="0" applyFont="1" applyFill="1" applyAlignment="1">
      <alignment horizontal="left"/>
    </xf>
    <xf numFmtId="0" fontId="29" fillId="27" borderId="0" xfId="0" applyFont="1" applyFill="1"/>
    <xf numFmtId="0" fontId="0" fillId="27" borderId="0" xfId="0" applyFill="1" applyBorder="1"/>
    <xf numFmtId="0" fontId="0" fillId="27" borderId="41" xfId="0" applyFill="1" applyBorder="1"/>
    <xf numFmtId="0" fontId="28" fillId="4" borderId="0" xfId="0" applyFont="1" applyFill="1" applyBorder="1" applyAlignment="1">
      <alignment horizontal="right"/>
    </xf>
    <xf numFmtId="0" fontId="0" fillId="27" borderId="140" xfId="0" applyFill="1" applyBorder="1"/>
    <xf numFmtId="0" fontId="0" fillId="27" borderId="141" xfId="0" applyFill="1" applyBorder="1"/>
    <xf numFmtId="0" fontId="32" fillId="8" borderId="42" xfId="0" applyFont="1" applyFill="1" applyBorder="1" applyAlignment="1">
      <alignment horizontal="center"/>
    </xf>
    <xf numFmtId="0" fontId="32" fillId="8" borderId="43" xfId="0" applyFont="1" applyFill="1" applyBorder="1" applyAlignment="1">
      <alignment horizontal="center"/>
    </xf>
    <xf numFmtId="0" fontId="33" fillId="0" borderId="0" xfId="0" applyFont="1" applyFill="1" applyBorder="1" applyAlignment="1"/>
    <xf numFmtId="0" fontId="34" fillId="0" borderId="49" xfId="0" applyFont="1" applyBorder="1" applyAlignment="1"/>
    <xf numFmtId="0" fontId="48" fillId="4" borderId="63" xfId="0" applyFont="1" applyFill="1" applyBorder="1" applyAlignment="1">
      <alignment horizontal="left"/>
    </xf>
    <xf numFmtId="0" fontId="48" fillId="4" borderId="64" xfId="0" applyFont="1" applyFill="1" applyBorder="1" applyAlignment="1">
      <alignment horizontal="left"/>
    </xf>
    <xf numFmtId="0" fontId="35" fillId="4" borderId="0" xfId="0" applyFont="1" applyFill="1" applyBorder="1" applyAlignment="1">
      <alignment horizontal="right"/>
    </xf>
    <xf numFmtId="9" fontId="53" fillId="4" borderId="0" xfId="0" applyNumberFormat="1" applyFont="1" applyFill="1" applyBorder="1" applyAlignment="1">
      <alignment horizontal="left" vertical="center"/>
    </xf>
    <xf numFmtId="9" fontId="36" fillId="4" borderId="0" xfId="0" applyNumberFormat="1" applyFont="1" applyFill="1" applyBorder="1" applyAlignment="1">
      <alignment horizontal="left" vertical="center"/>
    </xf>
    <xf numFmtId="0" fontId="37" fillId="4" borderId="0" xfId="0" applyFont="1" applyFill="1" applyBorder="1" applyAlignment="1">
      <alignment horizontal="right"/>
    </xf>
    <xf numFmtId="0" fontId="9" fillId="13" borderId="61" xfId="0" applyFont="1" applyFill="1" applyBorder="1" applyAlignment="1">
      <alignment horizontal="left"/>
    </xf>
    <xf numFmtId="0" fontId="9" fillId="13" borderId="62" xfId="0" applyFont="1" applyFill="1" applyBorder="1" applyAlignment="1">
      <alignment horizontal="left"/>
    </xf>
    <xf numFmtId="0" fontId="34" fillId="4" borderId="0" xfId="0" applyFont="1" applyFill="1" applyBorder="1" applyAlignment="1">
      <alignment horizontal="center"/>
    </xf>
    <xf numFmtId="0" fontId="34" fillId="4" borderId="10" xfId="0" applyFont="1" applyFill="1" applyBorder="1" applyAlignment="1">
      <alignment horizontal="center"/>
    </xf>
    <xf numFmtId="0" fontId="10" fillId="16" borderId="100" xfId="0" applyFont="1" applyFill="1" applyBorder="1" applyAlignment="1">
      <alignment horizontal="center"/>
    </xf>
    <xf numFmtId="0" fontId="10" fillId="16" borderId="40" xfId="0" applyFont="1" applyFill="1" applyBorder="1" applyAlignment="1">
      <alignment horizontal="center"/>
    </xf>
    <xf numFmtId="0" fontId="10" fillId="16" borderId="101" xfId="0" applyFont="1" applyFill="1" applyBorder="1" applyAlignment="1">
      <alignment horizontal="center"/>
    </xf>
    <xf numFmtId="0" fontId="41" fillId="15" borderId="67" xfId="0" applyFont="1" applyFill="1" applyBorder="1"/>
    <xf numFmtId="0" fontId="41" fillId="15" borderId="66" xfId="0" applyFont="1" applyFill="1" applyBorder="1"/>
    <xf numFmtId="0" fontId="41" fillId="8" borderId="67" xfId="0" applyFont="1" applyFill="1" applyBorder="1"/>
    <xf numFmtId="0" fontId="41" fillId="8" borderId="66" xfId="0" applyFont="1" applyFill="1" applyBorder="1"/>
    <xf numFmtId="0" fontId="0" fillId="19" borderId="44" xfId="0" applyFill="1" applyBorder="1" applyProtection="1">
      <protection locked="0"/>
    </xf>
    <xf numFmtId="0" fontId="0" fillId="19" borderId="48" xfId="0" applyFill="1" applyBorder="1" applyProtection="1">
      <protection locked="0"/>
    </xf>
    <xf numFmtId="0" fontId="0" fillId="19" borderId="45" xfId="0" applyFill="1" applyBorder="1" applyProtection="1">
      <protection locked="0"/>
    </xf>
    <xf numFmtId="0" fontId="9" fillId="25" borderId="35" xfId="0" applyFont="1" applyFill="1" applyBorder="1" applyAlignment="1" applyProtection="1">
      <alignment horizontal="left"/>
      <protection locked="0"/>
    </xf>
    <xf numFmtId="0" fontId="9" fillId="25" borderId="36" xfId="0" applyFont="1" applyFill="1" applyBorder="1" applyAlignment="1" applyProtection="1">
      <alignment horizontal="left"/>
      <protection locked="0"/>
    </xf>
    <xf numFmtId="0" fontId="9" fillId="25" borderId="37" xfId="0" applyFont="1" applyFill="1" applyBorder="1" applyAlignment="1" applyProtection="1">
      <alignment horizontal="left"/>
      <protection locked="0"/>
    </xf>
    <xf numFmtId="0" fontId="10" fillId="16" borderId="44" xfId="0" applyFont="1" applyFill="1" applyBorder="1" applyAlignment="1">
      <alignment horizontal="center"/>
    </xf>
    <xf numFmtId="0" fontId="10" fillId="16" borderId="45" xfId="0" applyFont="1" applyFill="1" applyBorder="1" applyAlignment="1">
      <alignment horizontal="center"/>
    </xf>
    <xf numFmtId="0" fontId="9" fillId="11" borderId="46" xfId="0" applyFont="1" applyFill="1" applyBorder="1"/>
    <xf numFmtId="0" fontId="0" fillId="11" borderId="0" xfId="0" applyFill="1" applyBorder="1"/>
    <xf numFmtId="0" fontId="0" fillId="11" borderId="47" xfId="0" applyFill="1" applyBorder="1"/>
    <xf numFmtId="0" fontId="9" fillId="0" borderId="44" xfId="0" applyFont="1" applyFill="1" applyBorder="1" applyAlignment="1" applyProtection="1">
      <alignment horizontal="left"/>
      <protection locked="0"/>
    </xf>
    <xf numFmtId="0" fontId="9" fillId="0" borderId="48" xfId="0" applyFont="1" applyFill="1" applyBorder="1" applyAlignment="1" applyProtection="1">
      <alignment horizontal="left"/>
      <protection locked="0"/>
    </xf>
    <xf numFmtId="0" fontId="9" fillId="0" borderId="45" xfId="0" applyFont="1" applyFill="1" applyBorder="1" applyAlignment="1" applyProtection="1">
      <alignment horizontal="left"/>
      <protection locked="0"/>
    </xf>
    <xf numFmtId="0" fontId="10" fillId="9" borderId="36" xfId="0" applyFont="1" applyFill="1" applyBorder="1" applyAlignment="1">
      <alignment horizontal="left"/>
    </xf>
    <xf numFmtId="0" fontId="9" fillId="20" borderId="35" xfId="0" applyFont="1" applyFill="1" applyBorder="1" applyProtection="1">
      <protection locked="0"/>
    </xf>
    <xf numFmtId="0" fontId="0" fillId="20" borderId="36" xfId="0" applyFill="1" applyBorder="1" applyProtection="1">
      <protection locked="0"/>
    </xf>
    <xf numFmtId="0" fontId="0" fillId="20" borderId="37" xfId="0" applyFill="1" applyBorder="1" applyProtection="1">
      <protection locked="0"/>
    </xf>
    <xf numFmtId="0" fontId="41" fillId="4" borderId="67" xfId="0" applyFont="1" applyFill="1" applyBorder="1" applyAlignment="1">
      <alignment horizontal="left" vertical="top"/>
    </xf>
    <xf numFmtId="0" fontId="41" fillId="4" borderId="66" xfId="0" applyFont="1" applyFill="1" applyBorder="1" applyAlignment="1">
      <alignment horizontal="left" vertical="top"/>
    </xf>
    <xf numFmtId="0" fontId="10" fillId="23" borderId="103" xfId="0" applyFont="1" applyFill="1" applyBorder="1" applyAlignment="1">
      <alignment horizontal="left"/>
    </xf>
    <xf numFmtId="0" fontId="10" fillId="23" borderId="104" xfId="0" applyFont="1" applyFill="1" applyBorder="1" applyAlignment="1">
      <alignment horizontal="left"/>
    </xf>
    <xf numFmtId="0" fontId="9" fillId="9" borderId="3" xfId="0" applyFont="1" applyFill="1" applyBorder="1" applyAlignment="1" applyProtection="1">
      <alignment horizontal="left" vertical="top" wrapText="1"/>
      <protection locked="0"/>
    </xf>
    <xf numFmtId="0" fontId="9" fillId="9" borderId="59" xfId="0" applyFont="1" applyFill="1" applyBorder="1" applyAlignment="1" applyProtection="1">
      <alignment horizontal="left" vertical="top" wrapText="1"/>
      <protection locked="0"/>
    </xf>
    <xf numFmtId="0" fontId="9" fillId="9" borderId="127" xfId="0" applyFont="1" applyFill="1" applyBorder="1" applyAlignment="1" applyProtection="1">
      <alignment horizontal="left" vertical="top" wrapText="1"/>
      <protection locked="0"/>
    </xf>
    <xf numFmtId="0" fontId="9" fillId="9" borderId="65" xfId="0" applyFont="1" applyFill="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9" fillId="0" borderId="127" xfId="0" applyFont="1" applyBorder="1" applyAlignment="1" applyProtection="1">
      <alignment horizontal="left" vertical="top" wrapText="1"/>
      <protection locked="0"/>
    </xf>
    <xf numFmtId="0" fontId="9" fillId="0" borderId="65" xfId="0" applyFont="1" applyBorder="1" applyAlignment="1" applyProtection="1">
      <alignment horizontal="left" vertical="top" wrapText="1"/>
      <protection locked="0"/>
    </xf>
    <xf numFmtId="0" fontId="38" fillId="14" borderId="108" xfId="0" applyFont="1" applyFill="1" applyBorder="1" applyAlignment="1">
      <alignment horizontal="center"/>
    </xf>
    <xf numFmtId="0" fontId="38" fillId="14" borderId="114" xfId="0" applyFont="1" applyFill="1" applyBorder="1" applyAlignment="1">
      <alignment horizontal="center"/>
    </xf>
    <xf numFmtId="0" fontId="38" fillId="14" borderId="113" xfId="0" applyFont="1" applyFill="1" applyBorder="1" applyAlignment="1">
      <alignment horizontal="center"/>
    </xf>
    <xf numFmtId="0" fontId="0" fillId="0" borderId="59" xfId="0" applyBorder="1" applyAlignment="1">
      <alignment vertical="top"/>
    </xf>
    <xf numFmtId="0" fontId="9" fillId="0" borderId="135" xfId="0" applyFont="1" applyBorder="1" applyAlignment="1" applyProtection="1">
      <alignment horizontal="left" vertical="top"/>
      <protection locked="0"/>
    </xf>
    <xf numFmtId="0" fontId="9" fillId="0" borderId="136" xfId="0" applyFont="1" applyBorder="1" applyAlignment="1" applyProtection="1">
      <alignment horizontal="left" vertical="top"/>
      <protection locked="0"/>
    </xf>
    <xf numFmtId="0" fontId="9" fillId="0" borderId="137" xfId="0" applyFont="1" applyBorder="1" applyAlignment="1" applyProtection="1">
      <alignment horizontal="left" vertical="top"/>
      <protection locked="0"/>
    </xf>
    <xf numFmtId="0" fontId="0" fillId="0" borderId="122" xfId="0" applyBorder="1" applyAlignment="1" applyProtection="1">
      <alignment horizontal="right" vertical="top"/>
      <protection locked="0"/>
    </xf>
    <xf numFmtId="0" fontId="0" fillId="0" borderId="123" xfId="0" applyBorder="1" applyAlignment="1" applyProtection="1">
      <alignment horizontal="right" vertical="top"/>
      <protection locked="0"/>
    </xf>
    <xf numFmtId="0" fontId="12" fillId="0" borderId="3" xfId="0" applyFont="1" applyFill="1" applyBorder="1" applyAlignment="1" applyProtection="1">
      <alignment vertical="top" wrapText="1"/>
      <protection locked="0"/>
    </xf>
    <xf numFmtId="0" fontId="12" fillId="0" borderId="5" xfId="0" applyFont="1" applyFill="1" applyBorder="1" applyAlignment="1" applyProtection="1">
      <alignment vertical="top" wrapText="1"/>
      <protection locked="0"/>
    </xf>
    <xf numFmtId="0" fontId="12" fillId="0" borderId="7" xfId="0" applyFont="1" applyBorder="1" applyAlignment="1" applyProtection="1">
      <alignment horizontal="left" vertical="top" wrapText="1"/>
      <protection locked="0"/>
    </xf>
    <xf numFmtId="0" fontId="12" fillId="0" borderId="59" xfId="0" applyFont="1" applyBorder="1" applyAlignment="1" applyProtection="1">
      <alignment horizontal="left" vertical="top" wrapText="1"/>
      <protection locked="0"/>
    </xf>
    <xf numFmtId="0" fontId="0" fillId="0" borderId="3" xfId="0" applyBorder="1" applyAlignment="1">
      <alignment horizontal="left" vertical="top" wrapText="1"/>
    </xf>
    <xf numFmtId="0" fontId="0" fillId="0" borderId="5" xfId="0" applyBorder="1" applyAlignment="1">
      <alignment horizontal="left" vertical="top" wrapText="1"/>
    </xf>
    <xf numFmtId="0" fontId="9" fillId="0" borderId="132" xfId="0" applyFont="1" applyBorder="1" applyAlignment="1" applyProtection="1">
      <alignment horizontal="left" vertical="top"/>
      <protection locked="0"/>
    </xf>
    <xf numFmtId="0" fontId="9" fillId="0" borderId="133" xfId="0" applyFont="1" applyBorder="1" applyAlignment="1" applyProtection="1">
      <alignment horizontal="left" vertical="top"/>
      <protection locked="0"/>
    </xf>
    <xf numFmtId="0" fontId="9" fillId="0" borderId="134" xfId="0" applyFont="1" applyBorder="1" applyAlignment="1" applyProtection="1">
      <alignment horizontal="left" vertical="top"/>
      <protection locked="0"/>
    </xf>
    <xf numFmtId="0" fontId="12" fillId="0" borderId="52" xfId="0" applyFont="1" applyBorder="1" applyAlignment="1" applyProtection="1">
      <alignment vertical="top" wrapText="1"/>
      <protection locked="0"/>
    </xf>
    <xf numFmtId="0" fontId="12" fillId="0" borderId="51" xfId="0" applyFont="1" applyBorder="1" applyAlignment="1" applyProtection="1">
      <alignment vertical="top" wrapText="1"/>
      <protection locked="0"/>
    </xf>
    <xf numFmtId="0" fontId="9" fillId="0" borderId="130" xfId="0" applyFont="1" applyBorder="1" applyAlignment="1" applyProtection="1">
      <alignment horizontal="left" vertical="top" wrapText="1"/>
      <protection locked="0"/>
    </xf>
    <xf numFmtId="0" fontId="0" fillId="0" borderId="130" xfId="0" applyBorder="1" applyAlignment="1" applyProtection="1">
      <alignment horizontal="left" vertical="top" wrapText="1"/>
      <protection locked="0"/>
    </xf>
    <xf numFmtId="0" fontId="9" fillId="0" borderId="131" xfId="0" applyFont="1" applyBorder="1" applyAlignment="1" applyProtection="1">
      <alignment horizontal="left" vertical="top" wrapText="1"/>
      <protection locked="0"/>
    </xf>
    <xf numFmtId="0" fontId="0" fillId="0" borderId="131" xfId="0" applyBorder="1" applyAlignment="1" applyProtection="1">
      <alignment horizontal="left" vertical="top" wrapText="1"/>
      <protection locked="0"/>
    </xf>
    <xf numFmtId="9" fontId="0" fillId="0" borderId="125" xfId="1" applyFont="1" applyBorder="1" applyAlignment="1" applyProtection="1">
      <alignment horizontal="right" vertical="top"/>
      <protection locked="0"/>
    </xf>
    <xf numFmtId="9" fontId="0" fillId="0" borderId="126" xfId="1" applyFont="1" applyBorder="1" applyAlignment="1" applyProtection="1">
      <alignment horizontal="right" vertical="top"/>
      <protection locked="0"/>
    </xf>
    <xf numFmtId="0" fontId="9" fillId="0" borderId="117" xfId="0" applyFont="1" applyBorder="1" applyAlignment="1" applyProtection="1">
      <alignment horizontal="left" vertical="top" wrapText="1"/>
      <protection locked="0"/>
    </xf>
    <xf numFmtId="0" fontId="0" fillId="0" borderId="117" xfId="0" applyBorder="1" applyAlignment="1" applyProtection="1">
      <alignment horizontal="left" vertical="top" wrapText="1"/>
      <protection locked="0"/>
    </xf>
    <xf numFmtId="0" fontId="31" fillId="18" borderId="73" xfId="0" applyFont="1" applyFill="1" applyBorder="1" applyAlignment="1">
      <alignment horizontal="center" vertical="top"/>
    </xf>
    <xf numFmtId="0" fontId="31" fillId="18" borderId="113" xfId="0" applyFont="1" applyFill="1" applyBorder="1" applyAlignment="1">
      <alignment horizontal="center" vertical="top"/>
    </xf>
    <xf numFmtId="0" fontId="31" fillId="18" borderId="109" xfId="0" applyFont="1" applyFill="1" applyBorder="1" applyAlignment="1">
      <alignment horizontal="center" vertical="top"/>
    </xf>
    <xf numFmtId="0" fontId="31" fillId="18" borderId="114" xfId="0" applyFont="1" applyFill="1" applyBorder="1" applyAlignment="1">
      <alignment horizontal="center" vertical="top"/>
    </xf>
    <xf numFmtId="0" fontId="9" fillId="0" borderId="115" xfId="0" applyFont="1" applyBorder="1" applyAlignment="1" applyProtection="1">
      <alignment horizontal="left" vertical="top"/>
      <protection locked="0"/>
    </xf>
    <xf numFmtId="0" fontId="9" fillId="0" borderId="112" xfId="0" applyFont="1" applyBorder="1" applyAlignment="1" applyProtection="1">
      <alignment horizontal="left" vertical="top"/>
      <protection locked="0"/>
    </xf>
    <xf numFmtId="0" fontId="9" fillId="0" borderId="116" xfId="0" applyFont="1" applyBorder="1" applyAlignment="1" applyProtection="1">
      <alignment horizontal="left" vertical="top"/>
      <protection locked="0"/>
    </xf>
    <xf numFmtId="0" fontId="44" fillId="8" borderId="63" xfId="0" applyFont="1" applyFill="1" applyBorder="1" applyAlignment="1">
      <alignment horizontal="left"/>
    </xf>
    <xf numFmtId="0" fontId="44" fillId="8" borderId="74" xfId="0" applyFont="1" applyFill="1" applyBorder="1" applyAlignment="1">
      <alignment horizontal="left"/>
    </xf>
    <xf numFmtId="0" fontId="12" fillId="0" borderId="3"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93" xfId="0" applyFont="1" applyBorder="1" applyAlignment="1" applyProtection="1">
      <alignment vertical="top" wrapText="1"/>
      <protection locked="0"/>
    </xf>
    <xf numFmtId="0" fontId="0" fillId="0" borderId="96" xfId="0" applyBorder="1" applyAlignment="1">
      <alignment vertical="top" wrapText="1"/>
    </xf>
    <xf numFmtId="0" fontId="8" fillId="0" borderId="60" xfId="0" applyFont="1" applyBorder="1" applyAlignment="1">
      <alignment horizontal="right" vertical="top"/>
    </xf>
    <xf numFmtId="0" fontId="8" fillId="0" borderId="50" xfId="0" applyFont="1" applyBorder="1" applyAlignment="1">
      <alignment horizontal="right" vertical="top"/>
    </xf>
    <xf numFmtId="0" fontId="34" fillId="18" borderId="84" xfId="0" applyFont="1" applyFill="1" applyBorder="1" applyAlignment="1">
      <alignment vertical="top" wrapText="1"/>
    </xf>
    <xf numFmtId="0" fontId="34" fillId="18" borderId="0" xfId="0" applyFont="1" applyFill="1" applyBorder="1" applyAlignment="1">
      <alignment vertical="top" wrapText="1"/>
    </xf>
    <xf numFmtId="0" fontId="34" fillId="18" borderId="85" xfId="0" applyFont="1" applyFill="1" applyBorder="1" applyAlignment="1">
      <alignment vertical="top" wrapText="1"/>
    </xf>
    <xf numFmtId="0" fontId="18" fillId="4" borderId="0" xfId="0" applyFont="1" applyFill="1" applyBorder="1" applyAlignment="1"/>
    <xf numFmtId="0" fontId="18" fillId="4" borderId="49" xfId="0" applyFont="1" applyFill="1" applyBorder="1" applyAlignment="1"/>
    <xf numFmtId="0" fontId="47" fillId="4" borderId="0" xfId="0" applyFont="1" applyFill="1" applyBorder="1" applyAlignment="1">
      <alignment horizontal="right"/>
    </xf>
    <xf numFmtId="0" fontId="48" fillId="4" borderId="0" xfId="0" applyFont="1" applyFill="1" applyBorder="1" applyAlignment="1"/>
    <xf numFmtId="9" fontId="49" fillId="4" borderId="75" xfId="0" applyNumberFormat="1" applyFont="1" applyFill="1" applyBorder="1" applyAlignment="1"/>
    <xf numFmtId="9" fontId="49" fillId="4" borderId="76" xfId="0" applyNumberFormat="1" applyFont="1" applyFill="1" applyBorder="1" applyAlignment="1"/>
    <xf numFmtId="9" fontId="49" fillId="4" borderId="77" xfId="0" applyNumberFormat="1" applyFont="1" applyFill="1" applyBorder="1" applyAlignment="1"/>
    <xf numFmtId="9" fontId="49" fillId="4" borderId="78" xfId="0" applyNumberFormat="1" applyFont="1" applyFill="1" applyBorder="1" applyAlignment="1"/>
    <xf numFmtId="9" fontId="49" fillId="4" borderId="79" xfId="0" applyNumberFormat="1" applyFont="1" applyFill="1" applyBorder="1" applyAlignment="1"/>
    <xf numFmtId="9" fontId="49" fillId="4" borderId="80" xfId="0" applyNumberFormat="1" applyFont="1" applyFill="1" applyBorder="1" applyAlignment="1"/>
    <xf numFmtId="0" fontId="0" fillId="13" borderId="0" xfId="0" applyFill="1" applyBorder="1" applyAlignment="1">
      <alignment horizontal="left"/>
    </xf>
    <xf numFmtId="0" fontId="0" fillId="13" borderId="49" xfId="0" applyFill="1" applyBorder="1" applyAlignment="1">
      <alignment horizontal="left"/>
    </xf>
    <xf numFmtId="0" fontId="34" fillId="18" borderId="81" xfId="0" applyFont="1" applyFill="1" applyBorder="1" applyAlignment="1">
      <alignment vertical="top" wrapText="1"/>
    </xf>
    <xf numFmtId="0" fontId="34" fillId="18" borderId="82" xfId="0" applyFont="1" applyFill="1" applyBorder="1" applyAlignment="1">
      <alignment vertical="top" wrapText="1"/>
    </xf>
    <xf numFmtId="0" fontId="34" fillId="18" borderId="83" xfId="0" applyFont="1" applyFill="1" applyBorder="1" applyAlignment="1">
      <alignment vertical="top" wrapText="1"/>
    </xf>
    <xf numFmtId="0" fontId="12" fillId="0" borderId="6" xfId="0" applyFont="1" applyBorder="1" applyProtection="1">
      <protection locked="0"/>
    </xf>
    <xf numFmtId="0" fontId="58" fillId="0" borderId="6" xfId="0" applyFont="1" applyBorder="1" applyAlignment="1" applyProtection="1">
      <alignment horizontal="right"/>
      <protection locked="0"/>
    </xf>
    <xf numFmtId="2" fontId="58" fillId="0" borderId="6" xfId="0" applyNumberFormat="1" applyFont="1" applyBorder="1" applyAlignment="1" applyProtection="1">
      <alignment horizontal="right"/>
      <protection locked="0"/>
    </xf>
  </cellXfs>
  <cellStyles count="6">
    <cellStyle name="Normal 2" xfId="2"/>
    <cellStyle name="Percent 2" xfId="4"/>
    <cellStyle name="Percent 3" xfId="5"/>
    <cellStyle name="Percent 4" xfId="3"/>
    <cellStyle name="一般" xfId="0" builtinId="0"/>
    <cellStyle name="百分比" xfId="1" builtinId="5"/>
  </cellStyles>
  <dxfs count="30">
    <dxf>
      <font>
        <b/>
        <i val="0"/>
        <condense val="0"/>
        <extend val="0"/>
        <color indexed="16"/>
      </font>
    </dxf>
    <dxf>
      <font>
        <b/>
        <i val="0"/>
        <condense val="0"/>
        <extend val="0"/>
        <color indexed="9"/>
      </font>
      <fill>
        <patternFill>
          <bgColor indexed="10"/>
        </patternFill>
      </fill>
    </dxf>
    <dxf>
      <font>
        <b/>
        <i val="0"/>
        <color auto="1"/>
      </font>
      <fill>
        <patternFill>
          <bgColor rgb="FFFF7C80"/>
        </patternFill>
      </fill>
    </dxf>
    <dxf>
      <font>
        <b/>
        <i val="0"/>
        <color theme="7" tint="-0.499984740745262"/>
      </font>
      <fill>
        <patternFill patternType="solid">
          <bgColor theme="9" tint="0.79998168889431442"/>
        </patternFill>
      </fill>
    </dxf>
    <dxf>
      <font>
        <b/>
        <i val="0"/>
        <condense val="0"/>
        <extend val="0"/>
        <color indexed="9"/>
      </font>
      <fill>
        <patternFill>
          <bgColor theme="7"/>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val="0"/>
        <i/>
        <color theme="2"/>
      </font>
    </dxf>
    <dxf>
      <font>
        <b val="0"/>
        <i/>
        <color theme="2"/>
      </font>
    </dxf>
    <dxf>
      <font>
        <b val="0"/>
        <i/>
        <color theme="2"/>
      </font>
    </dxf>
    <dxf>
      <font>
        <b/>
        <i val="0"/>
        <color theme="3"/>
      </font>
      <fill>
        <patternFill patternType="darkGray">
          <fgColor indexed="9"/>
          <bgColor indexed="22"/>
        </patternFill>
      </fill>
    </dxf>
    <dxf>
      <font>
        <b/>
        <i val="0"/>
        <color rgb="FFFFFFFF"/>
      </font>
      <fill>
        <patternFill>
          <bgColor rgb="FFFF0000"/>
        </patternFill>
      </fill>
    </dxf>
    <dxf>
      <font>
        <b val="0"/>
        <i/>
        <color theme="2"/>
      </font>
    </dxf>
    <dxf>
      <font>
        <b val="0"/>
        <i/>
        <color theme="2"/>
      </font>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val="0"/>
        <i/>
        <color theme="2"/>
      </font>
    </dxf>
    <dxf>
      <font>
        <b val="0"/>
        <i/>
        <color theme="2"/>
      </font>
    </dxf>
    <dxf>
      <font>
        <b val="0"/>
        <i/>
        <color theme="2"/>
      </font>
    </dxf>
    <dxf>
      <font>
        <b val="0"/>
        <i/>
        <color theme="2"/>
      </font>
    </dxf>
    <dxf>
      <font>
        <b val="0"/>
        <i/>
        <color theme="2"/>
      </font>
    </dxf>
    <dxf>
      <font>
        <b/>
        <i val="0"/>
        <color auto="1"/>
      </font>
      <fill>
        <patternFill>
          <bgColor theme="0" tint="0.59996337778862885"/>
        </patternFill>
      </fill>
    </dxf>
    <dxf>
      <font>
        <b val="0"/>
        <i val="0"/>
        <color theme="3"/>
      </font>
      <fill>
        <patternFill>
          <bgColor theme="7" tint="0.79998168889431442"/>
        </patternFill>
      </fill>
      <border>
        <left style="thin">
          <color indexed="64"/>
        </left>
        <top style="thin">
          <color indexed="64"/>
        </top>
      </border>
    </dxf>
    <dxf>
      <font>
        <b/>
        <i val="0"/>
        <color theme="7" tint="-0.499984740745262"/>
      </font>
      <fill>
        <patternFill>
          <bgColor rgb="FFFFCC99"/>
        </patternFill>
      </fill>
    </dxf>
    <dxf>
      <font>
        <b/>
        <i val="0"/>
        <color theme="1"/>
      </font>
      <fill>
        <patternFill>
          <bgColor rgb="FFFF7C80"/>
        </patternFill>
      </fill>
    </dxf>
    <dxf>
      <fill>
        <patternFill>
          <bgColor theme="2" tint="0.59996337778862885"/>
        </patternFill>
      </fill>
    </dxf>
    <dxf>
      <font>
        <b/>
        <i val="0"/>
        <color theme="3"/>
      </font>
      <fill>
        <patternFill patternType="darkGray">
          <fgColor indexed="9"/>
          <bgColor indexed="22"/>
        </patternFill>
      </fill>
    </dxf>
  </dxfs>
  <tableStyles count="0" defaultTableStyle="TableStyleMedium2" defaultPivotStyle="PivotStyleLight16"/>
  <colors>
    <mruColors>
      <color rgb="FFFFFFFF"/>
      <color rgb="FFFF7C8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0</xdr:colOff>
      <xdr:row>5</xdr:row>
      <xdr:rowOff>9526</xdr:rowOff>
    </xdr:from>
    <xdr:to>
      <xdr:col>23</xdr:col>
      <xdr:colOff>0</xdr:colOff>
      <xdr:row>173</xdr:row>
      <xdr:rowOff>152401</xdr:rowOff>
    </xdr:to>
    <xdr:sp macro="" textlink="">
      <xdr:nvSpPr>
        <xdr:cNvPr id="1028" name="Rectangle 4">
          <a:extLst>
            <a:ext uri="{FF2B5EF4-FFF2-40B4-BE49-F238E27FC236}">
              <a16:creationId xmlns="" xmlns:a16="http://schemas.microsoft.com/office/drawing/2014/main" id="{00000000-0008-0000-0000-000004040000}"/>
            </a:ext>
          </a:extLst>
        </xdr:cNvPr>
        <xdr:cNvSpPr>
          <a:spLocks noChangeArrowheads="1"/>
        </xdr:cNvSpPr>
      </xdr:nvSpPr>
      <xdr:spPr bwMode="auto">
        <a:xfrm>
          <a:off x="26622375" y="952501"/>
          <a:ext cx="3657600" cy="28860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969696"/>
              </a:solidFill>
              <a:latin typeface="Arial"/>
              <a:cs typeface="Arial"/>
            </a:rPr>
            <a:t>Computational Space</a:t>
          </a:r>
          <a:endParaRPr lang="en-US"/>
        </a:p>
      </xdr:txBody>
    </xdr:sp>
    <xdr:clientData/>
  </xdr:twoCellAnchor>
  <xdr:twoCellAnchor editAs="oneCell">
    <xdr:from>
      <xdr:col>3</xdr:col>
      <xdr:colOff>47625</xdr:colOff>
      <xdr:row>0</xdr:row>
      <xdr:rowOff>47625</xdr:rowOff>
    </xdr:from>
    <xdr:to>
      <xdr:col>4</xdr:col>
      <xdr:colOff>561975</xdr:colOff>
      <xdr:row>3</xdr:row>
      <xdr:rowOff>0</xdr:rowOff>
    </xdr:to>
    <xdr:pic>
      <xdr:nvPicPr>
        <xdr:cNvPr id="1262" name="Picture 2">
          <a:extLst>
            <a:ext uri="{FF2B5EF4-FFF2-40B4-BE49-F238E27FC236}">
              <a16:creationId xmlns="" xmlns:a16="http://schemas.microsoft.com/office/drawing/2014/main" id="{00000000-0008-0000-0000-0000EE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0" y="47625"/>
          <a:ext cx="1200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66675</xdr:colOff>
      <xdr:row>3</xdr:row>
      <xdr:rowOff>28575</xdr:rowOff>
    </xdr:from>
    <xdr:to>
      <xdr:col>10</xdr:col>
      <xdr:colOff>409575</xdr:colOff>
      <xdr:row>5</xdr:row>
      <xdr:rowOff>123825</xdr:rowOff>
    </xdr:to>
    <xdr:pic>
      <xdr:nvPicPr>
        <xdr:cNvPr id="2127" name="Picture 2">
          <a:extLst>
            <a:ext uri="{FF2B5EF4-FFF2-40B4-BE49-F238E27FC236}">
              <a16:creationId xmlns="" xmlns:a16="http://schemas.microsoft.com/office/drawing/2014/main" id="{00000000-0008-0000-0300-00004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81025"/>
          <a:ext cx="952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Sifos/PSA3000/Results/192.168.221.105/psa_report_q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mits"/>
      <sheetName val="Notes 5.x.x"/>
      <sheetName val="Interop"/>
      <sheetName val="Adtran"/>
      <sheetName val="Arista720_2p"/>
      <sheetName val="Aruba1930"/>
      <sheetName val="Aruba1960_2p"/>
      <sheetName val="ATx610"/>
      <sheetName val="AT9000"/>
      <sheetName val="Avaya3524"/>
      <sheetName val="Brcm59101"/>
      <sheetName val="Brcm59101_Legacy"/>
      <sheetName val="Brcm59111"/>
      <sheetName val="Brcm59111_Legacy"/>
      <sheetName val="Brcm59121"/>
      <sheetName val="Brcm_LLDP"/>
      <sheetName val="Brcm_4Pair"/>
      <sheetName val="Buffalo2116"/>
      <sheetName val="Cisco2960"/>
      <sheetName val="Cisco2960C"/>
      <sheetName val="Cisco3560"/>
      <sheetName val="Cisco3560CX"/>
      <sheetName val="Cisco3650"/>
      <sheetName val="Cisco3560X"/>
      <sheetName val="Cisco3750E"/>
      <sheetName val="Cisco3750X"/>
      <sheetName val="Cisco3850"/>
      <sheetName val="Cisco9300_2p"/>
      <sheetName val="Cisco9400_2p"/>
      <sheetName val="Commscope7550_2p"/>
      <sheetName val="Comtrol_7510"/>
      <sheetName val="Consentry"/>
      <sheetName val="Dell"/>
      <sheetName val="DLink"/>
      <sheetName val="Fcbl_36"/>
      <sheetName val="HP2910"/>
      <sheetName val="HP2620"/>
      <sheetName val="HP5120"/>
      <sheetName val="Juni4300"/>
      <sheetName val="LanTech"/>
      <sheetName val="LT4263_ES"/>
      <sheetName val="LT4263_MS"/>
      <sheetName val="LT4266"/>
      <sheetName val="LT4266A"/>
      <sheetName val="LT4270"/>
      <sheetName val="LT4290"/>
      <sheetName val="LT4291"/>
      <sheetName val="Maxim5945"/>
      <sheetName val="Maxim5952"/>
      <sheetName val="Maxim5980"/>
      <sheetName val="Micrel"/>
      <sheetName val="MNO_M5"/>
      <sheetName val="Molex"/>
      <sheetName val="Mokerlink"/>
      <sheetName val="Netgear516_2p"/>
      <sheetName val="Netgear5212"/>
      <sheetName val="Nortel5520"/>
      <sheetName val="PD6001"/>
      <sheetName val="PD64xxx"/>
      <sheetName val="PD690xx"/>
      <sheetName val="PD690xx_Legacy"/>
      <sheetName val="PD69108"/>
      <sheetName val="PD69208_at"/>
      <sheetName val="PD69208_2p"/>
      <sheetName val="Planet2400"/>
      <sheetName val="Planet24040"/>
      <sheetName val="Robbins"/>
      <sheetName val="Si3458"/>
      <sheetName val="Si3461"/>
      <sheetName val="TI2384"/>
      <sheetName val="TI23861"/>
      <sheetName val="TI2388"/>
      <sheetName val="TI23881_2p"/>
      <sheetName val="TI23882"/>
      <sheetName val="TI_FirmPse_2p"/>
      <sheetName val="TIPR415"/>
      <sheetName val="TrendTg44"/>
      <sheetName val="Tyco_PD"/>
      <sheetName val="Westermo"/>
      <sheetName val="Westermo_212A"/>
      <sheetName val="Zyxel"/>
      <sheetName val="Alcatel6600"/>
      <sheetName val="AT8524_Legacy"/>
      <sheetName val="Cisco6500"/>
    </sheetNames>
    <sheetDataSet>
      <sheetData sheetId="0">
        <row r="129">
          <cell r="AR129">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Theme">
  <a:themeElements>
    <a:clrScheme name="Sifos Literature">
      <a:dk1>
        <a:srgbClr val="000000"/>
      </a:dk1>
      <a:lt1>
        <a:srgbClr val="FFFFFF"/>
      </a:lt1>
      <a:dk2>
        <a:srgbClr val="00254B"/>
      </a:dk2>
      <a:lt2>
        <a:srgbClr val="185679"/>
      </a:lt2>
      <a:accent1>
        <a:srgbClr val="0059B2"/>
      </a:accent1>
      <a:accent2>
        <a:srgbClr val="7ABEE4"/>
      </a:accent2>
      <a:accent3>
        <a:srgbClr val="7A89E3"/>
      </a:accent3>
      <a:accent4>
        <a:srgbClr val="B25900"/>
      </a:accent4>
      <a:accent5>
        <a:srgbClr val="92B7CC"/>
      </a:accent5>
      <a:accent6>
        <a:srgbClr val="595959"/>
      </a:accent6>
      <a:hlink>
        <a:srgbClr val="0094B2"/>
      </a:hlink>
      <a:folHlink>
        <a:srgbClr val="7FB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rgbClr val="FFFFFF"/>
        </a:solidFill>
        <a:ln w="9525" cmpd="sng">
          <a:solidFill>
            <a:schemeClr val="tx1"/>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181"/>
  <sheetViews>
    <sheetView tabSelected="1" topLeftCell="A88" workbookViewId="0">
      <selection activeCell="G100" sqref="G100"/>
    </sheetView>
  </sheetViews>
  <sheetFormatPr defaultRowHeight="13.2" x14ac:dyDescent="0.25"/>
  <cols>
    <col min="1" max="1" width="33" customWidth="1"/>
    <col min="2" max="2" width="9.33203125" customWidth="1"/>
    <col min="3" max="3" width="12" customWidth="1"/>
    <col min="4" max="6" width="10.33203125" customWidth="1"/>
    <col min="7" max="7" width="11" bestFit="1" customWidth="1"/>
    <col min="8" max="8" width="7.33203125" customWidth="1"/>
    <col min="9" max="9" width="11" bestFit="1" customWidth="1"/>
    <col min="10" max="10" width="7.33203125" customWidth="1"/>
  </cols>
  <sheetData>
    <row r="1" spans="1:24" ht="17.399999999999999" x14ac:dyDescent="0.3">
      <c r="A1" s="339" t="s">
        <v>375</v>
      </c>
      <c r="B1" s="340"/>
      <c r="C1" s="335"/>
      <c r="D1" s="54"/>
      <c r="E1" s="54"/>
      <c r="F1" s="54"/>
      <c r="G1" s="55" t="str">
        <f>IF(BT="NO","802.3at Conformance Report","802.3bt 2Pr Conformance Report")</f>
        <v>802.3at Conformance Report</v>
      </c>
      <c r="H1" s="54"/>
      <c r="I1" s="54"/>
      <c r="J1" s="56"/>
      <c r="K1" s="333"/>
      <c r="L1" s="328"/>
    </row>
    <row r="2" spans="1:24" ht="12" customHeight="1" x14ac:dyDescent="0.25">
      <c r="A2" s="189" t="s">
        <v>651</v>
      </c>
      <c r="B2" s="190">
        <v>0.65625</v>
      </c>
      <c r="C2" s="335"/>
      <c r="D2" s="57"/>
      <c r="E2" s="57"/>
      <c r="F2" s="57"/>
      <c r="G2" s="58"/>
      <c r="H2" s="59"/>
      <c r="I2" s="74" t="s">
        <v>320</v>
      </c>
      <c r="J2" s="60" t="s">
        <v>654</v>
      </c>
      <c r="K2" s="333"/>
      <c r="L2" s="328"/>
    </row>
    <row r="3" spans="1:24" ht="15.75" customHeight="1" x14ac:dyDescent="0.25">
      <c r="A3" s="110" t="s">
        <v>41</v>
      </c>
      <c r="B3" s="111">
        <v>1</v>
      </c>
      <c r="C3" s="335"/>
      <c r="D3" s="58"/>
      <c r="E3" s="343" t="s">
        <v>95</v>
      </c>
      <c r="F3" s="343"/>
      <c r="G3" s="344" t="str">
        <f>IF(PD_Pwr="Type-1","15.4 Watt",IF(PD_Pwr="Type-2","30 Watt "&amp;HighPwrGrant,""))</f>
        <v>30 Watt PHY</v>
      </c>
      <c r="H3" s="344"/>
      <c r="I3" s="75" t="s">
        <v>648</v>
      </c>
      <c r="J3" s="61"/>
      <c r="K3" s="333"/>
      <c r="L3" s="328"/>
    </row>
    <row r="4" spans="1:24" ht="15" customHeight="1" x14ac:dyDescent="0.25">
      <c r="A4" s="110" t="s">
        <v>42</v>
      </c>
      <c r="B4" s="111">
        <v>1</v>
      </c>
      <c r="C4" s="335"/>
      <c r="D4" s="343" t="s">
        <v>96</v>
      </c>
      <c r="E4" s="343"/>
      <c r="F4" s="346"/>
      <c r="G4" s="345">
        <f>IF(Test_Count&gt;15,Index,"N/A")</f>
        <v>0.99697885196374625</v>
      </c>
      <c r="H4" s="345"/>
      <c r="I4" s="349" t="s">
        <v>391</v>
      </c>
      <c r="J4" s="350"/>
      <c r="K4" s="333"/>
      <c r="L4" s="328"/>
      <c r="Q4" s="272"/>
      <c r="R4" s="272"/>
      <c r="S4" s="272"/>
      <c r="T4" s="272"/>
      <c r="U4" s="272"/>
      <c r="V4" s="272"/>
      <c r="W4" s="272"/>
      <c r="X4" s="272"/>
    </row>
    <row r="5" spans="1:24" ht="13.5" customHeight="1" thickBot="1" x14ac:dyDescent="0.3">
      <c r="A5" s="347" t="s">
        <v>656</v>
      </c>
      <c r="B5" s="348"/>
      <c r="C5" s="336"/>
      <c r="D5" s="334" t="s">
        <v>60</v>
      </c>
      <c r="E5" s="341" t="s">
        <v>655</v>
      </c>
      <c r="F5" s="341"/>
      <c r="G5" s="341"/>
      <c r="H5" s="341"/>
      <c r="I5" s="341"/>
      <c r="J5" s="342"/>
      <c r="K5" s="333"/>
      <c r="L5" s="328"/>
      <c r="Q5" s="272"/>
      <c r="R5" s="272"/>
      <c r="S5" s="272"/>
      <c r="T5" s="272"/>
      <c r="U5" s="272"/>
      <c r="V5" s="272"/>
      <c r="W5" s="272"/>
      <c r="X5" s="272"/>
    </row>
    <row r="6" spans="1:24" ht="5.25" customHeight="1" x14ac:dyDescent="0.25">
      <c r="A6" s="40"/>
      <c r="B6" s="40"/>
      <c r="C6" s="52"/>
      <c r="D6" s="52"/>
      <c r="E6" s="52"/>
      <c r="F6" s="52"/>
      <c r="G6" s="52"/>
      <c r="H6" s="52"/>
      <c r="I6" s="52"/>
      <c r="J6" s="53"/>
      <c r="K6" s="328"/>
      <c r="L6" s="328"/>
      <c r="Q6" s="272"/>
      <c r="R6" s="178"/>
      <c r="S6" s="178"/>
      <c r="T6" s="178"/>
      <c r="U6" s="178"/>
      <c r="V6" s="178"/>
      <c r="W6" s="178"/>
      <c r="X6" s="272"/>
    </row>
    <row r="7" spans="1:24" ht="15.6" x14ac:dyDescent="0.3">
      <c r="A7" s="154" t="s">
        <v>653</v>
      </c>
      <c r="B7" s="337" t="str">
        <f>"PSA-"&amp;PSA&amp;" Ports"</f>
        <v>PSA-3000 Ports</v>
      </c>
      <c r="C7" s="338"/>
      <c r="D7" s="99"/>
      <c r="E7" s="100"/>
      <c r="F7" s="76"/>
      <c r="G7" s="108" t="s">
        <v>253</v>
      </c>
      <c r="H7" s="78" t="s">
        <v>276</v>
      </c>
      <c r="I7" s="109" t="s">
        <v>255</v>
      </c>
      <c r="J7" s="78" t="s">
        <v>276</v>
      </c>
      <c r="K7" s="328"/>
      <c r="L7" s="328"/>
      <c r="Q7" s="272"/>
      <c r="R7" s="320"/>
      <c r="S7" s="320"/>
      <c r="T7" s="320"/>
      <c r="U7" s="320" t="s">
        <v>39</v>
      </c>
      <c r="V7" s="320"/>
      <c r="W7" s="321"/>
      <c r="X7" s="272"/>
    </row>
    <row r="8" spans="1:24" ht="14.4" thickBot="1" x14ac:dyDescent="0.3">
      <c r="A8" s="155" t="s">
        <v>680</v>
      </c>
      <c r="B8" s="63" t="s">
        <v>657</v>
      </c>
      <c r="C8" s="66" t="s">
        <v>252</v>
      </c>
      <c r="D8" s="104" t="s">
        <v>249</v>
      </c>
      <c r="E8" s="101" t="s">
        <v>250</v>
      </c>
      <c r="F8" s="68" t="s">
        <v>251</v>
      </c>
      <c r="G8" s="104" t="s">
        <v>254</v>
      </c>
      <c r="H8" s="79"/>
      <c r="I8" s="101" t="s">
        <v>254</v>
      </c>
      <c r="J8" s="79"/>
      <c r="K8" s="328"/>
      <c r="L8" s="328"/>
      <c r="Q8" s="272"/>
      <c r="R8" s="320" t="s">
        <v>37</v>
      </c>
      <c r="S8" s="320" t="s">
        <v>38</v>
      </c>
      <c r="T8" s="320" t="s">
        <v>637</v>
      </c>
      <c r="U8" s="320" t="s">
        <v>36</v>
      </c>
      <c r="V8" s="320" t="s">
        <v>40</v>
      </c>
      <c r="W8" s="322" t="s">
        <v>382</v>
      </c>
      <c r="X8" s="272"/>
    </row>
    <row r="9" spans="1:24" ht="13.8" x14ac:dyDescent="0.3">
      <c r="A9" s="107" t="s">
        <v>658</v>
      </c>
      <c r="B9" s="21"/>
      <c r="C9" s="67"/>
      <c r="D9" s="105" t="str">
        <f>IF(C9="","",MIN(B9:B9))</f>
        <v/>
      </c>
      <c r="E9" s="102" t="str">
        <f>IF(C9="","",MAX(B9:B9))</f>
        <v/>
      </c>
      <c r="F9" s="69" t="str">
        <f>IF(C9="","",IF(C9="    N/A","",IF(COUNTIF(B9:B9,"&gt;-1")&gt;0,ROUND((SUM(B9:B9)+COUNTIF(B9:B9,-1))/COUNTIF(B9:B9,"&gt;-1"),W9),ROUND(AVERAGE(B9:B9),W9))))</f>
        <v/>
      </c>
      <c r="G9" s="106" t="str">
        <f>IF(F9="","",IF(VLOOKUP(A9,Test_Limits,2,FALSE)="","",VLOOKUP(A9,Test_Limits,2,FALSE)))</f>
        <v/>
      </c>
      <c r="H9" s="77" t="str">
        <f>IF(G9="","",IF(AND(D9&lt;G9,D9&lt;&gt;T9),IF(VLOOKUP(A9,Test_Limits,5,FALSE)="PF","Fail","Info"),"Pass"))</f>
        <v/>
      </c>
      <c r="I9" s="103" t="str">
        <f>IF(F9="","",IF(VLOOKUP(A9,Test_Limits,3,FALSE)="","",VLOOKUP(A9,Test_Limits,3,FALSE)))</f>
        <v/>
      </c>
      <c r="J9" s="77" t="str">
        <f>IF(I9="","",IF(AND(E9&gt;I9,E9&lt;&gt;T9),IF(VLOOKUP(A9,Test_Limits,5,FALSE)="PF","Fail","Info"),"Pass"))</f>
        <v/>
      </c>
      <c r="K9" s="328"/>
      <c r="L9" s="328"/>
      <c r="Q9" s="272"/>
      <c r="R9" s="320">
        <f>IF(H9="Info",G9,IF(J9="Info",G9,-1000000))</f>
        <v>-1000000</v>
      </c>
      <c r="S9" s="320">
        <f>IF(H9="Info",I9,IF(J9="Info",I9,1000000))</f>
        <v>1000000</v>
      </c>
      <c r="T9" s="320" t="e">
        <f>IF(VLOOKUP(A9,Test_Limits,7,FALSE)&lt;&gt;"",VLOOKUP(A9,Test_Limits,7,FALSE),"")</f>
        <v>#N/A</v>
      </c>
      <c r="U9" s="320">
        <f>IF(F9="",0,VLOOKUP(A9,Test_Limits,8,FALSE))</f>
        <v>0</v>
      </c>
      <c r="V9" s="320">
        <f>IF(H9="Pass",IF(J9="Pass",U9,0),0)</f>
        <v>0</v>
      </c>
      <c r="W9" s="321" t="e">
        <f>VLOOKUP(A9,Test_Limits,6,FALSE)</f>
        <v>#N/A</v>
      </c>
      <c r="X9" s="272"/>
    </row>
    <row r="10" spans="1:24" ht="13.8" x14ac:dyDescent="0.3">
      <c r="A10" s="9" t="s">
        <v>285</v>
      </c>
      <c r="B10" s="21">
        <v>20.5</v>
      </c>
      <c r="C10" s="65" t="s">
        <v>681</v>
      </c>
      <c r="D10" s="106">
        <f>IF(C10="","",MIN(B10:B10))</f>
        <v>20.5</v>
      </c>
      <c r="E10" s="103">
        <f>IF(C10="","",MAX(B10:B10))</f>
        <v>20.5</v>
      </c>
      <c r="F10" s="64">
        <f>IF(C10="","",IF(C10="    N/A","",IF(COUNTIF(B10:B10,"&gt;-1")&gt;0,ROUND((SUM(B10:B10)+COUNTIF(B10:B10,-1))/COUNTIF(B10:B10,"&gt;-1"),W10),ROUND(AVERAGE(B10:B10),W10))))</f>
        <v>20.5</v>
      </c>
      <c r="G10" s="106">
        <f>IF(F10="","",IF(VLOOKUP(A10,Test_Limits,2,FALSE)="","",VLOOKUP(A10,Test_Limits,2,FALSE)))</f>
        <v>2.8</v>
      </c>
      <c r="H10" s="77" t="str">
        <f>IF(G10="","",IF(AND(D10&lt;G10,D10&lt;&gt;T10),IF(VLOOKUP(A10,Test_Limits,5,FALSE)="PF","Fail","Info"),"Pass"))</f>
        <v>Pass</v>
      </c>
      <c r="I10" s="103">
        <f>IF(F10="","",IF(VLOOKUP(A10,Test_Limits,3,FALSE)="","",VLOOKUP(A10,Test_Limits,3,FALSE)))</f>
        <v>30</v>
      </c>
      <c r="J10" s="77" t="str">
        <f>IF(I10="","",IF(AND(E10&gt;I10,E10&lt;&gt;T10),IF(VLOOKUP(A10,Test_Limits,5,FALSE)="PF","Fail","Info"),"Pass"))</f>
        <v>Pass</v>
      </c>
      <c r="K10" s="328"/>
      <c r="L10" s="328"/>
      <c r="Q10" s="272"/>
      <c r="R10" s="320">
        <f t="shared" ref="R10:R74" si="0">IF(H10="Info",G10,IF(J10="Info",G10,-1000000))</f>
        <v>-1000000</v>
      </c>
      <c r="S10" s="320">
        <f t="shared" ref="S10:S74" si="1">IF(H10="Info",I10,IF(J10="Info",I10,1000000))</f>
        <v>1000000</v>
      </c>
      <c r="T10" s="320" t="str">
        <f>IF(VLOOKUP(A10,Test_Limits,7,FALSE)&lt;&gt;"",VLOOKUP(A10,Test_Limits,7,FALSE),"")</f>
        <v/>
      </c>
      <c r="U10" s="320">
        <f>IF(F10="",0,VLOOKUP(A10,Test_Limits,8,FALSE))</f>
        <v>3</v>
      </c>
      <c r="V10" s="320">
        <f t="shared" ref="V10:V74" si="2">IF(H10="Pass",IF(J10="Pass",U10,0),0)</f>
        <v>3</v>
      </c>
      <c r="W10" s="321">
        <f>VLOOKUP(A10,Test_Limits,6,FALSE)</f>
        <v>2</v>
      </c>
      <c r="X10" s="272"/>
    </row>
    <row r="11" spans="1:24" ht="13.8" x14ac:dyDescent="0.3">
      <c r="A11" s="9" t="s">
        <v>286</v>
      </c>
      <c r="B11" s="21">
        <v>7.09</v>
      </c>
      <c r="C11" s="65" t="s">
        <v>681</v>
      </c>
      <c r="D11" s="106">
        <f>IF(C11="","",MIN(B11:B11))</f>
        <v>7.09</v>
      </c>
      <c r="E11" s="103">
        <f>IF(C11="","",MAX(B11:B11))</f>
        <v>7.09</v>
      </c>
      <c r="F11" s="64">
        <f>IF(C11="","",IF(C11="    N/A","",IF(COUNTIF(B11:B11,"&gt;-1")&gt;0,ROUND((SUM(B11:B11)+COUNTIF(B11:B11,-1))/COUNTIF(B11:B11,"&gt;-1"),W11),ROUND(AVERAGE(B11:B11),W11))))</f>
        <v>7.1</v>
      </c>
      <c r="G11" s="106">
        <f>IF(F11="","",IF(VLOOKUP(A11,Test_Limits,2,FALSE)="","",VLOOKUP(A11,Test_Limits,2,FALSE)))</f>
        <v>3.8</v>
      </c>
      <c r="H11" s="77" t="str">
        <f>IF(G11="","",IF(AND(D11&lt;G11,D11&lt;&gt;T11),IF(VLOOKUP(A11,Test_Limits,5,FALSE)="PF","Fail","Info"),"Pass"))</f>
        <v>Pass</v>
      </c>
      <c r="I11" s="103">
        <f>IF(F11="","",IF(VLOOKUP(A11,Test_Limits,3,FALSE)="","",VLOOKUP(A11,Test_Limits,3,FALSE)))</f>
        <v>10</v>
      </c>
      <c r="J11" s="77" t="str">
        <f>IF(I11="","",IF(AND(E11&gt;I11,E11&lt;&gt;T11),IF(VLOOKUP(A11,Test_Limits,5,FALSE)="PF","Fail","Info"),"Pass"))</f>
        <v>Pass</v>
      </c>
      <c r="K11" s="328"/>
      <c r="L11" s="328"/>
      <c r="Q11" s="272"/>
      <c r="R11" s="320">
        <f t="shared" si="0"/>
        <v>-1000000</v>
      </c>
      <c r="S11" s="320">
        <f t="shared" si="1"/>
        <v>1000000</v>
      </c>
      <c r="T11" s="320" t="str">
        <f>IF(VLOOKUP(A11,Test_Limits,7,FALSE)&lt;&gt;"",VLOOKUP(A11,Test_Limits,7,FALSE),"")</f>
        <v/>
      </c>
      <c r="U11" s="320">
        <f>IF(F11="",0,VLOOKUP(A11,Test_Limits,8,FALSE))</f>
        <v>5</v>
      </c>
      <c r="V11" s="320">
        <f t="shared" si="2"/>
        <v>5</v>
      </c>
      <c r="W11" s="321">
        <f>VLOOKUP(A11,Test_Limits,6,FALSE)</f>
        <v>1</v>
      </c>
      <c r="X11" s="272"/>
    </row>
    <row r="12" spans="1:24" ht="13.8" x14ac:dyDescent="0.3">
      <c r="A12" s="9" t="s">
        <v>287</v>
      </c>
      <c r="B12" s="21">
        <v>4.59</v>
      </c>
      <c r="C12" s="65" t="s">
        <v>681</v>
      </c>
      <c r="D12" s="106">
        <f>IF(C12="","",MIN(B12:B12))</f>
        <v>4.59</v>
      </c>
      <c r="E12" s="103">
        <f>IF(C12="","",MAX(B12:B12))</f>
        <v>4.59</v>
      </c>
      <c r="F12" s="64">
        <f>IF(C12="","",IF(C12="    N/A","",IF(COUNTIF(B12:B12,"&gt;-1")&gt;0,ROUND((SUM(B12:B12)+COUNTIF(B12:B12,-1))/COUNTIF(B12:B12,"&gt;-1"),W12),ROUND(AVERAGE(B12:B12),W12))))</f>
        <v>4.5999999999999996</v>
      </c>
      <c r="G12" s="106">
        <f>IF(F12="","",IF(VLOOKUP(A12,Test_Limits,2,FALSE)="","",VLOOKUP(A12,Test_Limits,2,FALSE)))</f>
        <v>2.8</v>
      </c>
      <c r="H12" s="77" t="str">
        <f>IF(G12="","",IF(AND(D12&lt;G12,D12&lt;&gt;T12),IF(VLOOKUP(A12,Test_Limits,5,FALSE)="PF","Fail","Info"),"Pass"))</f>
        <v>Pass</v>
      </c>
      <c r="I12" s="103">
        <f>IF(F12="","",IF(VLOOKUP(A12,Test_Limits,3,FALSE)="","",VLOOKUP(A12,Test_Limits,3,FALSE)))</f>
        <v>9</v>
      </c>
      <c r="J12" s="77" t="str">
        <f>IF(I12="","",IF(AND(E12&gt;I12,E12&lt;&gt;T12),IF(VLOOKUP(A12,Test_Limits,5,FALSE)="PF","Fail","Info"),"Pass"))</f>
        <v>Pass</v>
      </c>
      <c r="K12" s="332"/>
      <c r="L12" s="328"/>
      <c r="Q12" s="272"/>
      <c r="R12" s="320">
        <f t="shared" si="0"/>
        <v>-1000000</v>
      </c>
      <c r="S12" s="320">
        <f t="shared" si="1"/>
        <v>1000000</v>
      </c>
      <c r="T12" s="320" t="str">
        <f>IF(VLOOKUP(A12,Test_Limits,7,FALSE)&lt;&gt;"",VLOOKUP(A12,Test_Limits,7,FALSE),"")</f>
        <v/>
      </c>
      <c r="U12" s="320">
        <f>IF(F12="",0,VLOOKUP(A12,Test_Limits,8,FALSE))</f>
        <v>5</v>
      </c>
      <c r="V12" s="320">
        <f t="shared" si="2"/>
        <v>5</v>
      </c>
      <c r="W12" s="321">
        <f>VLOOKUP(A12,Test_Limits,6,FALSE)</f>
        <v>1</v>
      </c>
      <c r="X12" s="272"/>
    </row>
    <row r="13" spans="1:24" ht="13.8" x14ac:dyDescent="0.3">
      <c r="A13" s="9" t="s">
        <v>288</v>
      </c>
      <c r="B13" s="21">
        <v>2.5</v>
      </c>
      <c r="C13" s="65" t="s">
        <v>681</v>
      </c>
      <c r="D13" s="106">
        <f>IF(C13="","",MIN(B13:B13))</f>
        <v>2.5</v>
      </c>
      <c r="E13" s="103">
        <f>IF(C13="","",MAX(B13:B13))</f>
        <v>2.5</v>
      </c>
      <c r="F13" s="64">
        <f>IF(C13="","",IF(C13="    N/A","",IF(COUNTIF(B13:B13,"&gt;-1")&gt;0,ROUND((SUM(B13:B13)+COUNTIF(B13:B13,-1))/COUNTIF(B13:B13,"&gt;-1"),W13),ROUND(AVERAGE(B13:B13),W13))))</f>
        <v>2.5</v>
      </c>
      <c r="G13" s="106">
        <f>IF(F13="","",IF(VLOOKUP(A13,Test_Limits,2,FALSE)="","",VLOOKUP(A13,Test_Limits,2,FALSE)))</f>
        <v>1</v>
      </c>
      <c r="H13" s="77" t="str">
        <f>IF(G13="","",IF(AND(D13&lt;G13,D13&lt;&gt;T13),IF(VLOOKUP(A13,Test_Limits,5,FALSE)="PF","Fail","Info"),"Pass"))</f>
        <v>Pass</v>
      </c>
      <c r="I13" s="103">
        <f>IF(F13="","",IF(VLOOKUP(A13,Test_Limits,3,FALSE)="","",VLOOKUP(A13,Test_Limits,3,FALSE)))</f>
        <v>7.2</v>
      </c>
      <c r="J13" s="77" t="str">
        <f>IF(I13="","",IF(AND(E13&gt;I13,E13&lt;&gt;T13),IF(VLOOKUP(A13,Test_Limits,5,FALSE)="PF","Fail","Info"),"Pass"))</f>
        <v>Pass</v>
      </c>
      <c r="K13" s="328"/>
      <c r="L13" s="328"/>
      <c r="Q13" s="272"/>
      <c r="R13" s="320">
        <f t="shared" si="0"/>
        <v>-1000000</v>
      </c>
      <c r="S13" s="320">
        <f t="shared" si="1"/>
        <v>1000000</v>
      </c>
      <c r="T13" s="320" t="str">
        <f>IF(VLOOKUP(A13,Test_Limits,7,FALSE)&lt;&gt;"",VLOOKUP(A13,Test_Limits,7,FALSE),"")</f>
        <v/>
      </c>
      <c r="U13" s="320">
        <f>IF(F13="",0,VLOOKUP(A13,Test_Limits,8,FALSE))</f>
        <v>5</v>
      </c>
      <c r="V13" s="320">
        <f t="shared" si="2"/>
        <v>5</v>
      </c>
      <c r="W13" s="321">
        <f>VLOOKUP(A13,Test_Limits,6,FALSE)</f>
        <v>1</v>
      </c>
      <c r="X13" s="272"/>
    </row>
    <row r="14" spans="1:24" ht="13.8" x14ac:dyDescent="0.3">
      <c r="A14" s="9" t="s">
        <v>289</v>
      </c>
      <c r="B14" s="21">
        <v>0</v>
      </c>
      <c r="C14" s="65" t="s">
        <v>682</v>
      </c>
      <c r="D14" s="106">
        <f>IF(C14="","",MIN(B14:B14))</f>
        <v>0</v>
      </c>
      <c r="E14" s="103">
        <f>IF(C14="","",MAX(B14:B14))</f>
        <v>0</v>
      </c>
      <c r="F14" s="64">
        <f>IF(C14="","",IF(C14="    N/A","",IF(COUNTIF(B14:B14,"&gt;-1")&gt;0,ROUND((SUM(B14:B14)+COUNTIF(B14:B14,-1))/COUNTIF(B14:B14,"&gt;-1"),W14),ROUND(AVERAGE(B14:B14),W14))))</f>
        <v>0</v>
      </c>
      <c r="G14" s="106">
        <f>IF(F14="","",IF(VLOOKUP(A14,Test_Limits,2,FALSE)="","",VLOOKUP(A14,Test_Limits,2,FALSE)))</f>
        <v>0</v>
      </c>
      <c r="H14" s="77" t="str">
        <f>IF(G14="","",IF(AND(D14&lt;G14,D14&lt;&gt;T14),IF(VLOOKUP(A14,Test_Limits,5,FALSE)="PF","Fail","Info"),"Pass"))</f>
        <v>Pass</v>
      </c>
      <c r="I14" s="103">
        <f>IF(F14="","",IF(VLOOKUP(A14,Test_Limits,3,FALSE)="","",VLOOKUP(A14,Test_Limits,3,FALSE)))</f>
        <v>0.1</v>
      </c>
      <c r="J14" s="77" t="str">
        <f>IF(I14="","",IF(AND(E14&gt;I14,E14&lt;&gt;T14),IF(VLOOKUP(A14,Test_Limits,5,FALSE)="PF","Fail","Info"),"Pass"))</f>
        <v>Pass</v>
      </c>
      <c r="K14" s="328"/>
      <c r="L14" s="328"/>
      <c r="Q14" s="272"/>
      <c r="R14" s="320">
        <f t="shared" si="0"/>
        <v>-1000000</v>
      </c>
      <c r="S14" s="320">
        <f t="shared" si="1"/>
        <v>1000000</v>
      </c>
      <c r="T14" s="320" t="str">
        <f>IF(VLOOKUP(A14,Test_Limits,7,FALSE)&lt;&gt;"",VLOOKUP(A14,Test_Limits,7,FALSE),"")</f>
        <v/>
      </c>
      <c r="U14" s="320">
        <f>IF(F14="",0,VLOOKUP(A14,Test_Limits,8,FALSE))</f>
        <v>1</v>
      </c>
      <c r="V14" s="320">
        <f t="shared" si="2"/>
        <v>1</v>
      </c>
      <c r="W14" s="321">
        <f>VLOOKUP(A14,Test_Limits,6,FALSE)</f>
        <v>4</v>
      </c>
      <c r="X14" s="272"/>
    </row>
    <row r="15" spans="1:24" ht="13.8" x14ac:dyDescent="0.3">
      <c r="A15" s="9" t="s">
        <v>290</v>
      </c>
      <c r="B15" s="21">
        <v>3</v>
      </c>
      <c r="C15" s="65" t="s">
        <v>683</v>
      </c>
      <c r="D15" s="106">
        <f>IF(C15="","",MIN(B15:B15))</f>
        <v>3</v>
      </c>
      <c r="E15" s="103">
        <f>IF(C15="","",MAX(B15:B15))</f>
        <v>3</v>
      </c>
      <c r="F15" s="64">
        <f>IF(C15="","",IF(C15="    N/A","",IF(COUNTIF(B15:B15,"&gt;-1")&gt;0,ROUND((SUM(B15:B15)+COUNTIF(B15:B15,-1))/COUNTIF(B15:B15,"&gt;-1"),W15),ROUND(AVERAGE(B15:B15),W15))))</f>
        <v>3</v>
      </c>
      <c r="G15" s="106">
        <f>IF(F15="","",IF(VLOOKUP(A15,Test_Limits,2,FALSE)="","",VLOOKUP(A15,Test_Limits,2,FALSE)))</f>
        <v>1</v>
      </c>
      <c r="H15" s="77" t="str">
        <f>IF(G15="","",IF(AND(D15&lt;G15,D15&lt;&gt;T15),IF(VLOOKUP(A15,Test_Limits,5,FALSE)="PF","Fail","Info"),"Pass"))</f>
        <v>Pass</v>
      </c>
      <c r="I15" s="103">
        <f>IF(F15="","",IF(VLOOKUP(A15,Test_Limits,3,FALSE)="","",VLOOKUP(A15,Test_Limits,3,FALSE)))</f>
        <v>9</v>
      </c>
      <c r="J15" s="77" t="str">
        <f>IF(I15="","",IF(AND(E15&gt;I15,E15&lt;&gt;T15),IF(VLOOKUP(A15,Test_Limits,5,FALSE)="PF","Fail","Info"),"Pass"))</f>
        <v>Pass</v>
      </c>
      <c r="K15" s="328"/>
      <c r="L15" s="328"/>
      <c r="Q15" s="272"/>
      <c r="R15" s="320">
        <f t="shared" si="0"/>
        <v>-1000000</v>
      </c>
      <c r="S15" s="320">
        <f t="shared" si="1"/>
        <v>1000000</v>
      </c>
      <c r="T15" s="320" t="str">
        <f>IF(VLOOKUP(A15,Test_Limits,7,FALSE)&lt;&gt;"",VLOOKUP(A15,Test_Limits,7,FALSE),"")</f>
        <v/>
      </c>
      <c r="U15" s="320">
        <f>IF(F15="",0,VLOOKUP(A15,Test_Limits,8,FALSE))</f>
        <v>5</v>
      </c>
      <c r="V15" s="320">
        <f t="shared" si="2"/>
        <v>5</v>
      </c>
      <c r="W15" s="321">
        <f>VLOOKUP(A15,Test_Limits,6,FALSE)</f>
        <v>1</v>
      </c>
      <c r="X15" s="272"/>
    </row>
    <row r="16" spans="1:24" ht="13.8" x14ac:dyDescent="0.3">
      <c r="A16" s="9" t="s">
        <v>98</v>
      </c>
      <c r="B16" s="21">
        <v>0.5</v>
      </c>
      <c r="C16" s="65" t="s">
        <v>681</v>
      </c>
      <c r="D16" s="106">
        <f>IF(C16="","",MIN(B16:B16))</f>
        <v>0.5</v>
      </c>
      <c r="E16" s="103">
        <f>IF(C16="","",MAX(B16:B16))</f>
        <v>0.5</v>
      </c>
      <c r="F16" s="64">
        <f>IF(C16="","",IF(C16="    N/A","",IF(COUNTIF(B16:B16,"&gt;-1")&gt;0,ROUND((SUM(B16:B16)+COUNTIF(B16:B16,-1))/COUNTIF(B16:B16,"&gt;-1"),W16),ROUND(AVERAGE(B16:B16),W16))))</f>
        <v>0.5</v>
      </c>
      <c r="G16" s="106">
        <f>IF(F16="","",IF(VLOOKUP(A16,Test_Limits,2,FALSE)="","",VLOOKUP(A16,Test_Limits,2,FALSE)))</f>
        <v>0</v>
      </c>
      <c r="H16" s="77" t="str">
        <f>IF(G16="","",IF(AND(D16&lt;G16,D16&lt;&gt;T16),IF(VLOOKUP(A16,Test_Limits,5,FALSE)="PF","Fail","Info"),"Pass"))</f>
        <v>Pass</v>
      </c>
      <c r="I16" s="103">
        <f>IF(F16="","",IF(VLOOKUP(A16,Test_Limits,3,FALSE)="","",VLOOKUP(A16,Test_Limits,3,FALSE)))</f>
        <v>2.8</v>
      </c>
      <c r="J16" s="77" t="str">
        <f>IF(I16="","",IF(AND(E16&gt;I16,E16&lt;&gt;T16),IF(VLOOKUP(A16,Test_Limits,5,FALSE)="PF","Fail","Info"),"Pass"))</f>
        <v>Pass</v>
      </c>
      <c r="K16" s="328"/>
      <c r="L16" s="328"/>
      <c r="Q16" s="272"/>
      <c r="R16" s="320">
        <f t="shared" si="0"/>
        <v>-1000000</v>
      </c>
      <c r="S16" s="320">
        <f t="shared" si="1"/>
        <v>1000000</v>
      </c>
      <c r="T16" s="320" t="str">
        <f>IF(VLOOKUP(A16,Test_Limits,7,FALSE)&lt;&gt;"",VLOOKUP(A16,Test_Limits,7,FALSE),"")</f>
        <v/>
      </c>
      <c r="U16" s="320">
        <f>IF(F16="",0,VLOOKUP(A16,Test_Limits,8,FALSE))</f>
        <v>5</v>
      </c>
      <c r="V16" s="320">
        <f t="shared" si="2"/>
        <v>5</v>
      </c>
      <c r="W16" s="321">
        <f>VLOOKUP(A16,Test_Limits,6,FALSE)</f>
        <v>1</v>
      </c>
      <c r="X16" s="272"/>
    </row>
    <row r="17" spans="1:24" ht="13.8" x14ac:dyDescent="0.3">
      <c r="A17" s="9" t="s">
        <v>63</v>
      </c>
      <c r="B17" s="21">
        <v>0</v>
      </c>
      <c r="C17" s="65" t="s">
        <v>684</v>
      </c>
      <c r="D17" s="106">
        <f>IF(C17="","",MIN(B17:B17))</f>
        <v>0</v>
      </c>
      <c r="E17" s="103">
        <f>IF(C17="","",MAX(B17:B17))</f>
        <v>0</v>
      </c>
      <c r="F17" s="64">
        <f>IF(C17="","",IF(C17="    N/A","",IF(COUNTIF(B17:B17,"&gt;-1")&gt;0,ROUND((SUM(B17:B17)+COUNTIF(B17:B17,-1))/COUNTIF(B17:B17,"&gt;-1"),W17),ROUND(AVERAGE(B17:B17),W17))))</f>
        <v>0</v>
      </c>
      <c r="G17" s="106">
        <f>IF(F17="","",IF(VLOOKUP(A17,Test_Limits,2,FALSE)="","",VLOOKUP(A17,Test_Limits,2,FALSE)))</f>
        <v>0</v>
      </c>
      <c r="H17" s="77" t="str">
        <f>IF(G17="","",IF(AND(D17&lt;G17,D17&lt;&gt;T17),IF(VLOOKUP(A17,Test_Limits,5,FALSE)="PF","Fail","Info"),"Pass"))</f>
        <v>Pass</v>
      </c>
      <c r="I17" s="103">
        <f>IF(F17="","",IF(VLOOKUP(A17,Test_Limits,3,FALSE)="","",VLOOKUP(A17,Test_Limits,3,FALSE)))</f>
        <v>0</v>
      </c>
      <c r="J17" s="77" t="str">
        <f>IF(I17="","",IF(AND(E17&gt;I17,E17&lt;&gt;T17),IF(VLOOKUP(A17,Test_Limits,5,FALSE)="PF","Fail","Info"),"Pass"))</f>
        <v>Pass</v>
      </c>
      <c r="K17" s="328"/>
      <c r="L17" s="328"/>
      <c r="Q17" s="272"/>
      <c r="R17" s="320">
        <f t="shared" si="0"/>
        <v>-1000000</v>
      </c>
      <c r="S17" s="320">
        <f t="shared" si="1"/>
        <v>1000000</v>
      </c>
      <c r="T17" s="320" t="str">
        <f>IF(VLOOKUP(A17,Test_Limits,7,FALSE)&lt;&gt;"",VLOOKUP(A17,Test_Limits,7,FALSE),"")</f>
        <v/>
      </c>
      <c r="U17" s="320">
        <f>IF(F17="",0,VLOOKUP(A17,Test_Limits,8,FALSE))</f>
        <v>0</v>
      </c>
      <c r="V17" s="320">
        <f t="shared" si="2"/>
        <v>0</v>
      </c>
      <c r="W17" s="321">
        <f>VLOOKUP(A17,Test_Limits,6,FALSE)</f>
        <v>0</v>
      </c>
      <c r="X17" s="272"/>
    </row>
    <row r="18" spans="1:24" ht="13.8" x14ac:dyDescent="0.3">
      <c r="A18" s="9" t="s">
        <v>61</v>
      </c>
      <c r="B18" s="21">
        <v>0</v>
      </c>
      <c r="C18" s="65" t="s">
        <v>684</v>
      </c>
      <c r="D18" s="106">
        <f>IF(C18="","",MIN(B18:B18))</f>
        <v>0</v>
      </c>
      <c r="E18" s="103">
        <f>IF(C18="","",MAX(B18:B18))</f>
        <v>0</v>
      </c>
      <c r="F18" s="64">
        <f>IF(C18="","",IF(C18="    N/A","",IF(COUNTIF(B18:B18,"&gt;-1")&gt;0,ROUND((SUM(B18:B18)+COUNTIF(B18:B18,-1))/COUNTIF(B18:B18,"&gt;-1"),W18),ROUND(AVERAGE(B18:B18),W18))))</f>
        <v>0</v>
      </c>
      <c r="G18" s="106">
        <f>IF(F18="","",IF(VLOOKUP(A18,Test_Limits,2,FALSE)="","",VLOOKUP(A18,Test_Limits,2,FALSE)))</f>
        <v>0</v>
      </c>
      <c r="H18" s="77" t="str">
        <f>IF(G18="","",IF(AND(D18&lt;G18,D18&lt;&gt;T18),IF(VLOOKUP(A18,Test_Limits,5,FALSE)="PF","Fail","Info"),"Pass"))</f>
        <v>Pass</v>
      </c>
      <c r="I18" s="103">
        <f>IF(F18="","",IF(VLOOKUP(A18,Test_Limits,3,FALSE)="","",VLOOKUP(A18,Test_Limits,3,FALSE)))</f>
        <v>2</v>
      </c>
      <c r="J18" s="77" t="str">
        <f>IF(I18="","",IF(AND(E18&gt;I18,E18&lt;&gt;T18),IF(VLOOKUP(A18,Test_Limits,5,FALSE)="PF","Fail","Info"),"Pass"))</f>
        <v>Pass</v>
      </c>
      <c r="K18" s="328"/>
      <c r="L18" s="328"/>
      <c r="Q18" s="272"/>
      <c r="R18" s="320">
        <f t="shared" si="0"/>
        <v>-1000000</v>
      </c>
      <c r="S18" s="320">
        <f t="shared" si="1"/>
        <v>1000000</v>
      </c>
      <c r="T18" s="320" t="str">
        <f>IF(VLOOKUP(A18,Test_Limits,7,FALSE)&lt;&gt;"",VLOOKUP(A18,Test_Limits,7,FALSE),"")</f>
        <v/>
      </c>
      <c r="U18" s="320">
        <f>IF(F18="",0,VLOOKUP(A18,Test_Limits,8,FALSE))</f>
        <v>3</v>
      </c>
      <c r="V18" s="320">
        <f t="shared" si="2"/>
        <v>3</v>
      </c>
      <c r="W18" s="321">
        <f>VLOOKUP(A18,Test_Limits,6,FALSE)</f>
        <v>0</v>
      </c>
      <c r="X18" s="272"/>
    </row>
    <row r="19" spans="1:24" ht="13.8" x14ac:dyDescent="0.3">
      <c r="A19" s="9" t="s">
        <v>659</v>
      </c>
      <c r="B19" s="21"/>
      <c r="C19" s="65"/>
      <c r="D19" s="106" t="str">
        <f>IF(C19="","",MIN(B19:B19))</f>
        <v/>
      </c>
      <c r="E19" s="103" t="str">
        <f>IF(C19="","",MAX(B19:B19))</f>
        <v/>
      </c>
      <c r="F19" s="64" t="str">
        <f>IF(C19="","",IF(C19="    N/A","",IF(COUNTIF(B19:B19,"&gt;-1")&gt;0,ROUND((SUM(B19:B19)+COUNTIF(B19:B19,-1))/COUNTIF(B19:B19,"&gt;-1"),W19),ROUND(AVERAGE(B19:B19),W19))))</f>
        <v/>
      </c>
      <c r="G19" s="106" t="str">
        <f>IF(F19="","",IF(VLOOKUP(A19,Test_Limits,2,FALSE)="","",VLOOKUP(A19,Test_Limits,2,FALSE)))</f>
        <v/>
      </c>
      <c r="H19" s="77" t="str">
        <f>IF(G19="","",IF(AND(D19&lt;G19,D19&lt;&gt;T19),IF(VLOOKUP(A19,Test_Limits,5,FALSE)="PF","Fail","Info"),"Pass"))</f>
        <v/>
      </c>
      <c r="I19" s="103" t="str">
        <f>IF(F19="","",IF(VLOOKUP(A19,Test_Limits,3,FALSE)="","",VLOOKUP(A19,Test_Limits,3,FALSE)))</f>
        <v/>
      </c>
      <c r="J19" s="77" t="str">
        <f>IF(I19="","",IF(AND(E19&gt;I19,E19&lt;&gt;T19),IF(VLOOKUP(A19,Test_Limits,5,FALSE)="PF","Fail","Info"),"Pass"))</f>
        <v/>
      </c>
      <c r="K19" s="328"/>
      <c r="L19" s="328"/>
      <c r="Q19" s="272"/>
      <c r="R19" s="320">
        <f t="shared" si="0"/>
        <v>-1000000</v>
      </c>
      <c r="S19" s="320">
        <f t="shared" si="1"/>
        <v>1000000</v>
      </c>
      <c r="T19" s="320" t="e">
        <f>IF(VLOOKUP(A19,Test_Limits,7,FALSE)&lt;&gt;"",VLOOKUP(A19,Test_Limits,7,FALSE),"")</f>
        <v>#N/A</v>
      </c>
      <c r="U19" s="320">
        <f>IF(F19="",0,VLOOKUP(A19,Test_Limits,8,FALSE))</f>
        <v>0</v>
      </c>
      <c r="V19" s="320">
        <f t="shared" si="2"/>
        <v>0</v>
      </c>
      <c r="W19" s="321" t="e">
        <f>VLOOKUP(A19,Test_Limits,6,FALSE)</f>
        <v>#N/A</v>
      </c>
      <c r="X19" s="272"/>
    </row>
    <row r="20" spans="1:24" ht="13.8" x14ac:dyDescent="0.3">
      <c r="A20" s="9" t="s">
        <v>309</v>
      </c>
      <c r="B20" s="21">
        <v>0.18</v>
      </c>
      <c r="C20" s="65" t="s">
        <v>685</v>
      </c>
      <c r="D20" s="106">
        <f>IF(C20="","",MIN(B20:B20))</f>
        <v>0.18</v>
      </c>
      <c r="E20" s="103">
        <f>IF(C20="","",MAX(B20:B20))</f>
        <v>0.18</v>
      </c>
      <c r="F20" s="64">
        <f>IF(C20="","",IF(C20="    N/A","",IF(COUNTIF(B20:B20,"&gt;-1")&gt;0,ROUND((SUM(B20:B20)+COUNTIF(B20:B20,-1))/COUNTIF(B20:B20,"&gt;-1"),W20),ROUND(AVERAGE(B20:B20),W20))))</f>
        <v>0.18</v>
      </c>
      <c r="G20" s="106">
        <f>IF(F20="","",IF(VLOOKUP(A20,Test_Limits,2,FALSE)="","",VLOOKUP(A20,Test_Limits,2,FALSE)))</f>
        <v>0</v>
      </c>
      <c r="H20" s="77" t="str">
        <f>IF(G20="","",IF(AND(D20&lt;G20,D20&lt;&gt;T20),IF(VLOOKUP(A20,Test_Limits,5,FALSE)="PF","Fail","Info"),"Pass"))</f>
        <v>Pass</v>
      </c>
      <c r="I20" s="103">
        <f>IF(F20="","",IF(VLOOKUP(A20,Test_Limits,3,FALSE)="","",VLOOKUP(A20,Test_Limits,3,FALSE)))</f>
        <v>5</v>
      </c>
      <c r="J20" s="77" t="str">
        <f>IF(I20="","",IF(AND(E20&gt;I20,E20&lt;&gt;T20),IF(VLOOKUP(A20,Test_Limits,5,FALSE)="PF","Fail","Info"),"Pass"))</f>
        <v>Pass</v>
      </c>
      <c r="K20" s="328"/>
      <c r="L20" s="328"/>
      <c r="Q20" s="272"/>
      <c r="R20" s="320">
        <f t="shared" si="0"/>
        <v>-1000000</v>
      </c>
      <c r="S20" s="320">
        <f t="shared" si="1"/>
        <v>1000000</v>
      </c>
      <c r="T20" s="320" t="str">
        <f>IF(VLOOKUP(A20,Test_Limits,7,FALSE)&lt;&gt;"",VLOOKUP(A20,Test_Limits,7,FALSE),"")</f>
        <v/>
      </c>
      <c r="U20" s="320">
        <f>IF(F20="",0,VLOOKUP(A20,Test_Limits,8,FALSE))</f>
        <v>1</v>
      </c>
      <c r="V20" s="320">
        <f t="shared" si="2"/>
        <v>1</v>
      </c>
      <c r="W20" s="321">
        <f>VLOOKUP(A20,Test_Limits,6,FALSE)</f>
        <v>2</v>
      </c>
      <c r="X20" s="272"/>
    </row>
    <row r="21" spans="1:24" ht="13.8" x14ac:dyDescent="0.3">
      <c r="A21" s="9" t="s">
        <v>291</v>
      </c>
      <c r="B21" s="21">
        <v>0.21</v>
      </c>
      <c r="C21" s="65" t="s">
        <v>685</v>
      </c>
      <c r="D21" s="106">
        <f>IF(C21="","",MIN(B21:B21))</f>
        <v>0.21</v>
      </c>
      <c r="E21" s="103">
        <f>IF(C21="","",MAX(B21:B21))</f>
        <v>0.21</v>
      </c>
      <c r="F21" s="64">
        <f>IF(C21="","",IF(C21="    N/A","",IF(COUNTIF(B21:B21,"&gt;-1")&gt;0,ROUND((SUM(B21:B21)+COUNTIF(B21:B21,-1))/COUNTIF(B21:B21,"&gt;-1"),W21),ROUND(AVERAGE(B21:B21),W21))))</f>
        <v>0.21</v>
      </c>
      <c r="G21" s="106">
        <f>IF(F21="","",IF(VLOOKUP(A21,Test_Limits,2,FALSE)="","",VLOOKUP(A21,Test_Limits,2,FALSE)))</f>
        <v>0</v>
      </c>
      <c r="H21" s="77" t="str">
        <f>IF(G21="","",IF(AND(D21&lt;G21,D21&lt;&gt;T21),IF(VLOOKUP(A21,Test_Limits,5,FALSE)="PF","Fail","Info"),"Pass"))</f>
        <v>Pass</v>
      </c>
      <c r="I21" s="103">
        <f>IF(F21="","",IF(VLOOKUP(A21,Test_Limits,3,FALSE)="","",VLOOKUP(A21,Test_Limits,3,FALSE)))</f>
        <v>5</v>
      </c>
      <c r="J21" s="77" t="str">
        <f>IF(I21="","",IF(AND(E21&gt;I21,E21&lt;&gt;T21),IF(VLOOKUP(A21,Test_Limits,5,FALSE)="PF","Fail","Info"),"Pass"))</f>
        <v>Pass</v>
      </c>
      <c r="K21" s="328"/>
      <c r="L21" s="328"/>
      <c r="Q21" s="272"/>
      <c r="R21" s="320">
        <f t="shared" si="0"/>
        <v>-1000000</v>
      </c>
      <c r="S21" s="320">
        <f t="shared" si="1"/>
        <v>1000000</v>
      </c>
      <c r="T21" s="320" t="str">
        <f>IF(VLOOKUP(A21,Test_Limits,7,FALSE)&lt;&gt;"",VLOOKUP(A21,Test_Limits,7,FALSE),"")</f>
        <v/>
      </c>
      <c r="U21" s="320">
        <f>IF(F21="",0,VLOOKUP(A21,Test_Limits,8,FALSE))</f>
        <v>1</v>
      </c>
      <c r="V21" s="320">
        <f t="shared" si="2"/>
        <v>1</v>
      </c>
      <c r="W21" s="321">
        <f>VLOOKUP(A21,Test_Limits,6,FALSE)</f>
        <v>2</v>
      </c>
      <c r="X21" s="272"/>
    </row>
    <row r="22" spans="1:24" ht="13.8" x14ac:dyDescent="0.3">
      <c r="A22" s="9" t="s">
        <v>660</v>
      </c>
      <c r="B22" s="21"/>
      <c r="C22" s="65"/>
      <c r="D22" s="106" t="str">
        <f>IF(C22="","",MIN(B22:B22))</f>
        <v/>
      </c>
      <c r="E22" s="103" t="str">
        <f>IF(C22="","",MAX(B22:B22))</f>
        <v/>
      </c>
      <c r="F22" s="64" t="str">
        <f>IF(C22="","",IF(C22="    N/A","",IF(COUNTIF(B22:B22,"&gt;-1")&gt;0,ROUND((SUM(B22:B22)+COUNTIF(B22:B22,-1))/COUNTIF(B22:B22,"&gt;-1"),W22),ROUND(AVERAGE(B22:B22),W22))))</f>
        <v/>
      </c>
      <c r="G22" s="106" t="str">
        <f>IF(F22="","",IF(VLOOKUP(A22,Test_Limits,2,FALSE)="","",VLOOKUP(A22,Test_Limits,2,FALSE)))</f>
        <v/>
      </c>
      <c r="H22" s="77" t="str">
        <f>IF(G22="","",IF(AND(D22&lt;G22,D22&lt;&gt;T22),IF(VLOOKUP(A22,Test_Limits,5,FALSE)="PF","Fail","Info"),"Pass"))</f>
        <v/>
      </c>
      <c r="I22" s="103" t="str">
        <f>IF(F22="","",IF(VLOOKUP(A22,Test_Limits,3,FALSE)="","",VLOOKUP(A22,Test_Limits,3,FALSE)))</f>
        <v/>
      </c>
      <c r="J22" s="77" t="str">
        <f>IF(I22="","",IF(AND(E22&gt;I22,E22&lt;&gt;T22),IF(VLOOKUP(A22,Test_Limits,5,FALSE)="PF","Fail","Info"),"Pass"))</f>
        <v/>
      </c>
      <c r="K22" s="328"/>
      <c r="L22" s="328"/>
      <c r="Q22" s="272"/>
      <c r="R22" s="320">
        <f t="shared" si="0"/>
        <v>-1000000</v>
      </c>
      <c r="S22" s="320">
        <f t="shared" si="1"/>
        <v>1000000</v>
      </c>
      <c r="T22" s="320" t="e">
        <f>IF(VLOOKUP(A22,Test_Limits,7,FALSE)&lt;&gt;"",VLOOKUP(A22,Test_Limits,7,FALSE),"")</f>
        <v>#N/A</v>
      </c>
      <c r="U22" s="320">
        <f>IF(F22="",0,VLOOKUP(A22,Test_Limits,8,FALSE))</f>
        <v>0</v>
      </c>
      <c r="V22" s="320">
        <f t="shared" si="2"/>
        <v>0</v>
      </c>
      <c r="W22" s="321" t="e">
        <f>VLOOKUP(A22,Test_Limits,6,FALSE)</f>
        <v>#N/A</v>
      </c>
      <c r="X22" s="272"/>
    </row>
    <row r="23" spans="1:24" ht="13.8" x14ac:dyDescent="0.3">
      <c r="A23" s="9" t="s">
        <v>292</v>
      </c>
      <c r="B23" s="21">
        <v>29</v>
      </c>
      <c r="C23" s="65" t="s">
        <v>686</v>
      </c>
      <c r="D23" s="106">
        <f>IF(C23="","",MIN(B23:B23))</f>
        <v>29</v>
      </c>
      <c r="E23" s="103">
        <f>IF(C23="","",MAX(B23:B23))</f>
        <v>29</v>
      </c>
      <c r="F23" s="64">
        <f>IF(C23="","",IF(C23="    N/A","",IF(COUNTIF(B23:B23,"&gt;-1")&gt;0,ROUND((SUM(B23:B23)+COUNTIF(B23:B23,-1))/COUNTIF(B23:B23,"&gt;-1"),W23),ROUND(AVERAGE(B23:B23),W23))))</f>
        <v>29</v>
      </c>
      <c r="G23" s="106">
        <f>IF(F23="","",IF(VLOOKUP(A23,Test_Limits,2,FALSE)="","",VLOOKUP(A23,Test_Limits,2,FALSE)))</f>
        <v>26</v>
      </c>
      <c r="H23" s="77" t="str">
        <f>IF(G23="","",IF(AND(D23&lt;G23,D23&lt;&gt;T23),IF(VLOOKUP(A23,Test_Limits,5,FALSE)="PF","Fail","Info"),"Pass"))</f>
        <v>Pass</v>
      </c>
      <c r="I23" s="103">
        <f>IF(F23="","",IF(VLOOKUP(A23,Test_Limits,3,FALSE)="","",VLOOKUP(A23,Test_Limits,3,FALSE)))</f>
        <v>32</v>
      </c>
      <c r="J23" s="77" t="str">
        <f>IF(I23="","",IF(AND(E23&gt;I23,E23&lt;&gt;T23),IF(VLOOKUP(A23,Test_Limits,5,FALSE)="PF","Fail","Info"),"Pass"))</f>
        <v>Pass</v>
      </c>
      <c r="K23" s="328"/>
      <c r="L23" s="328"/>
      <c r="Q23" s="272"/>
      <c r="R23" s="320">
        <f t="shared" si="0"/>
        <v>-1000000</v>
      </c>
      <c r="S23" s="320">
        <f t="shared" si="1"/>
        <v>1000000</v>
      </c>
      <c r="T23" s="320" t="str">
        <f>IF(VLOOKUP(A23,Test_Limits,7,FALSE)&lt;&gt;"",VLOOKUP(A23,Test_Limits,7,FALSE),"")</f>
        <v/>
      </c>
      <c r="U23" s="320">
        <f>IF(F23="",0,VLOOKUP(A23,Test_Limits,8,FALSE))</f>
        <v>5</v>
      </c>
      <c r="V23" s="320">
        <f t="shared" si="2"/>
        <v>5</v>
      </c>
      <c r="W23" s="321">
        <f>VLOOKUP(A23,Test_Limits,6,FALSE)</f>
        <v>1</v>
      </c>
      <c r="X23" s="272"/>
    </row>
    <row r="24" spans="1:24" ht="13.8" x14ac:dyDescent="0.3">
      <c r="A24" s="9" t="s">
        <v>293</v>
      </c>
      <c r="B24" s="21">
        <v>17</v>
      </c>
      <c r="C24" s="65" t="s">
        <v>686</v>
      </c>
      <c r="D24" s="106">
        <f>IF(C24="","",MIN(B24:B24))</f>
        <v>17</v>
      </c>
      <c r="E24" s="103">
        <f>IF(C24="","",MAX(B24:B24))</f>
        <v>17</v>
      </c>
      <c r="F24" s="64">
        <f>IF(C24="","",IF(C24="    N/A","",IF(COUNTIF(B24:B24,"&gt;-1")&gt;0,ROUND((SUM(B24:B24)+COUNTIF(B24:B24,-1))/COUNTIF(B24:B24,"&gt;-1"),W24),ROUND(AVERAGE(B24:B24),W24))))</f>
        <v>17</v>
      </c>
      <c r="G24" s="106">
        <f>IF(F24="","",IF(VLOOKUP(A24,Test_Limits,2,FALSE)="","",VLOOKUP(A24,Test_Limits,2,FALSE)))</f>
        <v>16</v>
      </c>
      <c r="H24" s="77" t="str">
        <f>IF(G24="","",IF(AND(D24&lt;G24,D24&lt;&gt;T24),IF(VLOOKUP(A24,Test_Limits,5,FALSE)="PF","Fail","Info"),"Pass"))</f>
        <v>Pass</v>
      </c>
      <c r="I24" s="103">
        <f>IF(F24="","",IF(VLOOKUP(A24,Test_Limits,3,FALSE)="","",VLOOKUP(A24,Test_Limits,3,FALSE)))</f>
        <v>19</v>
      </c>
      <c r="J24" s="77" t="str">
        <f>IF(I24="","",IF(AND(E24&gt;I24,E24&lt;&gt;T24),IF(VLOOKUP(A24,Test_Limits,5,FALSE)="PF","Fail","Info"),"Pass"))</f>
        <v>Pass</v>
      </c>
      <c r="K24" s="328"/>
      <c r="L24" s="328"/>
      <c r="Q24" s="272"/>
      <c r="R24" s="320">
        <f t="shared" si="0"/>
        <v>-1000000</v>
      </c>
      <c r="S24" s="320">
        <f t="shared" si="1"/>
        <v>1000000</v>
      </c>
      <c r="T24" s="320" t="str">
        <f>IF(VLOOKUP(A24,Test_Limits,7,FALSE)&lt;&gt;"",VLOOKUP(A24,Test_Limits,7,FALSE),"")</f>
        <v/>
      </c>
      <c r="U24" s="320">
        <f>IF(F24="",0,VLOOKUP(A24,Test_Limits,8,FALSE))</f>
        <v>5</v>
      </c>
      <c r="V24" s="320">
        <f t="shared" si="2"/>
        <v>5</v>
      </c>
      <c r="W24" s="321">
        <f>VLOOKUP(A24,Test_Limits,6,FALSE)</f>
        <v>1</v>
      </c>
      <c r="X24" s="272"/>
    </row>
    <row r="25" spans="1:24" ht="13.8" x14ac:dyDescent="0.3">
      <c r="A25" s="9" t="s">
        <v>97</v>
      </c>
      <c r="B25" s="21">
        <v>29</v>
      </c>
      <c r="C25" s="65" t="s">
        <v>686</v>
      </c>
      <c r="D25" s="106">
        <f>IF(C25="","",MIN(B25:B25))</f>
        <v>29</v>
      </c>
      <c r="E25" s="103">
        <f>IF(C25="","",MAX(B25:B25))</f>
        <v>29</v>
      </c>
      <c r="F25" s="64">
        <f>IF(C25="","",IF(C25="    N/A","",IF(COUNTIF(B25:B25,"&gt;-1")&gt;0,ROUND((SUM(B25:B25)+COUNTIF(B25:B25,-1))/COUNTIF(B25:B25,"&gt;-1"),W25),ROUND(AVERAGE(B25:B25),W25))))</f>
        <v>29</v>
      </c>
      <c r="G25" s="106">
        <f>IF(F25="","",IF(VLOOKUP(A25,Test_Limits,2,FALSE)="","",VLOOKUP(A25,Test_Limits,2,FALSE)))</f>
        <v>26</v>
      </c>
      <c r="H25" s="77" t="str">
        <f>IF(G25="","",IF(AND(D25&lt;G25,D25&lt;&gt;T25),IF(VLOOKUP(A25,Test_Limits,5,FALSE)="PF","Fail","Info"),"Pass"))</f>
        <v>Pass</v>
      </c>
      <c r="I25" s="103">
        <f>IF(F25="","",IF(VLOOKUP(A25,Test_Limits,3,FALSE)="","",VLOOKUP(A25,Test_Limits,3,FALSE)))</f>
        <v>33</v>
      </c>
      <c r="J25" s="77" t="str">
        <f>IF(I25="","",IF(AND(E25&gt;I25,E25&lt;&gt;T25),IF(VLOOKUP(A25,Test_Limits,5,FALSE)="PF","Fail","Info"),"Pass"))</f>
        <v>Pass</v>
      </c>
      <c r="K25" s="328"/>
      <c r="L25" s="328"/>
      <c r="Q25" s="272"/>
      <c r="R25" s="320">
        <f t="shared" si="0"/>
        <v>-1000000</v>
      </c>
      <c r="S25" s="320">
        <f t="shared" si="1"/>
        <v>1000000</v>
      </c>
      <c r="T25" s="320" t="str">
        <f>IF(VLOOKUP(A25,Test_Limits,7,FALSE)&lt;&gt;"",VLOOKUP(A25,Test_Limits,7,FALSE),"")</f>
        <v/>
      </c>
      <c r="U25" s="320">
        <f>IF(F25="",0,VLOOKUP(A25,Test_Limits,8,FALSE))</f>
        <v>3</v>
      </c>
      <c r="V25" s="320">
        <f t="shared" si="2"/>
        <v>3</v>
      </c>
      <c r="W25" s="321">
        <f>VLOOKUP(A25,Test_Limits,6,FALSE)</f>
        <v>1</v>
      </c>
      <c r="X25" s="272"/>
    </row>
    <row r="26" spans="1:24" ht="13.8" x14ac:dyDescent="0.3">
      <c r="A26" s="9" t="s">
        <v>294</v>
      </c>
      <c r="B26" s="21">
        <v>0.1</v>
      </c>
      <c r="C26" s="65" t="s">
        <v>687</v>
      </c>
      <c r="D26" s="106">
        <f>IF(C26="","",MIN(B26:B26))</f>
        <v>0.1</v>
      </c>
      <c r="E26" s="103">
        <f>IF(C26="","",MAX(B26:B26))</f>
        <v>0.1</v>
      </c>
      <c r="F26" s="64">
        <f>IF(C26="","",IF(C26="    N/A","",IF(COUNTIF(B26:B26,"&gt;-1")&gt;0,ROUND((SUM(B26:B26)+COUNTIF(B26:B26,-1))/COUNTIF(B26:B26,"&gt;-1"),W26),ROUND(AVERAGE(B26:B26),W26))))</f>
        <v>0.1</v>
      </c>
      <c r="G26" s="106">
        <f>IF(F26="","",IF(VLOOKUP(A26,Test_Limits,2,FALSE)="","",VLOOKUP(A26,Test_Limits,2,FALSE)))</f>
        <v>0</v>
      </c>
      <c r="H26" s="77" t="str">
        <f>IF(G26="","",IF(AND(D26&lt;G26,D26&lt;&gt;T26),IF(VLOOKUP(A26,Test_Limits,5,FALSE)="PF","Fail","Info"),"Pass"))</f>
        <v>Pass</v>
      </c>
      <c r="I26" s="103">
        <f>IF(F26="","",IF(VLOOKUP(A26,Test_Limits,3,FALSE)="","",VLOOKUP(A26,Test_Limits,3,FALSE)))</f>
        <v>10</v>
      </c>
      <c r="J26" s="77" t="str">
        <f>IF(I26="","",IF(AND(E26&gt;I26,E26&lt;&gt;T26),IF(VLOOKUP(A26,Test_Limits,5,FALSE)="PF","Fail","Info"),"Pass"))</f>
        <v>Pass</v>
      </c>
      <c r="K26" s="328"/>
      <c r="L26" s="328"/>
      <c r="Q26" s="272"/>
      <c r="R26" s="320">
        <f t="shared" si="0"/>
        <v>-1000000</v>
      </c>
      <c r="S26" s="320">
        <f t="shared" si="1"/>
        <v>1000000</v>
      </c>
      <c r="T26" s="320" t="str">
        <f>IF(VLOOKUP(A26,Test_Limits,7,FALSE)&lt;&gt;"",VLOOKUP(A26,Test_Limits,7,FALSE),"")</f>
        <v/>
      </c>
      <c r="U26" s="320">
        <f>IF(F26="",0,VLOOKUP(A26,Test_Limits,8,FALSE))</f>
        <v>3</v>
      </c>
      <c r="V26" s="320">
        <f t="shared" si="2"/>
        <v>3</v>
      </c>
      <c r="W26" s="321">
        <f>VLOOKUP(A26,Test_Limits,6,FALSE)</f>
        <v>1</v>
      </c>
      <c r="X26" s="272"/>
    </row>
    <row r="27" spans="1:24" ht="13.8" x14ac:dyDescent="0.3">
      <c r="A27" s="9" t="s">
        <v>188</v>
      </c>
      <c r="B27" s="21">
        <v>0</v>
      </c>
      <c r="C27" s="65" t="s">
        <v>684</v>
      </c>
      <c r="D27" s="106">
        <f>IF(C27="","",MIN(B27:B27))</f>
        <v>0</v>
      </c>
      <c r="E27" s="103">
        <f>IF(C27="","",MAX(B27:B27))</f>
        <v>0</v>
      </c>
      <c r="F27" s="64">
        <f>IF(C27="","",IF(C27="    N/A","",IF(COUNTIF(B27:B27,"&gt;-1")&gt;0,ROUND((SUM(B27:B27)+COUNTIF(B27:B27,-1))/COUNTIF(B27:B27,"&gt;-1"),W27),ROUND(AVERAGE(B27:B27),W27))))</f>
        <v>0</v>
      </c>
      <c r="G27" s="106">
        <f>IF(F27="","",IF(VLOOKUP(A27,Test_Limits,2,FALSE)="","",VLOOKUP(A27,Test_Limits,2,FALSE)))</f>
        <v>0</v>
      </c>
      <c r="H27" s="77" t="str">
        <f>IF(G27="","",IF(AND(D27&lt;G27,D27&lt;&gt;T27),IF(VLOOKUP(A27,Test_Limits,5,FALSE)="PF","Fail","Info"),"Pass"))</f>
        <v>Pass</v>
      </c>
      <c r="I27" s="103">
        <f>IF(F27="","",IF(VLOOKUP(A27,Test_Limits,3,FALSE)="","",VLOOKUP(A27,Test_Limits,3,FALSE)))</f>
        <v>0</v>
      </c>
      <c r="J27" s="77" t="str">
        <f>IF(I27="","",IF(AND(E27&gt;I27,E27&lt;&gt;T27),IF(VLOOKUP(A27,Test_Limits,5,FALSE)="PF","Fail","Info"),"Pass"))</f>
        <v>Pass</v>
      </c>
      <c r="K27" s="328"/>
      <c r="L27" s="328"/>
      <c r="Q27" s="272"/>
      <c r="R27" s="320">
        <f t="shared" si="0"/>
        <v>-1000000</v>
      </c>
      <c r="S27" s="320">
        <f t="shared" si="1"/>
        <v>1000000</v>
      </c>
      <c r="T27" s="320" t="str">
        <f>IF(VLOOKUP(A27,Test_Limits,7,FALSE)&lt;&gt;"",VLOOKUP(A27,Test_Limits,7,FALSE),"")</f>
        <v/>
      </c>
      <c r="U27" s="320">
        <f>IF(F27="",0,VLOOKUP(A27,Test_Limits,8,FALSE))</f>
        <v>3</v>
      </c>
      <c r="V27" s="320">
        <f t="shared" si="2"/>
        <v>3</v>
      </c>
      <c r="W27" s="321">
        <f>VLOOKUP(A27,Test_Limits,6,FALSE)</f>
        <v>1</v>
      </c>
      <c r="X27" s="272"/>
    </row>
    <row r="28" spans="1:24" ht="13.8" x14ac:dyDescent="0.3">
      <c r="A28" s="9" t="s">
        <v>661</v>
      </c>
      <c r="B28" s="21"/>
      <c r="C28" s="65"/>
      <c r="D28" s="106" t="str">
        <f>IF(C28="","",MIN(B28:B28))</f>
        <v/>
      </c>
      <c r="E28" s="103" t="str">
        <f>IF(C28="","",MAX(B28:B28))</f>
        <v/>
      </c>
      <c r="F28" s="64" t="str">
        <f>IF(C28="","",IF(C28="    N/A","",IF(COUNTIF(B28:B28,"&gt;-1")&gt;0,ROUND((SUM(B28:B28)+COUNTIF(B28:B28,-1))/COUNTIF(B28:B28,"&gt;-1"),W28),ROUND(AVERAGE(B28:B28),W28))))</f>
        <v/>
      </c>
      <c r="G28" s="106" t="str">
        <f>IF(F28="","",IF(VLOOKUP(A28,Test_Limits,2,FALSE)="","",VLOOKUP(A28,Test_Limits,2,FALSE)))</f>
        <v/>
      </c>
      <c r="H28" s="77" t="str">
        <f>IF(G28="","",IF(AND(D28&lt;G28,D28&lt;&gt;T28),IF(VLOOKUP(A28,Test_Limits,5,FALSE)="PF","Fail","Info"),"Pass"))</f>
        <v/>
      </c>
      <c r="I28" s="103" t="str">
        <f>IF(F28="","",IF(VLOOKUP(A28,Test_Limits,3,FALSE)="","",VLOOKUP(A28,Test_Limits,3,FALSE)))</f>
        <v/>
      </c>
      <c r="J28" s="77" t="str">
        <f>IF(I28="","",IF(AND(E28&gt;I28,E28&lt;&gt;T28),IF(VLOOKUP(A28,Test_Limits,5,FALSE)="PF","Fail","Info"),"Pass"))</f>
        <v/>
      </c>
      <c r="K28" s="328"/>
      <c r="L28" s="328"/>
      <c r="Q28" s="272"/>
      <c r="R28" s="320">
        <f>IF(H28="Info",G28,IF(J28="Info",G28,-1000000))</f>
        <v>-1000000</v>
      </c>
      <c r="S28" s="320">
        <f>IF(H28="Info",I28,IF(J28="Info",I28,1000000))</f>
        <v>1000000</v>
      </c>
      <c r="T28" s="320" t="e">
        <f>IF(VLOOKUP(A28,Test_Limits,7,FALSE)&lt;&gt;"",VLOOKUP(A28,Test_Limits,7,FALSE),"")</f>
        <v>#N/A</v>
      </c>
      <c r="U28" s="320">
        <f>IF(F28="",0,VLOOKUP(A28,Test_Limits,8,FALSE))</f>
        <v>0</v>
      </c>
      <c r="V28" s="320">
        <f>IF(H28="Pass",IF(J28="Pass",U28,0),0)</f>
        <v>0</v>
      </c>
      <c r="W28" s="321" t="e">
        <f>VLOOKUP(A28,Test_Limits,6,FALSE)</f>
        <v>#N/A</v>
      </c>
      <c r="X28" s="272"/>
    </row>
    <row r="29" spans="1:24" ht="13.8" x14ac:dyDescent="0.3">
      <c r="A29" s="9" t="s">
        <v>295</v>
      </c>
      <c r="B29" s="21">
        <v>86</v>
      </c>
      <c r="C29" s="65" t="s">
        <v>688</v>
      </c>
      <c r="D29" s="106">
        <f>IF(C29="","",MIN(B29:B29))</f>
        <v>86</v>
      </c>
      <c r="E29" s="103">
        <f>IF(C29="","",MAX(B29:B29))</f>
        <v>86</v>
      </c>
      <c r="F29" s="64">
        <f>IF(C29="","",IF(C29="    N/A","",IF(COUNTIF(B29:B29,"&gt;-1")&gt;0,ROUND((SUM(B29:B29)+COUNTIF(B29:B29,-1))/COUNTIF(B29:B29,"&gt;-1"),W29),ROUND(AVERAGE(B29:B29),W29))))</f>
        <v>86</v>
      </c>
      <c r="G29" s="106">
        <f>IF(F29="","",IF(VLOOKUP(A29,Test_Limits,2,FALSE)="","",VLOOKUP(A29,Test_Limits,2,FALSE)))</f>
        <v>-1</v>
      </c>
      <c r="H29" s="77" t="str">
        <f>IF(G29="","",IF(AND(D29&lt;G29,D29&lt;&gt;T29),IF(VLOOKUP(A29,Test_Limits,5,FALSE)="PF","Fail","Info"),"Pass"))</f>
        <v>Pass</v>
      </c>
      <c r="I29" s="103">
        <f>IF(F29="","",IF(VLOOKUP(A29,Test_Limits,3,FALSE)="","",VLOOKUP(A29,Test_Limits,3,FALSE)))</f>
        <v>1500</v>
      </c>
      <c r="J29" s="77" t="str">
        <f>IF(I29="","",IF(AND(E29&gt;I29,E29&lt;&gt;T29),IF(VLOOKUP(A29,Test_Limits,5,FALSE)="PF","Fail","Info"),"Pass"))</f>
        <v>Pass</v>
      </c>
      <c r="K29" s="328"/>
      <c r="L29" s="328"/>
      <c r="Q29" s="272"/>
      <c r="R29" s="320">
        <f t="shared" si="0"/>
        <v>-1000000</v>
      </c>
      <c r="S29" s="320">
        <f t="shared" si="1"/>
        <v>1000000</v>
      </c>
      <c r="T29" s="320" t="str">
        <f>IF(VLOOKUP(A29,Test_Limits,7,FALSE)&lt;&gt;"",VLOOKUP(A29,Test_Limits,7,FALSE),"")</f>
        <v/>
      </c>
      <c r="U29" s="320">
        <f>IF(F29="",0,VLOOKUP(A29,Test_Limits,8,FALSE))</f>
        <v>1</v>
      </c>
      <c r="V29" s="320">
        <f t="shared" si="2"/>
        <v>1</v>
      </c>
      <c r="W29" s="321">
        <f>VLOOKUP(A29,Test_Limits,6,FALSE)</f>
        <v>1</v>
      </c>
      <c r="X29" s="272"/>
    </row>
    <row r="30" spans="1:24" ht="13.8" x14ac:dyDescent="0.3">
      <c r="A30" s="9" t="s">
        <v>28</v>
      </c>
      <c r="B30" s="21">
        <v>86</v>
      </c>
      <c r="C30" s="65" t="s">
        <v>688</v>
      </c>
      <c r="D30" s="106">
        <f>IF(C30="","",MIN(B30:B30))</f>
        <v>86</v>
      </c>
      <c r="E30" s="103">
        <f>IF(C30="","",MAX(B30:B30))</f>
        <v>86</v>
      </c>
      <c r="F30" s="64">
        <f>IF(C30="","",IF(C30="    N/A","",IF(COUNTIF(B30:B30,"&gt;-1")&gt;0,ROUND((SUM(B30:B30)+COUNTIF(B30:B30,-1))/COUNTIF(B30:B30,"&gt;-1"),W30),ROUND(AVERAGE(B30:B30),W30))))</f>
        <v>86</v>
      </c>
      <c r="G30" s="106">
        <f>IF(F30="","",IF(VLOOKUP(A30,Test_Limits,2,FALSE)="","",VLOOKUP(A30,Test_Limits,2,FALSE)))</f>
        <v>-1</v>
      </c>
      <c r="H30" s="77" t="str">
        <f>IF(G30="","",IF(AND(D30&lt;G30,D30&lt;&gt;T30),IF(VLOOKUP(A30,Test_Limits,5,FALSE)="PF","Fail","Info"),"Pass"))</f>
        <v>Pass</v>
      </c>
      <c r="I30" s="103">
        <f>IF(F30="","",IF(VLOOKUP(A30,Test_Limits,3,FALSE)="","",VLOOKUP(A30,Test_Limits,3,FALSE)))</f>
        <v>1500</v>
      </c>
      <c r="J30" s="77" t="str">
        <f>IF(I30="","",IF(AND(E30&gt;I30,E30&lt;&gt;T30),IF(VLOOKUP(A30,Test_Limits,5,FALSE)="PF","Fail","Info"),"Pass"))</f>
        <v>Pass</v>
      </c>
      <c r="K30" s="328"/>
      <c r="L30" s="328"/>
      <c r="Q30" s="272"/>
      <c r="R30" s="320">
        <f t="shared" si="0"/>
        <v>-1000000</v>
      </c>
      <c r="S30" s="320">
        <f t="shared" si="1"/>
        <v>1000000</v>
      </c>
      <c r="T30" s="320" t="str">
        <f>IF(VLOOKUP(A30,Test_Limits,7,FALSE)&lt;&gt;"",VLOOKUP(A30,Test_Limits,7,FALSE),"")</f>
        <v/>
      </c>
      <c r="U30" s="320">
        <f>IF(F30="",0,VLOOKUP(A30,Test_Limits,8,FALSE))</f>
        <v>1</v>
      </c>
      <c r="V30" s="320">
        <f t="shared" si="2"/>
        <v>1</v>
      </c>
      <c r="W30" s="321">
        <f>VLOOKUP(A30,Test_Limits,6,FALSE)</f>
        <v>1</v>
      </c>
      <c r="X30" s="272"/>
    </row>
    <row r="31" spans="1:24" ht="13.8" x14ac:dyDescent="0.3">
      <c r="A31" s="9" t="s">
        <v>65</v>
      </c>
      <c r="B31" s="21">
        <v>0</v>
      </c>
      <c r="C31" s="65" t="s">
        <v>684</v>
      </c>
      <c r="D31" s="106">
        <f>IF(C31="","",MIN(B31:B31))</f>
        <v>0</v>
      </c>
      <c r="E31" s="103">
        <f>IF(C31="","",MAX(B31:B31))</f>
        <v>0</v>
      </c>
      <c r="F31" s="64">
        <f>IF(C31="","",IF(C31="    N/A","",IF(COUNTIF(B31:B31,"&gt;-1")&gt;0,ROUND((SUM(B31:B31)+COUNTIF(B31:B31,-1))/COUNTIF(B31:B31,"&gt;-1"),W31),ROUND(AVERAGE(B31:B31),W31))))</f>
        <v>0</v>
      </c>
      <c r="G31" s="106">
        <f>IF(F31="","",IF(VLOOKUP(A31,Test_Limits,2,FALSE)="","",VLOOKUP(A31,Test_Limits,2,FALSE)))</f>
        <v>0</v>
      </c>
      <c r="H31" s="77" t="str">
        <f>IF(G31="","",IF(AND(D31&lt;G31,D31&lt;&gt;T31),IF(VLOOKUP(A31,Test_Limits,5,FALSE)="PF","Fail","Info"),"Pass"))</f>
        <v>Pass</v>
      </c>
      <c r="I31" s="103">
        <f>IF(F31="","",IF(VLOOKUP(A31,Test_Limits,3,FALSE)="","",VLOOKUP(A31,Test_Limits,3,FALSE)))</f>
        <v>0</v>
      </c>
      <c r="J31" s="77" t="str">
        <f>IF(I31="","",IF(AND(E31&gt;I31,E31&lt;&gt;T31),IF(VLOOKUP(A31,Test_Limits,5,FALSE)="PF","Fail","Info"),"Pass"))</f>
        <v>Pass</v>
      </c>
      <c r="K31" s="328"/>
      <c r="L31" s="328"/>
      <c r="Q31" s="272"/>
      <c r="R31" s="320">
        <f t="shared" si="0"/>
        <v>-1000000</v>
      </c>
      <c r="S31" s="320">
        <f t="shared" si="1"/>
        <v>1000000</v>
      </c>
      <c r="T31" s="320" t="str">
        <f>IF(VLOOKUP(A31,Test_Limits,7,FALSE)&lt;&gt;"",VLOOKUP(A31,Test_Limits,7,FALSE),"")</f>
        <v/>
      </c>
      <c r="U31" s="320">
        <f>IF(F31="",0,VLOOKUP(A31,Test_Limits,8,FALSE))</f>
        <v>1</v>
      </c>
      <c r="V31" s="320">
        <f t="shared" si="2"/>
        <v>1</v>
      </c>
      <c r="W31" s="321">
        <f>VLOOKUP(A31,Test_Limits,6,FALSE)</f>
        <v>0</v>
      </c>
      <c r="X31" s="272"/>
    </row>
    <row r="32" spans="1:24" ht="13.8" x14ac:dyDescent="0.3">
      <c r="A32" s="9" t="s">
        <v>296</v>
      </c>
      <c r="B32" s="21">
        <v>320</v>
      </c>
      <c r="C32" s="65" t="s">
        <v>688</v>
      </c>
      <c r="D32" s="106">
        <f>IF(C32="","",MIN(B32:B32))</f>
        <v>320</v>
      </c>
      <c r="E32" s="103">
        <f>IF(C32="","",MAX(B32:B32))</f>
        <v>320</v>
      </c>
      <c r="F32" s="64">
        <f>IF(C32="","",IF(C32="    N/A","",IF(COUNTIF(B32:B32,"&gt;-1")&gt;0,ROUND((SUM(B32:B32)+COUNTIF(B32:B32,-1))/COUNTIF(B32:B32,"&gt;-1"),W32),ROUND(AVERAGE(B32:B32),W32))))</f>
        <v>320</v>
      </c>
      <c r="G32" s="106">
        <f>IF(F32="","",IF(VLOOKUP(A32,Test_Limits,2,FALSE)="","",VLOOKUP(A32,Test_Limits,2,FALSE)))</f>
        <v>5</v>
      </c>
      <c r="H32" s="77" t="str">
        <f>IF(G32="","",IF(AND(D32&lt;G32,D32&lt;&gt;T32),IF(VLOOKUP(A32,Test_Limits,5,FALSE)="PF","Fail","Info"),"Pass"))</f>
        <v>Pass</v>
      </c>
      <c r="I32" s="103">
        <f>IF(F32="","",IF(VLOOKUP(A32,Test_Limits,3,FALSE)="","",VLOOKUP(A32,Test_Limits,3,FALSE)))</f>
        <v>500</v>
      </c>
      <c r="J32" s="77" t="str">
        <f>IF(I32="","",IF(AND(E32&gt;I32,E32&lt;&gt;T32),IF(VLOOKUP(A32,Test_Limits,5,FALSE)="PF","Fail","Info"),"Pass"))</f>
        <v>Pass</v>
      </c>
      <c r="K32" s="328"/>
      <c r="L32" s="328"/>
      <c r="Q32" s="272"/>
      <c r="R32" s="320">
        <f t="shared" si="0"/>
        <v>-1000000</v>
      </c>
      <c r="S32" s="320">
        <f t="shared" si="1"/>
        <v>1000000</v>
      </c>
      <c r="T32" s="320" t="str">
        <f>IF(VLOOKUP(A32,Test_Limits,7,FALSE)&lt;&gt;"",VLOOKUP(A32,Test_Limits,7,FALSE),"")</f>
        <v/>
      </c>
      <c r="U32" s="320">
        <f>IF(F32="",0,VLOOKUP(A32,Test_Limits,8,FALSE))</f>
        <v>1</v>
      </c>
      <c r="V32" s="320">
        <f t="shared" si="2"/>
        <v>1</v>
      </c>
      <c r="W32" s="321">
        <f>VLOOKUP(A32,Test_Limits,6,FALSE)</f>
        <v>1</v>
      </c>
      <c r="X32" s="272"/>
    </row>
    <row r="33" spans="1:24" ht="13.8" x14ac:dyDescent="0.3">
      <c r="A33" s="9" t="s">
        <v>297</v>
      </c>
      <c r="B33" s="21">
        <v>322</v>
      </c>
      <c r="C33" s="65" t="s">
        <v>688</v>
      </c>
      <c r="D33" s="106">
        <f>IF(C33="","",MIN(B33:B33))</f>
        <v>322</v>
      </c>
      <c r="E33" s="103">
        <f>IF(C33="","",MAX(B33:B33))</f>
        <v>322</v>
      </c>
      <c r="F33" s="64">
        <f>IF(C33="","",IF(C33="    N/A","",IF(COUNTIF(B33:B33,"&gt;-1")&gt;0,ROUND((SUM(B33:B33)+COUNTIF(B33:B33,-1))/COUNTIF(B33:B33,"&gt;-1"),W33),ROUND(AVERAGE(B33:B33),W33))))</f>
        <v>322</v>
      </c>
      <c r="G33" s="106">
        <f>IF(F33="","",IF(VLOOKUP(A33,Test_Limits,2,FALSE)="","",VLOOKUP(A33,Test_Limits,2,FALSE)))</f>
        <v>5</v>
      </c>
      <c r="H33" s="77" t="str">
        <f>IF(G33="","",IF(AND(D33&lt;G33,D33&lt;&gt;T33),IF(VLOOKUP(A33,Test_Limits,5,FALSE)="PF","Fail","Info"),"Pass"))</f>
        <v>Pass</v>
      </c>
      <c r="I33" s="103">
        <f>IF(F33="","",IF(VLOOKUP(A33,Test_Limits,3,FALSE)="","",VLOOKUP(A33,Test_Limits,3,FALSE)))</f>
        <v>1000</v>
      </c>
      <c r="J33" s="77" t="str">
        <f>IF(I33="","",IF(AND(E33&gt;I33,E33&lt;&gt;T33),IF(VLOOKUP(A33,Test_Limits,5,FALSE)="PF","Fail","Info"),"Pass"))</f>
        <v>Pass</v>
      </c>
      <c r="K33" s="328"/>
      <c r="L33" s="328"/>
      <c r="Q33" s="272"/>
      <c r="R33" s="320">
        <f t="shared" si="0"/>
        <v>-1000000</v>
      </c>
      <c r="S33" s="320">
        <f t="shared" si="1"/>
        <v>1000000</v>
      </c>
      <c r="T33" s="320" t="str">
        <f>IF(VLOOKUP(A33,Test_Limits,7,FALSE)&lt;&gt;"",VLOOKUP(A33,Test_Limits,7,FALSE),"")</f>
        <v/>
      </c>
      <c r="U33" s="320">
        <f>IF(F33="",0,VLOOKUP(A33,Test_Limits,8,FALSE))</f>
        <v>0</v>
      </c>
      <c r="V33" s="320">
        <f t="shared" si="2"/>
        <v>0</v>
      </c>
      <c r="W33" s="321">
        <f>VLOOKUP(A33,Test_Limits,6,FALSE)</f>
        <v>1</v>
      </c>
      <c r="X33" s="272"/>
    </row>
    <row r="34" spans="1:24" ht="13.8" x14ac:dyDescent="0.3">
      <c r="A34" s="9" t="s">
        <v>662</v>
      </c>
      <c r="B34" s="21"/>
      <c r="C34" s="65"/>
      <c r="D34" s="106" t="str">
        <f>IF(C34="","",MIN(B34:B34))</f>
        <v/>
      </c>
      <c r="E34" s="103" t="str">
        <f>IF(C34="","",MAX(B34:B34))</f>
        <v/>
      </c>
      <c r="F34" s="64" t="str">
        <f>IF(C34="","",IF(C34="    N/A","",IF(COUNTIF(B34:B34,"&gt;-1")&gt;0,ROUND((SUM(B34:B34)+COUNTIF(B34:B34,-1))/COUNTIF(B34:B34,"&gt;-1"),W34),ROUND(AVERAGE(B34:B34),W34))))</f>
        <v/>
      </c>
      <c r="G34" s="106" t="str">
        <f>IF(F34="","",IF(VLOOKUP(A34,Test_Limits,2,FALSE)="","",VLOOKUP(A34,Test_Limits,2,FALSE)))</f>
        <v/>
      </c>
      <c r="H34" s="77" t="str">
        <f>IF(G34="","",IF(AND(D34&lt;G34,D34&lt;&gt;T34),IF(VLOOKUP(A34,Test_Limits,5,FALSE)="PF","Fail","Info"),"Pass"))</f>
        <v/>
      </c>
      <c r="I34" s="103" t="str">
        <f>IF(F34="","",IF(VLOOKUP(A34,Test_Limits,3,FALSE)="","",VLOOKUP(A34,Test_Limits,3,FALSE)))</f>
        <v/>
      </c>
      <c r="J34" s="77" t="str">
        <f>IF(I34="","",IF(AND(E34&gt;I34,E34&lt;&gt;T34),IF(VLOOKUP(A34,Test_Limits,5,FALSE)="PF","Fail","Info"),"Pass"))</f>
        <v/>
      </c>
      <c r="K34" s="328"/>
      <c r="L34" s="328"/>
      <c r="Q34" s="272"/>
      <c r="R34" s="320">
        <f t="shared" si="0"/>
        <v>-1000000</v>
      </c>
      <c r="S34" s="320">
        <f t="shared" si="1"/>
        <v>1000000</v>
      </c>
      <c r="T34" s="320" t="e">
        <f>IF(VLOOKUP(A34,Test_Limits,7,FALSE)&lt;&gt;"",VLOOKUP(A34,Test_Limits,7,FALSE),"")</f>
        <v>#N/A</v>
      </c>
      <c r="U34" s="320">
        <f>IF(F34="",0,VLOOKUP(A34,Test_Limits,8,FALSE))</f>
        <v>0</v>
      </c>
      <c r="V34" s="320">
        <f t="shared" si="2"/>
        <v>0</v>
      </c>
      <c r="W34" s="321" t="e">
        <f>VLOOKUP(A34,Test_Limits,6,FALSE)</f>
        <v>#N/A</v>
      </c>
      <c r="X34" s="272"/>
    </row>
    <row r="35" spans="1:24" ht="13.8" x14ac:dyDescent="0.3">
      <c r="A35" s="9" t="s">
        <v>613</v>
      </c>
      <c r="B35" s="21">
        <v>1</v>
      </c>
      <c r="C35" s="65" t="s">
        <v>684</v>
      </c>
      <c r="D35" s="106">
        <f>IF(C35="","",MIN(B35:B35))</f>
        <v>1</v>
      </c>
      <c r="E35" s="103">
        <f>IF(C35="","",MAX(B35:B35))</f>
        <v>1</v>
      </c>
      <c r="F35" s="64">
        <f>IF(C35="","",IF(C35="    N/A","",IF(COUNTIF(B35:B35,"&gt;-1")&gt;0,ROUND((SUM(B35:B35)+COUNTIF(B35:B35,-1))/COUNTIF(B35:B35,"&gt;-1"),W35),ROUND(AVERAGE(B35:B35),W35))))</f>
        <v>1</v>
      </c>
      <c r="G35" s="106">
        <f>IF(F35="","",IF(VLOOKUP(A35,Test_Limits,2,FALSE)="","",VLOOKUP(A35,Test_Limits,2,FALSE)))</f>
        <v>0</v>
      </c>
      <c r="H35" s="77" t="str">
        <f>IF(G35="","",IF(AND(D35&lt;G35,D35&lt;&gt;T35),IF(VLOOKUP(A35,Test_Limits,5,FALSE)="PF","Fail","Info"),"Pass"))</f>
        <v>Pass</v>
      </c>
      <c r="I35" s="103">
        <f>IF(F35="","",IF(VLOOKUP(A35,Test_Limits,3,FALSE)="","",VLOOKUP(A35,Test_Limits,3,FALSE)))</f>
        <v>1</v>
      </c>
      <c r="J35" s="77" t="str">
        <f>IF(I35="","",IF(AND(E35&gt;I35,E35&lt;&gt;T35),IF(VLOOKUP(A35,Test_Limits,5,FALSE)="PF","Fail","Info"),"Pass"))</f>
        <v>Pass</v>
      </c>
      <c r="K35" s="328"/>
      <c r="L35" s="328"/>
      <c r="Q35" s="272"/>
      <c r="R35" s="320">
        <f t="shared" si="0"/>
        <v>-1000000</v>
      </c>
      <c r="S35" s="320">
        <f t="shared" si="1"/>
        <v>1000000</v>
      </c>
      <c r="T35" s="320" t="str">
        <f>IF(VLOOKUP(A35,Test_Limits,7,FALSE)&lt;&gt;"",VLOOKUP(A35,Test_Limits,7,FALSE),"")</f>
        <v/>
      </c>
      <c r="U35" s="320">
        <f>IF(F35="",0,VLOOKUP(A35,Test_Limits,8,FALSE))</f>
        <v>1</v>
      </c>
      <c r="V35" s="320">
        <f t="shared" si="2"/>
        <v>1</v>
      </c>
      <c r="W35" s="321">
        <f>VLOOKUP(A35,Test_Limits,6,FALSE)</f>
        <v>0</v>
      </c>
      <c r="X35" s="272"/>
    </row>
    <row r="36" spans="1:24" ht="13.8" x14ac:dyDescent="0.3">
      <c r="A36" s="9" t="s">
        <v>298</v>
      </c>
      <c r="B36" s="21">
        <v>450</v>
      </c>
      <c r="C36" s="65" t="s">
        <v>686</v>
      </c>
      <c r="D36" s="106">
        <f>IF(C36="","",MIN(B36:B36))</f>
        <v>450</v>
      </c>
      <c r="E36" s="103">
        <f>IF(C36="","",MAX(B36:B36))</f>
        <v>450</v>
      </c>
      <c r="F36" s="64">
        <f>IF(C36="","",IF(C36="    N/A","",IF(COUNTIF(B36:B36,"&gt;-1")&gt;0,ROUND((SUM(B36:B36)+COUNTIF(B36:B36,-1))/COUNTIF(B36:B36,"&gt;-1"),W36),ROUND(AVERAGE(B36:B36),W36))))</f>
        <v>450</v>
      </c>
      <c r="G36" s="106">
        <f>IF(F36="","",IF(VLOOKUP(A36,Test_Limits,2,FALSE)="","",VLOOKUP(A36,Test_Limits,2,FALSE)))</f>
        <v>45</v>
      </c>
      <c r="H36" s="77" t="str">
        <f>IF(G36="","",IF(AND(D36&lt;G36,D36&lt;&gt;T36),IF(VLOOKUP(A36,Test_Limits,5,FALSE)="PF","Fail","Info"),"Pass"))</f>
        <v>Pass</v>
      </c>
      <c r="I36" s="103">
        <f>IF(F36="","",IF(VLOOKUP(A36,Test_Limits,3,FALSE)="","",VLOOKUP(A36,Test_Limits,3,FALSE)))</f>
        <v>2000</v>
      </c>
      <c r="J36" s="77" t="str">
        <f>IF(I36="","",IF(AND(E36&gt;I36,E36&lt;&gt;T36),IF(VLOOKUP(A36,Test_Limits,5,FALSE)="PF","Fail","Info"),"Pass"))</f>
        <v>Pass</v>
      </c>
      <c r="K36" s="328"/>
      <c r="L36" s="328"/>
      <c r="Q36" s="272"/>
      <c r="R36" s="320">
        <f t="shared" si="0"/>
        <v>-1000000</v>
      </c>
      <c r="S36" s="320">
        <f t="shared" si="1"/>
        <v>1000000</v>
      </c>
      <c r="T36" s="320">
        <f>IF(VLOOKUP(A36,Test_Limits,7,FALSE)&lt;&gt;"",VLOOKUP(A36,Test_Limits,7,FALSE),"")</f>
        <v>0</v>
      </c>
      <c r="U36" s="320">
        <f>IF(F36="",0,VLOOKUP(A36,Test_Limits,8,FALSE))</f>
        <v>1</v>
      </c>
      <c r="V36" s="320">
        <f t="shared" si="2"/>
        <v>1</v>
      </c>
      <c r="W36" s="321">
        <f>VLOOKUP(A36,Test_Limits,6,FALSE)</f>
        <v>1</v>
      </c>
      <c r="X36" s="272"/>
    </row>
    <row r="37" spans="1:24" ht="13.8" x14ac:dyDescent="0.3">
      <c r="A37" s="9" t="s">
        <v>663</v>
      </c>
      <c r="B37" s="21"/>
      <c r="C37" s="65"/>
      <c r="D37" s="106" t="str">
        <f>IF(C37="","",MIN(B37:B37))</f>
        <v/>
      </c>
      <c r="E37" s="103" t="str">
        <f>IF(C37="","",MAX(B37:B37))</f>
        <v/>
      </c>
      <c r="F37" s="64" t="str">
        <f>IF(C37="","",IF(C37="    N/A","",IF(COUNTIF(B37:B37,"&gt;-1")&gt;0,ROUND((SUM(B37:B37)+COUNTIF(B37:B37,-1))/COUNTIF(B37:B37,"&gt;-1"),W37),ROUND(AVERAGE(B37:B37),W37))))</f>
        <v/>
      </c>
      <c r="G37" s="106" t="str">
        <f>IF(F37="","",IF(VLOOKUP(A37,Test_Limits,2,FALSE)="","",VLOOKUP(A37,Test_Limits,2,FALSE)))</f>
        <v/>
      </c>
      <c r="H37" s="77" t="str">
        <f>IF(G37="","",IF(AND(D37&lt;G37,D37&lt;&gt;T37),IF(VLOOKUP(A37,Test_Limits,5,FALSE)="PF","Fail","Info"),"Pass"))</f>
        <v/>
      </c>
      <c r="I37" s="103" t="str">
        <f>IF(F37="","",IF(VLOOKUP(A37,Test_Limits,3,FALSE)="","",VLOOKUP(A37,Test_Limits,3,FALSE)))</f>
        <v/>
      </c>
      <c r="J37" s="77" t="str">
        <f>IF(I37="","",IF(AND(E37&gt;I37,E37&lt;&gt;T37),IF(VLOOKUP(A37,Test_Limits,5,FALSE)="PF","Fail","Info"),"Pass"))</f>
        <v/>
      </c>
      <c r="K37" s="328"/>
      <c r="L37" s="328"/>
      <c r="Q37" s="272"/>
      <c r="R37" s="320">
        <f t="shared" si="0"/>
        <v>-1000000</v>
      </c>
      <c r="S37" s="320">
        <f t="shared" si="1"/>
        <v>1000000</v>
      </c>
      <c r="T37" s="320" t="e">
        <f>IF(VLOOKUP(A37,Test_Limits,7,FALSE)&lt;&gt;"",VLOOKUP(A37,Test_Limits,7,FALSE),"")</f>
        <v>#N/A</v>
      </c>
      <c r="U37" s="320">
        <f>IF(F37="",0,VLOOKUP(A37,Test_Limits,8,FALSE))</f>
        <v>0</v>
      </c>
      <c r="V37" s="320">
        <f t="shared" si="2"/>
        <v>0</v>
      </c>
      <c r="W37" s="321" t="e">
        <f>VLOOKUP(A37,Test_Limits,6,FALSE)</f>
        <v>#N/A</v>
      </c>
      <c r="X37" s="272"/>
    </row>
    <row r="38" spans="1:24" ht="13.8" x14ac:dyDescent="0.3">
      <c r="A38" s="9" t="s">
        <v>643</v>
      </c>
      <c r="B38" s="21">
        <v>19.2</v>
      </c>
      <c r="C38" s="65" t="s">
        <v>681</v>
      </c>
      <c r="D38" s="106">
        <f>IF(C38="","",MIN(B38:B38))</f>
        <v>19.2</v>
      </c>
      <c r="E38" s="103">
        <f>IF(C38="","",MAX(B38:B38))</f>
        <v>19.2</v>
      </c>
      <c r="F38" s="64">
        <f>IF(C38="","",IF(C38="    N/A","",IF(COUNTIF(B38:B38,"&gt;-1")&gt;0,ROUND((SUM(B38:B38)+COUNTIF(B38:B38,-1))/COUNTIF(B38:B38,"&gt;-1"),W38),ROUND(AVERAGE(B38:B38),W38))))</f>
        <v>19.2</v>
      </c>
      <c r="G38" s="106">
        <f>IF(F38="","",IF(VLOOKUP(A38,Test_Limits,2,FALSE)="","",VLOOKUP(A38,Test_Limits,2,FALSE)))</f>
        <v>15.5</v>
      </c>
      <c r="H38" s="77" t="str">
        <f>IF(G38="","",IF(AND(D38&lt;G38,D38&lt;&gt;T38),IF(VLOOKUP(A38,Test_Limits,5,FALSE)="PF","Fail","Info"),"Pass"))</f>
        <v>Pass</v>
      </c>
      <c r="I38" s="103">
        <f>IF(F38="","",IF(VLOOKUP(A38,Test_Limits,3,FALSE)="","",VLOOKUP(A38,Test_Limits,3,FALSE)))</f>
        <v>20.5</v>
      </c>
      <c r="J38" s="77" t="str">
        <f>IF(I38="","",IF(AND(E38&gt;I38,E38&lt;&gt;T38),IF(VLOOKUP(A38,Test_Limits,5,FALSE)="PF","Fail","Info"),"Pass"))</f>
        <v>Pass</v>
      </c>
      <c r="K38" s="328"/>
      <c r="L38" s="328"/>
      <c r="Q38" s="272"/>
      <c r="R38" s="320">
        <f t="shared" si="0"/>
        <v>-1000000</v>
      </c>
      <c r="S38" s="320">
        <f t="shared" si="1"/>
        <v>1000000</v>
      </c>
      <c r="T38" s="320" t="str">
        <f>IF(VLOOKUP(A38,Test_Limits,7,FALSE)&lt;&gt;"",VLOOKUP(A38,Test_Limits,7,FALSE),"")</f>
        <v/>
      </c>
      <c r="U38" s="320">
        <f>IF(F38="",0,VLOOKUP(A38,Test_Limits,8,FALSE))</f>
        <v>5</v>
      </c>
      <c r="V38" s="320">
        <f t="shared" si="2"/>
        <v>5</v>
      </c>
      <c r="W38" s="321">
        <f>VLOOKUP(A38,Test_Limits,6,FALSE)</f>
        <v>1</v>
      </c>
      <c r="X38" s="272"/>
    </row>
    <row r="39" spans="1:24" ht="13.8" x14ac:dyDescent="0.3">
      <c r="A39" s="9" t="s">
        <v>99</v>
      </c>
      <c r="B39" s="21">
        <v>18.899999999999999</v>
      </c>
      <c r="C39" s="65" t="s">
        <v>681</v>
      </c>
      <c r="D39" s="106">
        <f>IF(C39="","",MIN(B39:B39))</f>
        <v>18.899999999999999</v>
      </c>
      <c r="E39" s="103">
        <f>IF(C39="","",MAX(B39:B39))</f>
        <v>18.899999999999999</v>
      </c>
      <c r="F39" s="64">
        <f>IF(C39="","",IF(C39="    N/A","",IF(COUNTIF(B39:B39,"&gt;-1")&gt;0,ROUND((SUM(B39:B39)+COUNTIF(B39:B39,-1))/COUNTIF(B39:B39,"&gt;-1"),W39),ROUND(AVERAGE(B39:B39),W39))))</f>
        <v>18.899999999999999</v>
      </c>
      <c r="G39" s="106">
        <f>IF(F39="","",IF(VLOOKUP(A39,Test_Limits,2,FALSE)="","",VLOOKUP(A39,Test_Limits,2,FALSE)))</f>
        <v>15.5</v>
      </c>
      <c r="H39" s="77" t="str">
        <f>IF(G39="","",IF(AND(D39&lt;G39,D39&lt;&gt;T39),IF(VLOOKUP(A39,Test_Limits,5,FALSE)="PF","Fail","Info"),"Pass"))</f>
        <v>Pass</v>
      </c>
      <c r="I39" s="103">
        <f>IF(F39="","",IF(VLOOKUP(A39,Test_Limits,3,FALSE)="","",VLOOKUP(A39,Test_Limits,3,FALSE)))</f>
        <v>20.5</v>
      </c>
      <c r="J39" s="77" t="str">
        <f>IF(I39="","",IF(AND(E39&gt;I39,E39&lt;&gt;T39),IF(VLOOKUP(A39,Test_Limits,5,FALSE)="PF","Fail","Info"),"Pass"))</f>
        <v>Pass</v>
      </c>
      <c r="K39" s="328"/>
      <c r="L39" s="328"/>
      <c r="Q39" s="272"/>
      <c r="R39" s="320">
        <f t="shared" si="0"/>
        <v>-1000000</v>
      </c>
      <c r="S39" s="320">
        <f t="shared" si="1"/>
        <v>1000000</v>
      </c>
      <c r="T39" s="320" t="str">
        <f>IF(VLOOKUP(A39,Test_Limits,7,FALSE)&lt;&gt;"",VLOOKUP(A39,Test_Limits,7,FALSE),"")</f>
        <v/>
      </c>
      <c r="U39" s="320">
        <f>IF(F39="",0,VLOOKUP(A39,Test_Limits,8,FALSE))</f>
        <v>5</v>
      </c>
      <c r="V39" s="320">
        <f t="shared" si="2"/>
        <v>5</v>
      </c>
      <c r="W39" s="321">
        <f>VLOOKUP(A39,Test_Limits,6,FALSE)</f>
        <v>1</v>
      </c>
      <c r="X39" s="272"/>
    </row>
    <row r="40" spans="1:24" ht="13.8" x14ac:dyDescent="0.3">
      <c r="A40" s="9" t="s">
        <v>75</v>
      </c>
      <c r="B40" s="21">
        <v>8.6</v>
      </c>
      <c r="C40" s="65" t="s">
        <v>681</v>
      </c>
      <c r="D40" s="106">
        <f>IF(C40="","",MIN(B40:B40))</f>
        <v>8.6</v>
      </c>
      <c r="E40" s="103">
        <f>IF(C40="","",MAX(B40:B40))</f>
        <v>8.6</v>
      </c>
      <c r="F40" s="64">
        <f>IF(C40="","",IF(C40="    N/A","",IF(COUNTIF(B40:B40,"&gt;-1")&gt;0,ROUND((SUM(B40:B40)+COUNTIF(B40:B40,-1))/COUNTIF(B40:B40,"&gt;-1"),W40),ROUND(AVERAGE(B40:B40),W40))))</f>
        <v>8.6</v>
      </c>
      <c r="G40" s="106">
        <f>IF(F40="","",IF(VLOOKUP(A40,Test_Limits,2,FALSE)="","",VLOOKUP(A40,Test_Limits,2,FALSE)))</f>
        <v>7</v>
      </c>
      <c r="H40" s="77" t="str">
        <f>IF(G40="","",IF(AND(D40&lt;G40,D40&lt;&gt;T40),IF(VLOOKUP(A40,Test_Limits,5,FALSE)="PF","Fail","Info"),"Pass"))</f>
        <v>Pass</v>
      </c>
      <c r="I40" s="103">
        <f>IF(F40="","",IF(VLOOKUP(A40,Test_Limits,3,FALSE)="","",VLOOKUP(A40,Test_Limits,3,FALSE)))</f>
        <v>10</v>
      </c>
      <c r="J40" s="77" t="str">
        <f>IF(I40="","",IF(AND(E40&gt;I40,E40&lt;&gt;T40),IF(VLOOKUP(A40,Test_Limits,5,FALSE)="PF","Fail","Info"),"Pass"))</f>
        <v>Pass</v>
      </c>
      <c r="K40" s="328"/>
      <c r="L40" s="328"/>
      <c r="Q40" s="272"/>
      <c r="R40" s="320">
        <f t="shared" si="0"/>
        <v>-1000000</v>
      </c>
      <c r="S40" s="320">
        <f t="shared" si="1"/>
        <v>1000000</v>
      </c>
      <c r="T40" s="320" t="str">
        <f>IF(VLOOKUP(A40,Test_Limits,7,FALSE)&lt;&gt;"",VLOOKUP(A40,Test_Limits,7,FALSE),"")</f>
        <v/>
      </c>
      <c r="U40" s="320">
        <f>IF(F40="",0,VLOOKUP(A40,Test_Limits,8,FALSE))</f>
        <v>5</v>
      </c>
      <c r="V40" s="320">
        <f t="shared" si="2"/>
        <v>5</v>
      </c>
      <c r="W40" s="321">
        <f>VLOOKUP(A40,Test_Limits,6,FALSE)</f>
        <v>1</v>
      </c>
      <c r="X40" s="272"/>
    </row>
    <row r="41" spans="1:24" ht="13.8" x14ac:dyDescent="0.3">
      <c r="A41" s="9" t="s">
        <v>100</v>
      </c>
      <c r="B41" s="21">
        <v>7.2</v>
      </c>
      <c r="C41" s="65" t="s">
        <v>681</v>
      </c>
      <c r="D41" s="106">
        <f>IF(C41="","",MIN(B41:B41))</f>
        <v>7.2</v>
      </c>
      <c r="E41" s="103">
        <f>IF(C41="","",MAX(B41:B41))</f>
        <v>7.2</v>
      </c>
      <c r="F41" s="64">
        <f>IF(C41="","",IF(C41="    N/A","",IF(COUNTIF(B41:B41,"&gt;-1")&gt;0,ROUND((SUM(B41:B41)+COUNTIF(B41:B41,-1))/COUNTIF(B41:B41,"&gt;-1"),W41),ROUND(AVERAGE(B41:B41),W41))))</f>
        <v>7.2</v>
      </c>
      <c r="G41" s="106">
        <f>IF(F41="","",IF(VLOOKUP(A41,Test_Limits,2,FALSE)="","",VLOOKUP(A41,Test_Limits,2,FALSE)))</f>
        <v>7</v>
      </c>
      <c r="H41" s="77" t="str">
        <f>IF(G41="","",IF(AND(D41&lt;G41,D41&lt;&gt;T41),IF(VLOOKUP(A41,Test_Limits,5,FALSE)="PF","Fail","Info"),"Pass"))</f>
        <v>Pass</v>
      </c>
      <c r="I41" s="103">
        <f>IF(F41="","",IF(VLOOKUP(A41,Test_Limits,3,FALSE)="","",VLOOKUP(A41,Test_Limits,3,FALSE)))</f>
        <v>10</v>
      </c>
      <c r="J41" s="77" t="str">
        <f>IF(I41="","",IF(AND(E41&gt;I41,E41&lt;&gt;T41),IF(VLOOKUP(A41,Test_Limits,5,FALSE)="PF","Fail","Info"),"Pass"))</f>
        <v>Pass</v>
      </c>
      <c r="K41" s="328"/>
      <c r="L41" s="328"/>
      <c r="Q41" s="272"/>
      <c r="R41" s="320">
        <f t="shared" si="0"/>
        <v>-1000000</v>
      </c>
      <c r="S41" s="320">
        <f t="shared" si="1"/>
        <v>1000000</v>
      </c>
      <c r="T41" s="320" t="str">
        <f>IF(VLOOKUP(A41,Test_Limits,7,FALSE)&lt;&gt;"",VLOOKUP(A41,Test_Limits,7,FALSE),"")</f>
        <v/>
      </c>
      <c r="U41" s="320">
        <f>IF(F41="",0,VLOOKUP(A41,Test_Limits,8,FALSE))</f>
        <v>5</v>
      </c>
      <c r="V41" s="320">
        <f t="shared" si="2"/>
        <v>5</v>
      </c>
      <c r="W41" s="321">
        <f>VLOOKUP(A41,Test_Limits,6,FALSE)</f>
        <v>1</v>
      </c>
      <c r="X41" s="272"/>
    </row>
    <row r="42" spans="1:24" ht="13.8" x14ac:dyDescent="0.3">
      <c r="A42" s="9" t="s">
        <v>664</v>
      </c>
      <c r="B42" s="21"/>
      <c r="C42" s="65"/>
      <c r="D42" s="106" t="str">
        <f>IF(C42="","",MIN(B42:B42))</f>
        <v/>
      </c>
      <c r="E42" s="103" t="str">
        <f>IF(C42="","",MAX(B42:B42))</f>
        <v/>
      </c>
      <c r="F42" s="64" t="str">
        <f>IF(C42="","",IF(C42="    N/A","",IF(COUNTIF(B42:B42,"&gt;-1")&gt;0,ROUND((SUM(B42:B42)+COUNTIF(B42:B42,-1))/COUNTIF(B42:B42,"&gt;-1"),W42),ROUND(AVERAGE(B42:B42),W42))))</f>
        <v/>
      </c>
      <c r="G42" s="106" t="str">
        <f>IF(F42="","",IF(VLOOKUP(A42,Test_Limits,2,FALSE)="","",VLOOKUP(A42,Test_Limits,2,FALSE)))</f>
        <v/>
      </c>
      <c r="H42" s="77" t="str">
        <f>IF(G42="","",IF(AND(D42&lt;G42,D42&lt;&gt;T42),IF(VLOOKUP(A42,Test_Limits,5,FALSE)="PF","Fail","Info"),"Pass"))</f>
        <v/>
      </c>
      <c r="I42" s="103" t="str">
        <f>IF(F42="","",IF(VLOOKUP(A42,Test_Limits,3,FALSE)="","",VLOOKUP(A42,Test_Limits,3,FALSE)))</f>
        <v/>
      </c>
      <c r="J42" s="77" t="str">
        <f>IF(I42="","",IF(AND(E42&gt;I42,E42&lt;&gt;T42),IF(VLOOKUP(A42,Test_Limits,5,FALSE)="PF","Fail","Info"),"Pass"))</f>
        <v/>
      </c>
      <c r="K42" s="328"/>
      <c r="L42" s="328"/>
      <c r="Q42" s="272"/>
      <c r="R42" s="320">
        <f t="shared" si="0"/>
        <v>-1000000</v>
      </c>
      <c r="S42" s="320">
        <f t="shared" si="1"/>
        <v>1000000</v>
      </c>
      <c r="T42" s="320" t="e">
        <f>IF(VLOOKUP(A42,Test_Limits,7,FALSE)&lt;&gt;"",VLOOKUP(A42,Test_Limits,7,FALSE),"")</f>
        <v>#N/A</v>
      </c>
      <c r="U42" s="320">
        <f>IF(F42="",0,VLOOKUP(A42,Test_Limits,8,FALSE))</f>
        <v>0</v>
      </c>
      <c r="V42" s="320">
        <f t="shared" si="2"/>
        <v>0</v>
      </c>
      <c r="W42" s="321" t="e">
        <f>VLOOKUP(A42,Test_Limits,6,FALSE)</f>
        <v>#N/A</v>
      </c>
      <c r="X42" s="272"/>
    </row>
    <row r="43" spans="1:24" ht="13.8" x14ac:dyDescent="0.3">
      <c r="A43" s="9" t="s">
        <v>614</v>
      </c>
      <c r="B43" s="21">
        <v>1</v>
      </c>
      <c r="C43" s="65" t="s">
        <v>684</v>
      </c>
      <c r="D43" s="106">
        <f>IF(C43="","",MIN(B43:B43))</f>
        <v>1</v>
      </c>
      <c r="E43" s="103">
        <f>IF(C43="","",MAX(B43:B43))</f>
        <v>1</v>
      </c>
      <c r="F43" s="64">
        <f>IF(C43="","",IF(C43="    N/A","",IF(COUNTIF(B43:B43,"&gt;-1")&gt;0,ROUND((SUM(B43:B43)+COUNTIF(B43:B43,-1))/COUNTIF(B43:B43,"&gt;-1"),W43),ROUND(AVERAGE(B43:B43),W43))))</f>
        <v>1</v>
      </c>
      <c r="G43" s="106">
        <f>IF(F43="","",IF(VLOOKUP(A43,Test_Limits,2,FALSE)="","",VLOOKUP(A43,Test_Limits,2,FALSE)))</f>
        <v>1</v>
      </c>
      <c r="H43" s="77" t="str">
        <f>IF(G43="","",IF(AND(D43&lt;G43,D43&lt;&gt;T43),IF(VLOOKUP(A43,Test_Limits,5,FALSE)="PF","Fail","Info"),"Pass"))</f>
        <v>Pass</v>
      </c>
      <c r="I43" s="103">
        <f>IF(F43="","",IF(VLOOKUP(A43,Test_Limits,3,FALSE)="","",VLOOKUP(A43,Test_Limits,3,FALSE)))</f>
        <v>2</v>
      </c>
      <c r="J43" s="77" t="str">
        <f>IF(I43="","",IF(AND(E43&gt;I43,E43&lt;&gt;T43),IF(VLOOKUP(A43,Test_Limits,5,FALSE)="PF","Fail","Info"),"Pass"))</f>
        <v>Pass</v>
      </c>
      <c r="K43" s="328"/>
      <c r="L43" s="328"/>
      <c r="Q43" s="272"/>
      <c r="R43" s="320">
        <f t="shared" si="0"/>
        <v>-1000000</v>
      </c>
      <c r="S43" s="320">
        <f t="shared" si="1"/>
        <v>1000000</v>
      </c>
      <c r="T43" s="320" t="str">
        <f>IF(VLOOKUP(A43,Test_Limits,7,FALSE)&lt;&gt;"",VLOOKUP(A43,Test_Limits,7,FALSE),"")</f>
        <v/>
      </c>
      <c r="U43" s="320">
        <f>IF(F43="",0,VLOOKUP(A43,Test_Limits,8,FALSE))</f>
        <v>5</v>
      </c>
      <c r="V43" s="320">
        <f t="shared" si="2"/>
        <v>5</v>
      </c>
      <c r="W43" s="321">
        <f>VLOOKUP(A43,Test_Limits,6,FALSE)</f>
        <v>0</v>
      </c>
      <c r="X43" s="272"/>
    </row>
    <row r="44" spans="1:24" ht="13.8" x14ac:dyDescent="0.3">
      <c r="A44" s="9" t="s">
        <v>299</v>
      </c>
      <c r="B44" s="21">
        <v>10.7</v>
      </c>
      <c r="C44" s="65" t="s">
        <v>688</v>
      </c>
      <c r="D44" s="106">
        <f>IF(C44="","",MIN(B44:B44))</f>
        <v>10.7</v>
      </c>
      <c r="E44" s="103">
        <f>IF(C44="","",MAX(B44:B44))</f>
        <v>10.7</v>
      </c>
      <c r="F44" s="64">
        <f>IF(C44="","",IF(C44="    N/A","",IF(COUNTIF(B44:B44,"&gt;-1")&gt;0,ROUND((SUM(B44:B44)+COUNTIF(B44:B44,-1))/COUNTIF(B44:B44,"&gt;-1"),W44),ROUND(AVERAGE(B44:B44),W44))))</f>
        <v>10.7</v>
      </c>
      <c r="G44" s="106">
        <f>IF(F44="","",IF(VLOOKUP(A44,Test_Limits,2,FALSE)="","",VLOOKUP(A44,Test_Limits,2,FALSE)))</f>
        <v>5.6</v>
      </c>
      <c r="H44" s="77" t="str">
        <f>IF(G44="","",IF(AND(D44&lt;G44,D44&lt;&gt;T44),IF(VLOOKUP(A44,Test_Limits,5,FALSE)="PF","Fail","Info"),"Pass"))</f>
        <v>Pass</v>
      </c>
      <c r="I44" s="103">
        <f>IF(F44="","",IF(VLOOKUP(A44,Test_Limits,3,FALSE)="","",VLOOKUP(A44,Test_Limits,3,FALSE)))</f>
        <v>75</v>
      </c>
      <c r="J44" s="77" t="str">
        <f>IF(I44="","",IF(AND(E44&gt;I44,E44&lt;&gt;T44),IF(VLOOKUP(A44,Test_Limits,5,FALSE)="PF","Fail","Info"),"Pass"))</f>
        <v>Pass</v>
      </c>
      <c r="K44" s="328"/>
      <c r="L44" s="328"/>
      <c r="Q44" s="272"/>
      <c r="R44" s="320">
        <f t="shared" si="0"/>
        <v>-1000000</v>
      </c>
      <c r="S44" s="320">
        <f t="shared" si="1"/>
        <v>1000000</v>
      </c>
      <c r="T44" s="320">
        <f>IF(VLOOKUP(A44,Test_Limits,7,FALSE)&lt;&gt;"",VLOOKUP(A44,Test_Limits,7,FALSE),"")</f>
        <v>-1</v>
      </c>
      <c r="U44" s="320">
        <f>IF(F44="",0,VLOOKUP(A44,Test_Limits,8,FALSE))</f>
        <v>5</v>
      </c>
      <c r="V44" s="320">
        <f t="shared" si="2"/>
        <v>5</v>
      </c>
      <c r="W44" s="321">
        <f>VLOOKUP(A44,Test_Limits,6,FALSE)</f>
        <v>1</v>
      </c>
      <c r="X44" s="272"/>
    </row>
    <row r="45" spans="1:24" ht="13.8" x14ac:dyDescent="0.3">
      <c r="A45" s="9" t="s">
        <v>615</v>
      </c>
      <c r="B45" s="21">
        <v>2</v>
      </c>
      <c r="C45" s="65" t="s">
        <v>684</v>
      </c>
      <c r="D45" s="106">
        <f>IF(C45="","",MIN(B45:B45))</f>
        <v>2</v>
      </c>
      <c r="E45" s="103">
        <f>IF(C45="","",MAX(B45:B45))</f>
        <v>2</v>
      </c>
      <c r="F45" s="64">
        <f>IF(C45="","",IF(C45="    N/A","",IF(COUNTIF(B45:B45,"&gt;-1")&gt;0,ROUND((SUM(B45:B45)+COUNTIF(B45:B45,-1))/COUNTIF(B45:B45,"&gt;-1"),W45),ROUND(AVERAGE(B45:B45),W45))))</f>
        <v>2</v>
      </c>
      <c r="G45" s="106">
        <f>IF(F45="","",IF(VLOOKUP(A45,Test_Limits,2,FALSE)="","",VLOOKUP(A45,Test_Limits,2,FALSE)))</f>
        <v>2</v>
      </c>
      <c r="H45" s="77" t="str">
        <f>IF(G45="","",IF(AND(D45&lt;G45,D45&lt;&gt;T45),IF(VLOOKUP(A45,Test_Limits,5,FALSE)="PF","Fail","Info"),"Pass"))</f>
        <v>Pass</v>
      </c>
      <c r="I45" s="103">
        <f>IF(F45="","",IF(VLOOKUP(A45,Test_Limits,3,FALSE)="","",VLOOKUP(A45,Test_Limits,3,FALSE)))</f>
        <v>2</v>
      </c>
      <c r="J45" s="77" t="str">
        <f>IF(I45="","",IF(AND(E45&gt;I45,E45&lt;&gt;T45),IF(VLOOKUP(A45,Test_Limits,5,FALSE)="PF","Fail","Info"),"Pass"))</f>
        <v>Pass</v>
      </c>
      <c r="K45" s="328"/>
      <c r="L45" s="328"/>
      <c r="Q45" s="272"/>
      <c r="R45" s="320">
        <f t="shared" si="0"/>
        <v>-1000000</v>
      </c>
      <c r="S45" s="320">
        <f t="shared" si="1"/>
        <v>1000000</v>
      </c>
      <c r="T45" s="320" t="str">
        <f>IF(VLOOKUP(A45,Test_Limits,7,FALSE)&lt;&gt;"",VLOOKUP(A45,Test_Limits,7,FALSE),"")</f>
        <v/>
      </c>
      <c r="U45" s="320">
        <f>IF(F45="",0,VLOOKUP(A45,Test_Limits,8,FALSE))</f>
        <v>5</v>
      </c>
      <c r="V45" s="320">
        <f t="shared" si="2"/>
        <v>5</v>
      </c>
      <c r="W45" s="321">
        <f>VLOOKUP(A45,Test_Limits,6,FALSE)</f>
        <v>0</v>
      </c>
      <c r="X45" s="272"/>
    </row>
    <row r="46" spans="1:24" ht="13.8" x14ac:dyDescent="0.3">
      <c r="A46" s="9" t="s">
        <v>71</v>
      </c>
      <c r="B46" s="21">
        <v>10.7</v>
      </c>
      <c r="C46" s="65" t="s">
        <v>688</v>
      </c>
      <c r="D46" s="106">
        <f>IF(C46="","",MIN(B46:B46))</f>
        <v>10.7</v>
      </c>
      <c r="E46" s="103">
        <f>IF(C46="","",MAX(B46:B46))</f>
        <v>10.7</v>
      </c>
      <c r="F46" s="64">
        <f>IF(C46="","",IF(C46="    N/A","",IF(COUNTIF(B46:B46,"&gt;-1")&gt;0,ROUND((SUM(B46:B46)+COUNTIF(B46:B46,-1))/COUNTIF(B46:B46,"&gt;-1"),W46),ROUND(AVERAGE(B46:B46),W46))))</f>
        <v>10.7</v>
      </c>
      <c r="G46" s="106">
        <f>IF(F46="","",IF(VLOOKUP(A46,Test_Limits,2,FALSE)="","",VLOOKUP(A46,Test_Limits,2,FALSE)))</f>
        <v>5.6</v>
      </c>
      <c r="H46" s="77" t="str">
        <f>IF(G46="","",IF(AND(D46&lt;G46,D46&lt;&gt;T46),IF(VLOOKUP(A46,Test_Limits,5,FALSE)="PF","Fail","Info"),"Pass"))</f>
        <v>Pass</v>
      </c>
      <c r="I46" s="103">
        <f>IF(F46="","",IF(VLOOKUP(A46,Test_Limits,3,FALSE)="","",VLOOKUP(A46,Test_Limits,3,FALSE)))</f>
        <v>30</v>
      </c>
      <c r="J46" s="77" t="str">
        <f>IF(I46="","",IF(AND(E46&gt;I46,E46&lt;&gt;T46),IF(VLOOKUP(A46,Test_Limits,5,FALSE)="PF","Fail","Info"),"Pass"))</f>
        <v>Pass</v>
      </c>
      <c r="K46" s="328"/>
      <c r="L46" s="328"/>
      <c r="Q46" s="272"/>
      <c r="R46" s="320">
        <f t="shared" si="0"/>
        <v>-1000000</v>
      </c>
      <c r="S46" s="320">
        <f t="shared" si="1"/>
        <v>1000000</v>
      </c>
      <c r="T46" s="320" t="str">
        <f>IF(VLOOKUP(A46,Test_Limits,7,FALSE)&lt;&gt;"",VLOOKUP(A46,Test_Limits,7,FALSE),"")</f>
        <v/>
      </c>
      <c r="U46" s="320">
        <f>IF(F46="",0,VLOOKUP(A46,Test_Limits,8,FALSE))</f>
        <v>5</v>
      </c>
      <c r="V46" s="320">
        <f t="shared" si="2"/>
        <v>5</v>
      </c>
      <c r="W46" s="321">
        <f>VLOOKUP(A46,Test_Limits,6,FALSE)</f>
        <v>1</v>
      </c>
      <c r="X46" s="272"/>
    </row>
    <row r="47" spans="1:24" ht="13.8" x14ac:dyDescent="0.3">
      <c r="A47" s="9" t="s">
        <v>72</v>
      </c>
      <c r="B47" s="21">
        <v>10.9</v>
      </c>
      <c r="C47" s="65" t="s">
        <v>688</v>
      </c>
      <c r="D47" s="106">
        <f>IF(C47="","",MIN(B47:B47))</f>
        <v>10.9</v>
      </c>
      <c r="E47" s="103">
        <f>IF(C47="","",MAX(B47:B47))</f>
        <v>10.9</v>
      </c>
      <c r="F47" s="64">
        <f>IF(C47="","",IF(C47="    N/A","",IF(COUNTIF(B47:B47,"&gt;-1")&gt;0,ROUND((SUM(B47:B47)+COUNTIF(B47:B47,-1))/COUNTIF(B47:B47,"&gt;-1"),W47),ROUND(AVERAGE(B47:B47),W47))))</f>
        <v>10.9</v>
      </c>
      <c r="G47" s="106">
        <f>IF(F47="","",IF(VLOOKUP(A47,Test_Limits,2,FALSE)="","",VLOOKUP(A47,Test_Limits,2,FALSE)))</f>
        <v>5.6</v>
      </c>
      <c r="H47" s="77" t="str">
        <f>IF(G47="","",IF(AND(D47&lt;G47,D47&lt;&gt;T47),IF(VLOOKUP(A47,Test_Limits,5,FALSE)="PF","Fail","Info"),"Pass"))</f>
        <v>Pass</v>
      </c>
      <c r="I47" s="103">
        <f>IF(F47="","",IF(VLOOKUP(A47,Test_Limits,3,FALSE)="","",VLOOKUP(A47,Test_Limits,3,FALSE)))</f>
        <v>30</v>
      </c>
      <c r="J47" s="77" t="str">
        <f>IF(I47="","",IF(AND(E47&gt;I47,E47&lt;&gt;T47),IF(VLOOKUP(A47,Test_Limits,5,FALSE)="PF","Fail","Info"),"Pass"))</f>
        <v>Pass</v>
      </c>
      <c r="K47" s="328"/>
      <c r="L47" s="328"/>
      <c r="Q47" s="272"/>
      <c r="R47" s="320">
        <f t="shared" si="0"/>
        <v>-1000000</v>
      </c>
      <c r="S47" s="320">
        <f t="shared" si="1"/>
        <v>1000000</v>
      </c>
      <c r="T47" s="320" t="str">
        <f>IF(VLOOKUP(A47,Test_Limits,7,FALSE)&lt;&gt;"",VLOOKUP(A47,Test_Limits,7,FALSE),"")</f>
        <v/>
      </c>
      <c r="U47" s="320">
        <f>IF(F47="",0,VLOOKUP(A47,Test_Limits,8,FALSE))</f>
        <v>5</v>
      </c>
      <c r="V47" s="320">
        <f t="shared" si="2"/>
        <v>5</v>
      </c>
      <c r="W47" s="321">
        <f>VLOOKUP(A47,Test_Limits,6,FALSE)</f>
        <v>1</v>
      </c>
      <c r="X47" s="272"/>
    </row>
    <row r="48" spans="1:24" ht="13.8" x14ac:dyDescent="0.3">
      <c r="A48" s="9" t="s">
        <v>73</v>
      </c>
      <c r="B48" s="21">
        <v>7.2</v>
      </c>
      <c r="C48" s="65" t="s">
        <v>688</v>
      </c>
      <c r="D48" s="106">
        <f>IF(C48="","",MIN(B48:B48))</f>
        <v>7.2</v>
      </c>
      <c r="E48" s="103">
        <f>IF(C48="","",MAX(B48:B48))</f>
        <v>7.2</v>
      </c>
      <c r="F48" s="64">
        <f>IF(C48="","",IF(C48="    N/A","",IF(COUNTIF(B48:B48,"&gt;-1")&gt;0,ROUND((SUM(B48:B48)+COUNTIF(B48:B48,-1))/COUNTIF(B48:B48,"&gt;-1"),W48),ROUND(AVERAGE(B48:B48),W48))))</f>
        <v>7.2</v>
      </c>
      <c r="G48" s="106">
        <f>IF(F48="","",IF(VLOOKUP(A48,Test_Limits,2,FALSE)="","",VLOOKUP(A48,Test_Limits,2,FALSE)))</f>
        <v>5.6</v>
      </c>
      <c r="H48" s="77" t="str">
        <f>IF(G48="","",IF(AND(D48&lt;G48,D48&lt;&gt;T48),IF(VLOOKUP(A48,Test_Limits,5,FALSE)="PF","Fail","Info"),"Pass"))</f>
        <v>Pass</v>
      </c>
      <c r="I48" s="103">
        <f>IF(F48="","",IF(VLOOKUP(A48,Test_Limits,3,FALSE)="","",VLOOKUP(A48,Test_Limits,3,FALSE)))</f>
        <v>12.4</v>
      </c>
      <c r="J48" s="77" t="str">
        <f>IF(I48="","",IF(AND(E48&gt;I48,E48&lt;&gt;T48),IF(VLOOKUP(A48,Test_Limits,5,FALSE)="PF","Fail","Info"),"Pass"))</f>
        <v>Pass</v>
      </c>
      <c r="K48" s="328"/>
      <c r="L48" s="328"/>
      <c r="Q48" s="272"/>
      <c r="R48" s="320">
        <f t="shared" si="0"/>
        <v>-1000000</v>
      </c>
      <c r="S48" s="320">
        <f t="shared" si="1"/>
        <v>1000000</v>
      </c>
      <c r="T48" s="320" t="str">
        <f>IF(VLOOKUP(A48,Test_Limits,7,FALSE)&lt;&gt;"",VLOOKUP(A48,Test_Limits,7,FALSE),"")</f>
        <v/>
      </c>
      <c r="U48" s="320">
        <f>IF(F48="",0,VLOOKUP(A48,Test_Limits,8,FALSE))</f>
        <v>5</v>
      </c>
      <c r="V48" s="320">
        <f t="shared" si="2"/>
        <v>5</v>
      </c>
      <c r="W48" s="321">
        <f>VLOOKUP(A48,Test_Limits,6,FALSE)</f>
        <v>1</v>
      </c>
      <c r="X48" s="272"/>
    </row>
    <row r="49" spans="1:24" ht="13.8" x14ac:dyDescent="0.3">
      <c r="A49" s="9" t="s">
        <v>74</v>
      </c>
      <c r="B49" s="21">
        <v>8.6</v>
      </c>
      <c r="C49" s="65" t="s">
        <v>688</v>
      </c>
      <c r="D49" s="106">
        <f>IF(C49="","",MIN(B49:B49))</f>
        <v>8.6</v>
      </c>
      <c r="E49" s="103">
        <f>IF(C49="","",MAX(B49:B49))</f>
        <v>8.6</v>
      </c>
      <c r="F49" s="64">
        <f>IF(C49="","",IF(C49="    N/A","",IF(COUNTIF(B49:B49,"&gt;-1")&gt;0,ROUND((SUM(B49:B49)+COUNTIF(B49:B49,-1))/COUNTIF(B49:B49,"&gt;-1"),W49),ROUND(AVERAGE(B49:B49),W49))))</f>
        <v>8.6</v>
      </c>
      <c r="G49" s="106">
        <f>IF(F49="","",IF(VLOOKUP(A49,Test_Limits,2,FALSE)="","",VLOOKUP(A49,Test_Limits,2,FALSE)))</f>
        <v>5.6</v>
      </c>
      <c r="H49" s="77" t="str">
        <f>IF(G49="","",IF(AND(D49&lt;G49,D49&lt;&gt;T49),IF(VLOOKUP(A49,Test_Limits,5,FALSE)="PF","Fail","Info"),"Pass"))</f>
        <v>Pass</v>
      </c>
      <c r="I49" s="103">
        <f>IF(F49="","",IF(VLOOKUP(A49,Test_Limits,3,FALSE)="","",VLOOKUP(A49,Test_Limits,3,FALSE)))</f>
        <v>376</v>
      </c>
      <c r="J49" s="77" t="str">
        <f>IF(I49="","",IF(AND(E49&gt;I49,E49&lt;&gt;T49),IF(VLOOKUP(A49,Test_Limits,5,FALSE)="PF","Fail","Info"),"Pass"))</f>
        <v>Pass</v>
      </c>
      <c r="K49" s="328"/>
      <c r="L49" s="328"/>
      <c r="Q49" s="272"/>
      <c r="R49" s="320">
        <f t="shared" si="0"/>
        <v>-1000000</v>
      </c>
      <c r="S49" s="320">
        <f t="shared" si="1"/>
        <v>1000000</v>
      </c>
      <c r="T49" s="320" t="str">
        <f>IF(VLOOKUP(A49,Test_Limits,7,FALSE)&lt;&gt;"",VLOOKUP(A49,Test_Limits,7,FALSE),"")</f>
        <v/>
      </c>
      <c r="U49" s="320">
        <f>IF(F49="",0,VLOOKUP(A49,Test_Limits,8,FALSE))</f>
        <v>5</v>
      </c>
      <c r="V49" s="320">
        <f t="shared" si="2"/>
        <v>5</v>
      </c>
      <c r="W49" s="321">
        <f>VLOOKUP(A49,Test_Limits,6,FALSE)</f>
        <v>1</v>
      </c>
      <c r="X49" s="272"/>
    </row>
    <row r="50" spans="1:24" ht="13.8" x14ac:dyDescent="0.3">
      <c r="A50" s="9" t="s">
        <v>101</v>
      </c>
      <c r="B50" s="21"/>
      <c r="C50" s="65"/>
      <c r="D50" s="106" t="str">
        <f>IF(C50="","",MIN(B50:B50))</f>
        <v/>
      </c>
      <c r="E50" s="103" t="str">
        <f>IF(C50="","",MAX(B50:B50))</f>
        <v/>
      </c>
      <c r="F50" s="64" t="str">
        <f>IF(C50="","",IF(C50="    N/A","",IF(COUNTIF(B50:B50,"&gt;-1")&gt;0,ROUND((SUM(B50:B50)+COUNTIF(B50:B50,-1))/COUNTIF(B50:B50,"&gt;-1"),W50),ROUND(AVERAGE(B50:B50),W50))))</f>
        <v/>
      </c>
      <c r="G50" s="106" t="str">
        <f>IF(F50="","",IF(VLOOKUP(A50,Test_Limits,2,FALSE)="","",VLOOKUP(A50,Test_Limits,2,FALSE)))</f>
        <v/>
      </c>
      <c r="H50" s="77" t="str">
        <f>IF(G50="","",IF(AND(D50&lt;G50,D50&lt;&gt;T50),IF(VLOOKUP(A50,Test_Limits,5,FALSE)="PF","Fail","Info"),"Pass"))</f>
        <v/>
      </c>
      <c r="I50" s="103" t="str">
        <f>IF(F50="","",IF(VLOOKUP(A50,Test_Limits,3,FALSE)="","",VLOOKUP(A50,Test_Limits,3,FALSE)))</f>
        <v/>
      </c>
      <c r="J50" s="77" t="str">
        <f>IF(I50="","",IF(AND(E50&gt;I50,E50&lt;&gt;T50),IF(VLOOKUP(A50,Test_Limits,5,FALSE)="PF","Fail","Info"),"Pass"))</f>
        <v/>
      </c>
      <c r="K50" s="328"/>
      <c r="L50" s="328"/>
      <c r="Q50" s="272"/>
      <c r="R50" s="320">
        <f t="shared" si="0"/>
        <v>-1000000</v>
      </c>
      <c r="S50" s="320">
        <f t="shared" si="1"/>
        <v>1000000</v>
      </c>
      <c r="T50" s="320" t="str">
        <f>IF(VLOOKUP(A50,Test_Limits,7,FALSE)&lt;&gt;"",VLOOKUP(A50,Test_Limits,7,FALSE),"")</f>
        <v/>
      </c>
      <c r="U50" s="320">
        <f>IF(F50="",0,VLOOKUP(A50,Test_Limits,8,FALSE))</f>
        <v>0</v>
      </c>
      <c r="V50" s="320">
        <f t="shared" si="2"/>
        <v>0</v>
      </c>
      <c r="W50" s="321">
        <f>VLOOKUP(A50,Test_Limits,6,FALSE)</f>
        <v>0</v>
      </c>
      <c r="X50" s="272"/>
    </row>
    <row r="51" spans="1:24" ht="13.8" x14ac:dyDescent="0.3">
      <c r="A51" s="9" t="s">
        <v>102</v>
      </c>
      <c r="B51" s="21">
        <v>79</v>
      </c>
      <c r="C51" s="65" t="s">
        <v>685</v>
      </c>
      <c r="D51" s="106">
        <f>IF(C51="","",MIN(B51:B51))</f>
        <v>79</v>
      </c>
      <c r="E51" s="103">
        <f>IF(C51="","",MAX(B51:B51))</f>
        <v>79</v>
      </c>
      <c r="F51" s="64">
        <f>IF(C51="","",IF(C51="    N/A","",IF(COUNTIF(B51:B51,"&gt;-1")&gt;0,ROUND((SUM(B51:B51)+COUNTIF(B51:B51,-1))/COUNTIF(B51:B51,"&gt;-1"),W51),ROUND(AVERAGE(B51:B51),W51))))</f>
        <v>79</v>
      </c>
      <c r="G51" s="106">
        <f>IF(F51="","",IF(VLOOKUP(A51,Test_Limits,2,FALSE)="","",VLOOKUP(A51,Test_Limits,2,FALSE)))</f>
        <v>51</v>
      </c>
      <c r="H51" s="77" t="str">
        <f>IF(G51="","",IF(AND(D51&lt;G51,D51&lt;&gt;T51),IF(VLOOKUP(A51,Test_Limits,5,FALSE)="PF","Fail","Info"),"Pass"))</f>
        <v>Pass</v>
      </c>
      <c r="I51" s="103">
        <f>IF(F51="","",IF(VLOOKUP(A51,Test_Limits,3,FALSE)="","",VLOOKUP(A51,Test_Limits,3,FALSE)))</f>
        <v>100</v>
      </c>
      <c r="J51" s="77" t="str">
        <f>IF(I51="","",IF(AND(E51&gt;I51,E51&lt;&gt;T51),IF(VLOOKUP(A51,Test_Limits,5,FALSE)="PF","Fail","Info"),"Pass"))</f>
        <v>Pass</v>
      </c>
      <c r="K51" s="328"/>
      <c r="L51" s="328"/>
      <c r="Q51" s="272"/>
      <c r="R51" s="320">
        <f t="shared" si="0"/>
        <v>-1000000</v>
      </c>
      <c r="S51" s="320">
        <f t="shared" si="1"/>
        <v>1000000</v>
      </c>
      <c r="T51" s="320" t="str">
        <f>IF(VLOOKUP(A51,Test_Limits,7,FALSE)&lt;&gt;"",VLOOKUP(A51,Test_Limits,7,FALSE),"")</f>
        <v/>
      </c>
      <c r="U51" s="320">
        <f>IF(F51="",0,VLOOKUP(A51,Test_Limits,8,FALSE))</f>
        <v>1</v>
      </c>
      <c r="V51" s="320">
        <f t="shared" si="2"/>
        <v>1</v>
      </c>
      <c r="W51" s="321">
        <f>VLOOKUP(A51,Test_Limits,6,FALSE)</f>
        <v>0</v>
      </c>
      <c r="X51" s="272"/>
    </row>
    <row r="52" spans="1:24" ht="13.8" x14ac:dyDescent="0.3">
      <c r="A52" s="9" t="s">
        <v>394</v>
      </c>
      <c r="B52" s="21">
        <v>0</v>
      </c>
      <c r="C52" s="65" t="s">
        <v>684</v>
      </c>
      <c r="D52" s="106">
        <f>IF(C52="","",MIN(B52:B52))</f>
        <v>0</v>
      </c>
      <c r="E52" s="103">
        <f>IF(C52="","",MAX(B52:B52))</f>
        <v>0</v>
      </c>
      <c r="F52" s="64">
        <f>IF(C52="","",IF(C52="    N/A","",IF(COUNTIF(B52:B52,"&gt;-1")&gt;0,ROUND((SUM(B52:B52)+COUNTIF(B52:B52,-1))/COUNTIF(B52:B52,"&gt;-1"),W52),ROUND(AVERAGE(B52:B52),W52))))</f>
        <v>0</v>
      </c>
      <c r="G52" s="106">
        <f>IF(F52="","",IF(VLOOKUP(A52,Test_Limits,2,FALSE)="","",VLOOKUP(A52,Test_Limits,2,FALSE)))</f>
        <v>0</v>
      </c>
      <c r="H52" s="77" t="str">
        <f>IF(G52="","",IF(AND(D52&lt;G52,D52&lt;&gt;T52),IF(VLOOKUP(A52,Test_Limits,5,FALSE)="PF","Fail","Info"),"Pass"))</f>
        <v>Pass</v>
      </c>
      <c r="I52" s="103">
        <f>IF(F52="","",IF(VLOOKUP(A52,Test_Limits,3,FALSE)="","",VLOOKUP(A52,Test_Limits,3,FALSE)))</f>
        <v>0</v>
      </c>
      <c r="J52" s="77" t="str">
        <f>IF(I52="","",IF(AND(E52&gt;I52,E52&lt;&gt;T52),IF(VLOOKUP(A52,Test_Limits,5,FALSE)="PF","Fail","Info"),"Pass"))</f>
        <v>Pass</v>
      </c>
      <c r="K52" s="328"/>
      <c r="L52" s="328"/>
      <c r="Q52" s="272"/>
      <c r="R52" s="320">
        <f t="shared" si="0"/>
        <v>-1000000</v>
      </c>
      <c r="S52" s="320">
        <f t="shared" si="1"/>
        <v>1000000</v>
      </c>
      <c r="T52" s="320" t="str">
        <f>IF(VLOOKUP(A52,Test_Limits,7,FALSE)&lt;&gt;"",VLOOKUP(A52,Test_Limits,7,FALSE),"")</f>
        <v/>
      </c>
      <c r="U52" s="320">
        <f>IF(F52="",0,VLOOKUP(A52,Test_Limits,8,FALSE))</f>
        <v>1</v>
      </c>
      <c r="V52" s="320">
        <f t="shared" si="2"/>
        <v>1</v>
      </c>
      <c r="W52" s="321">
        <f>VLOOKUP(A52,Test_Limits,6,FALSE)</f>
        <v>1</v>
      </c>
      <c r="X52" s="272"/>
    </row>
    <row r="53" spans="1:24" ht="13.8" x14ac:dyDescent="0.3">
      <c r="A53" s="9" t="s">
        <v>393</v>
      </c>
      <c r="B53" s="21">
        <v>0</v>
      </c>
      <c r="C53" s="65" t="s">
        <v>684</v>
      </c>
      <c r="D53" s="106">
        <f>IF(C53="","",MIN(B53:B53))</f>
        <v>0</v>
      </c>
      <c r="E53" s="103">
        <f>IF(C53="","",MAX(B53:B53))</f>
        <v>0</v>
      </c>
      <c r="F53" s="64">
        <f>IF(C53="","",IF(C53="    N/A","",IF(COUNTIF(B53:B53,"&gt;-1")&gt;0,ROUND((SUM(B53:B53)+COUNTIF(B53:B53,-1))/COUNTIF(B53:B53,"&gt;-1"),W53),ROUND(AVERAGE(B53:B53),W53))))</f>
        <v>0</v>
      </c>
      <c r="G53" s="106">
        <f>IF(F53="","",IF(VLOOKUP(A53,Test_Limits,2,FALSE)="","",VLOOKUP(A53,Test_Limits,2,FALSE)))</f>
        <v>0</v>
      </c>
      <c r="H53" s="77" t="str">
        <f>IF(G53="","",IF(AND(D53&lt;G53,D53&lt;&gt;T53),IF(VLOOKUP(A53,Test_Limits,5,FALSE)="PF","Fail","Info"),"Pass"))</f>
        <v>Pass</v>
      </c>
      <c r="I53" s="103">
        <f>IF(F53="","",IF(VLOOKUP(A53,Test_Limits,3,FALSE)="","",VLOOKUP(A53,Test_Limits,3,FALSE)))</f>
        <v>0</v>
      </c>
      <c r="J53" s="77" t="str">
        <f>IF(I53="","",IF(AND(E53&gt;I53,E53&lt;&gt;T53),IF(VLOOKUP(A53,Test_Limits,5,FALSE)="PF","Fail","Info"),"Pass"))</f>
        <v>Pass</v>
      </c>
      <c r="K53" s="328"/>
      <c r="L53" s="328"/>
      <c r="Q53" s="272"/>
      <c r="R53" s="320">
        <f t="shared" si="0"/>
        <v>-1000000</v>
      </c>
      <c r="S53" s="320">
        <f t="shared" si="1"/>
        <v>1000000</v>
      </c>
      <c r="T53" s="320" t="str">
        <f>IF(VLOOKUP(A53,Test_Limits,7,FALSE)&lt;&gt;"",VLOOKUP(A53,Test_Limits,7,FALSE),"")</f>
        <v/>
      </c>
      <c r="U53" s="320">
        <f>IF(F53="",0,VLOOKUP(A53,Test_Limits,8,FALSE))</f>
        <v>1</v>
      </c>
      <c r="V53" s="320">
        <f t="shared" si="2"/>
        <v>1</v>
      </c>
      <c r="W53" s="321">
        <f>VLOOKUP(A53,Test_Limits,6,FALSE)</f>
        <v>1</v>
      </c>
      <c r="X53" s="272"/>
    </row>
    <row r="54" spans="1:24" ht="13.8" x14ac:dyDescent="0.3">
      <c r="A54" s="9" t="s">
        <v>665</v>
      </c>
      <c r="B54" s="21">
        <v>6</v>
      </c>
      <c r="C54" s="65" t="s">
        <v>685</v>
      </c>
      <c r="D54" s="106">
        <f>IF(C54="","",MIN(B54:B54))</f>
        <v>6</v>
      </c>
      <c r="E54" s="103">
        <f>IF(C54="","",MAX(B54:B54))</f>
        <v>6</v>
      </c>
      <c r="F54" s="64">
        <f>IF(C54="","",IF(C54="    N/A","",IF(COUNTIF(B54:B54,"&gt;-1")&gt;0,ROUND((SUM(B54:B54)+COUNTIF(B54:B54,-1))/COUNTIF(B54:B54,"&gt;-1"),W54),ROUND(AVERAGE(B54:B54),W54))))</f>
        <v>6</v>
      </c>
      <c r="G54" s="106">
        <f>IF(F54="","",IF(VLOOKUP(A54,Test_Limits,2,FALSE)="","",VLOOKUP(A54,Test_Limits,2,FALSE)))</f>
        <v>5</v>
      </c>
      <c r="H54" s="77" t="str">
        <f>IF(G54="","",IF(AND(D54&lt;G54,D54&lt;&gt;T54),IF(VLOOKUP(A54,Test_Limits,5,FALSE)="PF","Fail","Info"),"Pass"))</f>
        <v>Pass</v>
      </c>
      <c r="I54" s="103">
        <f>IF(F54="","",IF(VLOOKUP(A54,Test_Limits,3,FALSE)="","",VLOOKUP(A54,Test_Limits,3,FALSE)))</f>
        <v>100</v>
      </c>
      <c r="J54" s="77" t="str">
        <f>IF(I54="","",IF(AND(E54&gt;I54,E54&lt;&gt;T54),IF(VLOOKUP(A54,Test_Limits,5,FALSE)="PF","Fail","Info"),"Pass"))</f>
        <v>Pass</v>
      </c>
      <c r="K54" s="328"/>
      <c r="L54" s="328"/>
      <c r="Q54" s="272"/>
      <c r="R54" s="320">
        <f t="shared" si="0"/>
        <v>-1000000</v>
      </c>
      <c r="S54" s="320">
        <f t="shared" si="1"/>
        <v>1000000</v>
      </c>
      <c r="T54" s="320" t="str">
        <f>IF(VLOOKUP(A54,Test_Limits,7,FALSE)&lt;&gt;"",VLOOKUP(A54,Test_Limits,7,FALSE),"")</f>
        <v/>
      </c>
      <c r="U54" s="320">
        <f>IF(F54="",0,VLOOKUP(A54,Test_Limits,8,FALSE))</f>
        <v>1</v>
      </c>
      <c r="V54" s="320">
        <f t="shared" si="2"/>
        <v>1</v>
      </c>
      <c r="W54" s="321">
        <f>VLOOKUP(A54,Test_Limits,6,FALSE)</f>
        <v>1</v>
      </c>
      <c r="X54" s="272"/>
    </row>
    <row r="55" spans="1:24" ht="13.8" x14ac:dyDescent="0.3">
      <c r="A55" s="9" t="s">
        <v>392</v>
      </c>
      <c r="B55" s="21">
        <v>0</v>
      </c>
      <c r="C55" s="65" t="s">
        <v>684</v>
      </c>
      <c r="D55" s="106">
        <f>IF(C55="","",MIN(B55:B55))</f>
        <v>0</v>
      </c>
      <c r="E55" s="103">
        <f>IF(C55="","",MAX(B55:B55))</f>
        <v>0</v>
      </c>
      <c r="F55" s="64">
        <f>IF(C55="","",IF(C55="    N/A","",IF(COUNTIF(B55:B55,"&gt;-1")&gt;0,ROUND((SUM(B55:B55)+COUNTIF(B55:B55,-1))/COUNTIF(B55:B55,"&gt;-1"),W55),ROUND(AVERAGE(B55:B55),W55))))</f>
        <v>0</v>
      </c>
      <c r="G55" s="106">
        <f>IF(F55="","",IF(VLOOKUP(A55,Test_Limits,2,FALSE)="","",VLOOKUP(A55,Test_Limits,2,FALSE)))</f>
        <v>0</v>
      </c>
      <c r="H55" s="77" t="str">
        <f>IF(G55="","",IF(AND(D55&lt;G55,D55&lt;&gt;T55),IF(VLOOKUP(A55,Test_Limits,5,FALSE)="PF","Fail","Info"),"Pass"))</f>
        <v>Pass</v>
      </c>
      <c r="I55" s="103">
        <f>IF(F55="","",IF(VLOOKUP(A55,Test_Limits,3,FALSE)="","",VLOOKUP(A55,Test_Limits,3,FALSE)))</f>
        <v>0</v>
      </c>
      <c r="J55" s="77" t="str">
        <f>IF(I55="","",IF(AND(E55&gt;I55,E55&lt;&gt;T55),IF(VLOOKUP(A55,Test_Limits,5,FALSE)="PF","Fail","Info"),"Pass"))</f>
        <v>Pass</v>
      </c>
      <c r="K55" s="328"/>
      <c r="L55" s="328"/>
      <c r="Q55" s="272"/>
      <c r="R55" s="320">
        <f t="shared" si="0"/>
        <v>-1000000</v>
      </c>
      <c r="S55" s="320">
        <f t="shared" si="1"/>
        <v>1000000</v>
      </c>
      <c r="T55" s="320" t="str">
        <f>IF(VLOOKUP(A55,Test_Limits,7,FALSE)&lt;&gt;"",VLOOKUP(A55,Test_Limits,7,FALSE),"")</f>
        <v/>
      </c>
      <c r="U55" s="320">
        <f>IF(F55="",0,VLOOKUP(A55,Test_Limits,8,FALSE))</f>
        <v>3</v>
      </c>
      <c r="V55" s="320">
        <f t="shared" si="2"/>
        <v>3</v>
      </c>
      <c r="W55" s="321">
        <f>VLOOKUP(A55,Test_Limits,6,FALSE)</f>
        <v>1</v>
      </c>
      <c r="X55" s="272"/>
    </row>
    <row r="56" spans="1:24" ht="13.8" x14ac:dyDescent="0.3">
      <c r="A56" s="9" t="s">
        <v>104</v>
      </c>
      <c r="B56" s="21">
        <v>98</v>
      </c>
      <c r="C56" s="65" t="s">
        <v>688</v>
      </c>
      <c r="D56" s="106">
        <f>IF(C56="","",MIN(B56:B56))</f>
        <v>98</v>
      </c>
      <c r="E56" s="103">
        <f>IF(C56="","",MAX(B56:B56))</f>
        <v>98</v>
      </c>
      <c r="F56" s="64">
        <f>IF(C56="","",IF(C56="    N/A","",IF(COUNTIF(B56:B56,"&gt;-1")&gt;0,ROUND((SUM(B56:B56)+COUNTIF(B56:B56,-1))/COUNTIF(B56:B56,"&gt;-1"),W56),ROUND(AVERAGE(B56:B56),W56))))</f>
        <v>98</v>
      </c>
      <c r="G56" s="106">
        <f>IF(F56="","",IF(VLOOKUP(A56,Test_Limits,2,FALSE)="","",VLOOKUP(A56,Test_Limits,2,FALSE)))</f>
        <v>15</v>
      </c>
      <c r="H56" s="77" t="str">
        <f>IF(G56="","",IF(AND(D56&lt;G56,D56&lt;&gt;T56),IF(VLOOKUP(A56,Test_Limits,5,FALSE)="PF","Fail","Info"),"Pass"))</f>
        <v>Pass</v>
      </c>
      <c r="I56" s="103">
        <f>IF(F56="","",IF(VLOOKUP(A56,Test_Limits,3,FALSE)="","",VLOOKUP(A56,Test_Limits,3,FALSE)))</f>
        <v>10000</v>
      </c>
      <c r="J56" s="77" t="str">
        <f>IF(I56="","",IF(AND(E56&gt;I56,E56&lt;&gt;T56),IF(VLOOKUP(A56,Test_Limits,5,FALSE)="PF","Fail","Info"),"Pass"))</f>
        <v>Pass</v>
      </c>
      <c r="K56" s="328"/>
      <c r="L56" s="328"/>
      <c r="Q56" s="272"/>
      <c r="R56" s="320">
        <f t="shared" si="0"/>
        <v>-1000000</v>
      </c>
      <c r="S56" s="320">
        <f t="shared" si="1"/>
        <v>1000000</v>
      </c>
      <c r="T56" s="320" t="str">
        <f>IF(VLOOKUP(A56,Test_Limits,7,FALSE)&lt;&gt;"",VLOOKUP(A56,Test_Limits,7,FALSE),"")</f>
        <v/>
      </c>
      <c r="U56" s="320">
        <f>IF(F56="",0,VLOOKUP(A56,Test_Limits,8,FALSE))</f>
        <v>1</v>
      </c>
      <c r="V56" s="320">
        <f t="shared" si="2"/>
        <v>1</v>
      </c>
      <c r="W56" s="321">
        <f>VLOOKUP(A56,Test_Limits,6,FALSE)</f>
        <v>1</v>
      </c>
      <c r="X56" s="272"/>
    </row>
    <row r="57" spans="1:24" ht="13.8" x14ac:dyDescent="0.3">
      <c r="A57" s="9" t="s">
        <v>666</v>
      </c>
      <c r="B57" s="21"/>
      <c r="C57" s="65"/>
      <c r="D57" s="106" t="str">
        <f>IF(C57="","",MIN(B57:B57))</f>
        <v/>
      </c>
      <c r="E57" s="103" t="str">
        <f>IF(C57="","",MAX(B57:B57))</f>
        <v/>
      </c>
      <c r="F57" s="64" t="str">
        <f>IF(C57="","",IF(C57="    N/A","",IF(COUNTIF(B57:B57,"&gt;-1")&gt;0,ROUND((SUM(B57:B57)+COUNTIF(B57:B57,-1))/COUNTIF(B57:B57,"&gt;-1"),W57),ROUND(AVERAGE(B57:B57),W57))))</f>
        <v/>
      </c>
      <c r="G57" s="106" t="str">
        <f>IF(F57="","",IF(VLOOKUP(A57,Test_Limits,2,FALSE)="","",VLOOKUP(A57,Test_Limits,2,FALSE)))</f>
        <v/>
      </c>
      <c r="H57" s="77" t="str">
        <f>IF(G57="","",IF(AND(D57&lt;G57,D57&lt;&gt;T57),IF(VLOOKUP(A57,Test_Limits,5,FALSE)="PF","Fail","Info"),"Pass"))</f>
        <v/>
      </c>
      <c r="I57" s="103" t="str">
        <f>IF(F57="","",IF(VLOOKUP(A57,Test_Limits,3,FALSE)="","",VLOOKUP(A57,Test_Limits,3,FALSE)))</f>
        <v/>
      </c>
      <c r="J57" s="77" t="str">
        <f>IF(I57="","",IF(AND(E57&gt;I57,E57&lt;&gt;T57),IF(VLOOKUP(A57,Test_Limits,5,FALSE)="PF","Fail","Info"),"Pass"))</f>
        <v/>
      </c>
      <c r="K57" s="328"/>
      <c r="L57" s="328"/>
      <c r="Q57" s="272"/>
      <c r="R57" s="320">
        <f t="shared" si="0"/>
        <v>-1000000</v>
      </c>
      <c r="S57" s="320">
        <f t="shared" si="1"/>
        <v>1000000</v>
      </c>
      <c r="T57" s="320" t="e">
        <f>IF(VLOOKUP(A57,Test_Limits,7,FALSE)&lt;&gt;"",VLOOKUP(A57,Test_Limits,7,FALSE),"")</f>
        <v>#N/A</v>
      </c>
      <c r="U57" s="320">
        <f>IF(F57="",0,VLOOKUP(A57,Test_Limits,8,FALSE))</f>
        <v>0</v>
      </c>
      <c r="V57" s="320">
        <f t="shared" si="2"/>
        <v>0</v>
      </c>
      <c r="W57" s="321" t="e">
        <f>VLOOKUP(A57,Test_Limits,6,FALSE)</f>
        <v>#N/A</v>
      </c>
      <c r="X57" s="272"/>
    </row>
    <row r="58" spans="1:24" ht="13.8" x14ac:dyDescent="0.3">
      <c r="A58" s="9" t="s">
        <v>616</v>
      </c>
      <c r="B58" s="21">
        <v>90</v>
      </c>
      <c r="C58" s="65" t="s">
        <v>689</v>
      </c>
      <c r="D58" s="106">
        <f>IF(C58="","",MIN(B58:B58))</f>
        <v>90</v>
      </c>
      <c r="E58" s="103">
        <f>IF(C58="","",MAX(B58:B58))</f>
        <v>90</v>
      </c>
      <c r="F58" s="64">
        <f>IF(C58="","",IF(C58="    N/A","",IF(COUNTIF(B58:B58,"&gt;-1")&gt;0,ROUND((SUM(B58:B58)+COUNTIF(B58:B58,-1))/COUNTIF(B58:B58,"&gt;-1"),W58),ROUND(AVERAGE(B58:B58),W58))))</f>
        <v>90</v>
      </c>
      <c r="G58" s="106">
        <f>IF(F58="","",IF(VLOOKUP(A58,Test_Limits,2,FALSE)="","",VLOOKUP(A58,Test_Limits,2,FALSE)))</f>
        <v>15</v>
      </c>
      <c r="H58" s="77" t="str">
        <f>IF(G58="","",IF(AND(D58&lt;G58,D58&lt;&gt;T58),IF(VLOOKUP(A58,Test_Limits,5,FALSE)="PF","Fail","Info"),"Pass"))</f>
        <v>Pass</v>
      </c>
      <c r="I58" s="103">
        <f>IF(F58="","",IF(VLOOKUP(A58,Test_Limits,3,FALSE)="","",VLOOKUP(A58,Test_Limits,3,FALSE)))</f>
        <v>50000</v>
      </c>
      <c r="J58" s="77" t="str">
        <f>IF(I58="","",IF(AND(E58&gt;I58,E58&lt;&gt;T58),IF(VLOOKUP(A58,Test_Limits,5,FALSE)="PF","Fail","Info"),"Pass"))</f>
        <v>Pass</v>
      </c>
      <c r="K58" s="328"/>
      <c r="L58" s="328"/>
      <c r="Q58" s="272"/>
      <c r="R58" s="320">
        <f t="shared" si="0"/>
        <v>-1000000</v>
      </c>
      <c r="S58" s="320">
        <f t="shared" si="1"/>
        <v>1000000</v>
      </c>
      <c r="T58" s="320" t="str">
        <f>IF(VLOOKUP(A58,Test_Limits,7,FALSE)&lt;&gt;"",VLOOKUP(A58,Test_Limits,7,FALSE),"")</f>
        <v/>
      </c>
      <c r="U58" s="320">
        <f>IF(F58="",0,VLOOKUP(A58,Test_Limits,8,FALSE))</f>
        <v>1</v>
      </c>
      <c r="V58" s="320">
        <f t="shared" si="2"/>
        <v>1</v>
      </c>
      <c r="W58" s="321">
        <f>VLOOKUP(A58,Test_Limits,6,FALSE)</f>
        <v>0</v>
      </c>
      <c r="X58" s="272"/>
    </row>
    <row r="59" spans="1:24" ht="13.8" x14ac:dyDescent="0.3">
      <c r="A59" s="9" t="s">
        <v>617</v>
      </c>
      <c r="B59" s="21">
        <v>11.7</v>
      </c>
      <c r="C59" s="65" t="s">
        <v>688</v>
      </c>
      <c r="D59" s="106">
        <f>IF(C59="","",MIN(B59:B59))</f>
        <v>11.7</v>
      </c>
      <c r="E59" s="103">
        <f>IF(C59="","",MAX(B59:B59))</f>
        <v>11.7</v>
      </c>
      <c r="F59" s="64">
        <f>IF(C59="","",IF(C59="    N/A","",IF(COUNTIF(B59:B59,"&gt;-1")&gt;0,ROUND((SUM(B59:B59)+COUNTIF(B59:B59,-1))/COUNTIF(B59:B59,"&gt;-1"),W59),ROUND(AVERAGE(B59:B59),W59))))</f>
        <v>11.7</v>
      </c>
      <c r="G59" s="106">
        <f>IF(F59="","",IF(VLOOKUP(A59,Test_Limits,2,FALSE)="","",VLOOKUP(A59,Test_Limits,2,FALSE)))</f>
        <v>0</v>
      </c>
      <c r="H59" s="77" t="str">
        <f>IF(G59="","",IF(AND(D59&lt;G59,D59&lt;&gt;T59),IF(VLOOKUP(A59,Test_Limits,5,FALSE)="PF","Fail","Info"),"Pass"))</f>
        <v>Pass</v>
      </c>
      <c r="I59" s="103">
        <f>IF(F59="","",IF(VLOOKUP(A59,Test_Limits,3,FALSE)="","",VLOOKUP(A59,Test_Limits,3,FALSE)))</f>
        <v>400</v>
      </c>
      <c r="J59" s="77" t="str">
        <f>IF(I59="","",IF(AND(E59&gt;I59,E59&lt;&gt;T59),IF(VLOOKUP(A59,Test_Limits,5,FALSE)="PF","Fail","Info"),"Pass"))</f>
        <v>Pass</v>
      </c>
      <c r="K59" s="328"/>
      <c r="L59" s="328"/>
      <c r="Q59" s="272"/>
      <c r="R59" s="320">
        <f t="shared" si="0"/>
        <v>-1000000</v>
      </c>
      <c r="S59" s="320">
        <f t="shared" si="1"/>
        <v>1000000</v>
      </c>
      <c r="T59" s="320" t="str">
        <f>IF(VLOOKUP(A59,Test_Limits,7,FALSE)&lt;&gt;"",VLOOKUP(A59,Test_Limits,7,FALSE),"")</f>
        <v/>
      </c>
      <c r="U59" s="320">
        <f>IF(F59="",0,VLOOKUP(A59,Test_Limits,8,FALSE))</f>
        <v>0</v>
      </c>
      <c r="V59" s="320">
        <f t="shared" si="2"/>
        <v>0</v>
      </c>
      <c r="W59" s="321">
        <f>VLOOKUP(A59,Test_Limits,6,FALSE)</f>
        <v>1</v>
      </c>
      <c r="X59" s="272"/>
    </row>
    <row r="60" spans="1:24" ht="13.8" x14ac:dyDescent="0.3">
      <c r="A60" s="9" t="s">
        <v>619</v>
      </c>
      <c r="B60" s="21">
        <v>98</v>
      </c>
      <c r="C60" s="65" t="s">
        <v>689</v>
      </c>
      <c r="D60" s="106">
        <f>IF(C60="","",MIN(B60:B60))</f>
        <v>98</v>
      </c>
      <c r="E60" s="103">
        <f>IF(C60="","",MAX(B60:B60))</f>
        <v>98</v>
      </c>
      <c r="F60" s="64">
        <f>IF(C60="","",IF(C60="    N/A","",IF(COUNTIF(B60:B60,"&gt;-1")&gt;0,ROUND((SUM(B60:B60)+COUNTIF(B60:B60,-1))/COUNTIF(B60:B60,"&gt;-1"),W60),ROUND(AVERAGE(B60:B60),W60))))</f>
        <v>98</v>
      </c>
      <c r="G60" s="106">
        <f>IF(F60="","",IF(VLOOKUP(A60,Test_Limits,2,FALSE)="","",VLOOKUP(A60,Test_Limits,2,FALSE)))</f>
        <v>15</v>
      </c>
      <c r="H60" s="77" t="str">
        <f>IF(G60="","",IF(AND(D60&lt;G60,D60&lt;&gt;T60),IF(VLOOKUP(A60,Test_Limits,5,FALSE)="PF","Fail","Info"),"Pass"))</f>
        <v>Pass</v>
      </c>
      <c r="I60" s="103">
        <f>IF(F60="","",IF(VLOOKUP(A60,Test_Limits,3,FALSE)="","",VLOOKUP(A60,Test_Limits,3,FALSE)))</f>
        <v>50000</v>
      </c>
      <c r="J60" s="77" t="str">
        <f>IF(I60="","",IF(AND(E60&gt;I60,E60&lt;&gt;T60),IF(VLOOKUP(A60,Test_Limits,5,FALSE)="PF","Fail","Info"),"Pass"))</f>
        <v>Pass</v>
      </c>
      <c r="K60" s="328"/>
      <c r="L60" s="328"/>
      <c r="Q60" s="272"/>
      <c r="R60" s="320">
        <f t="shared" si="0"/>
        <v>-1000000</v>
      </c>
      <c r="S60" s="320">
        <f t="shared" si="1"/>
        <v>1000000</v>
      </c>
      <c r="T60" s="320" t="str">
        <f>IF(VLOOKUP(A60,Test_Limits,7,FALSE)&lt;&gt;"",VLOOKUP(A60,Test_Limits,7,FALSE),"")</f>
        <v/>
      </c>
      <c r="U60" s="320">
        <f>IF(F60="",0,VLOOKUP(A60,Test_Limits,8,FALSE))</f>
        <v>1</v>
      </c>
      <c r="V60" s="320">
        <f t="shared" si="2"/>
        <v>1</v>
      </c>
      <c r="W60" s="321">
        <f>VLOOKUP(A60,Test_Limits,6,FALSE)</f>
        <v>0</v>
      </c>
      <c r="X60" s="272"/>
    </row>
    <row r="61" spans="1:24" ht="13.8" x14ac:dyDescent="0.3">
      <c r="A61" s="9" t="s">
        <v>618</v>
      </c>
      <c r="B61" s="21">
        <v>39.1</v>
      </c>
      <c r="C61" s="65" t="s">
        <v>688</v>
      </c>
      <c r="D61" s="106">
        <f>IF(C61="","",MIN(B61:B61))</f>
        <v>39.1</v>
      </c>
      <c r="E61" s="103">
        <f>IF(C61="","",MAX(B61:B61))</f>
        <v>39.1</v>
      </c>
      <c r="F61" s="64">
        <f>IF(C61="","",IF(C61="    N/A","",IF(COUNTIF(B61:B61,"&gt;-1")&gt;0,ROUND((SUM(B61:B61)+COUNTIF(B61:B61,-1))/COUNTIF(B61:B61,"&gt;-1"),W61),ROUND(AVERAGE(B61:B61),W61))))</f>
        <v>39.1</v>
      </c>
      <c r="G61" s="106">
        <f>IF(F61="","",IF(VLOOKUP(A61,Test_Limits,2,FALSE)="","",VLOOKUP(A61,Test_Limits,2,FALSE)))</f>
        <v>0</v>
      </c>
      <c r="H61" s="77" t="str">
        <f>IF(G61="","",IF(AND(D61&lt;G61,D61&lt;&gt;T61),IF(VLOOKUP(A61,Test_Limits,5,FALSE)="PF","Fail","Info"),"Pass"))</f>
        <v>Pass</v>
      </c>
      <c r="I61" s="103">
        <f>IF(F61="","",IF(VLOOKUP(A61,Test_Limits,3,FALSE)="","",VLOOKUP(A61,Test_Limits,3,FALSE)))</f>
        <v>400</v>
      </c>
      <c r="J61" s="77" t="str">
        <f>IF(I61="","",IF(AND(E61&gt;I61,E61&lt;&gt;T61),IF(VLOOKUP(A61,Test_Limits,5,FALSE)="PF","Fail","Info"),"Pass"))</f>
        <v>Pass</v>
      </c>
      <c r="K61" s="328"/>
      <c r="L61" s="328"/>
      <c r="Q61" s="272"/>
      <c r="R61" s="320">
        <f t="shared" si="0"/>
        <v>-1000000</v>
      </c>
      <c r="S61" s="320">
        <f t="shared" si="1"/>
        <v>1000000</v>
      </c>
      <c r="T61" s="320" t="str">
        <f>IF(VLOOKUP(A61,Test_Limits,7,FALSE)&lt;&gt;"",VLOOKUP(A61,Test_Limits,7,FALSE),"")</f>
        <v/>
      </c>
      <c r="U61" s="320">
        <f>IF(F61="",0,VLOOKUP(A61,Test_Limits,8,FALSE))</f>
        <v>0</v>
      </c>
      <c r="V61" s="320">
        <f t="shared" si="2"/>
        <v>0</v>
      </c>
      <c r="W61" s="321">
        <f>VLOOKUP(A61,Test_Limits,6,FALSE)</f>
        <v>1</v>
      </c>
      <c r="X61" s="272"/>
    </row>
    <row r="62" spans="1:24" ht="13.8" x14ac:dyDescent="0.3">
      <c r="A62" s="9" t="s">
        <v>667</v>
      </c>
      <c r="B62" s="21"/>
      <c r="C62" s="65"/>
      <c r="D62" s="106" t="str">
        <f>IF(C62="","",MIN(B62:B62))</f>
        <v/>
      </c>
      <c r="E62" s="103" t="str">
        <f>IF(C62="","",MAX(B62:B62))</f>
        <v/>
      </c>
      <c r="F62" s="64" t="str">
        <f>IF(C62="","",IF(C62="    N/A","",IF(COUNTIF(B62:B62,"&gt;-1")&gt;0,ROUND((SUM(B62:B62)+COUNTIF(B62:B62,-1))/COUNTIF(B62:B62,"&gt;-1"),W62),ROUND(AVERAGE(B62:B62),W62))))</f>
        <v/>
      </c>
      <c r="G62" s="106" t="str">
        <f>IF(F62="","",IF(VLOOKUP(A62,Test_Limits,2,FALSE)="","",VLOOKUP(A62,Test_Limits,2,FALSE)))</f>
        <v/>
      </c>
      <c r="H62" s="77" t="str">
        <f>IF(G62="","",IF(AND(D62&lt;G62,D62&lt;&gt;T62),IF(VLOOKUP(A62,Test_Limits,5,FALSE)="PF","Fail","Info"),"Pass"))</f>
        <v/>
      </c>
      <c r="I62" s="103" t="str">
        <f>IF(F62="","",IF(VLOOKUP(A62,Test_Limits,3,FALSE)="","",VLOOKUP(A62,Test_Limits,3,FALSE)))</f>
        <v/>
      </c>
      <c r="J62" s="77" t="str">
        <f>IF(I62="","",IF(AND(E62&gt;I62,E62&lt;&gt;T62),IF(VLOOKUP(A62,Test_Limits,5,FALSE)="PF","Fail","Info"),"Pass"))</f>
        <v/>
      </c>
      <c r="K62" s="328"/>
      <c r="L62" s="328"/>
      <c r="Q62" s="272"/>
      <c r="R62" s="320">
        <f t="shared" si="0"/>
        <v>-1000000</v>
      </c>
      <c r="S62" s="320">
        <f t="shared" si="1"/>
        <v>1000000</v>
      </c>
      <c r="T62" s="320" t="e">
        <f>IF(VLOOKUP(A62,Test_Limits,7,FALSE)&lt;&gt;"",VLOOKUP(A62,Test_Limits,7,FALSE),"")</f>
        <v>#N/A</v>
      </c>
      <c r="U62" s="320">
        <f>IF(F62="",0,VLOOKUP(A62,Test_Limits,8,FALSE))</f>
        <v>0</v>
      </c>
      <c r="V62" s="320">
        <f t="shared" si="2"/>
        <v>0</v>
      </c>
      <c r="W62" s="321" t="e">
        <f>VLOOKUP(A62,Test_Limits,6,FALSE)</f>
        <v>#N/A</v>
      </c>
      <c r="X62" s="272"/>
    </row>
    <row r="63" spans="1:24" ht="13.8" x14ac:dyDescent="0.3">
      <c r="A63" s="9" t="s">
        <v>300</v>
      </c>
      <c r="B63" s="21">
        <v>431.63</v>
      </c>
      <c r="C63" s="65" t="s">
        <v>685</v>
      </c>
      <c r="D63" s="106">
        <f>IF(C63="","",MIN(B63:B63))</f>
        <v>431.63</v>
      </c>
      <c r="E63" s="103">
        <f>IF(C63="","",MAX(B63:B63))</f>
        <v>431.63</v>
      </c>
      <c r="F63" s="64">
        <f>IF(C63="","",IF(C63="    N/A","",IF(COUNTIF(B63:B63,"&gt;-1")&gt;0,ROUND((SUM(B63:B63)+COUNTIF(B63:B63,-1))/COUNTIF(B63:B63,"&gt;-1"),W63),ROUND(AVERAGE(B63:B63),W63))))</f>
        <v>431.6</v>
      </c>
      <c r="G63" s="106">
        <f>IF(F63="","",IF(VLOOKUP(A63,Test_Limits,2,FALSE)="","",VLOOKUP(A63,Test_Limits,2,FALSE)))</f>
        <v>400</v>
      </c>
      <c r="H63" s="77" t="str">
        <f>IF(G63="","",IF(AND(D63&lt;G63,D63&lt;&gt;T63),IF(VLOOKUP(A63,Test_Limits,5,FALSE)="PF","Fail","Info"),"Pass"))</f>
        <v>Pass</v>
      </c>
      <c r="I63" s="103">
        <f>IF(F63="","",IF(VLOOKUP(A63,Test_Limits,3,FALSE)="","",VLOOKUP(A63,Test_Limits,3,FALSE)))</f>
        <v>450</v>
      </c>
      <c r="J63" s="77" t="str">
        <f>IF(I63="","",IF(AND(E63&gt;I63,E63&lt;&gt;T63),IF(VLOOKUP(A63,Test_Limits,5,FALSE)="PF","Fail","Info"),"Pass"))</f>
        <v>Pass</v>
      </c>
      <c r="K63" s="328"/>
      <c r="L63" s="328"/>
      <c r="Q63" s="272"/>
      <c r="R63" s="320">
        <f t="shared" si="0"/>
        <v>-1000000</v>
      </c>
      <c r="S63" s="320">
        <f t="shared" si="1"/>
        <v>1000000</v>
      </c>
      <c r="T63" s="320" t="str">
        <f>IF(VLOOKUP(A63,Test_Limits,7,FALSE)&lt;&gt;"",VLOOKUP(A63,Test_Limits,7,FALSE),"")</f>
        <v/>
      </c>
      <c r="U63" s="320">
        <f>IF(F63="",0,VLOOKUP(A63,Test_Limits,8,FALSE))</f>
        <v>3</v>
      </c>
      <c r="V63" s="320">
        <f t="shared" si="2"/>
        <v>3</v>
      </c>
      <c r="W63" s="321">
        <f>VLOOKUP(A63,Test_Limits,6,FALSE)</f>
        <v>1</v>
      </c>
      <c r="X63" s="272"/>
    </row>
    <row r="64" spans="1:24" ht="13.8" x14ac:dyDescent="0.3">
      <c r="A64" s="9" t="s">
        <v>117</v>
      </c>
      <c r="B64" s="21">
        <v>430.5</v>
      </c>
      <c r="C64" s="65" t="s">
        <v>685</v>
      </c>
      <c r="D64" s="106">
        <f>IF(C64="","",MIN(B64:B64))</f>
        <v>430.5</v>
      </c>
      <c r="E64" s="103">
        <f>IF(C64="","",MAX(B64:B64))</f>
        <v>430.5</v>
      </c>
      <c r="F64" s="64">
        <f>IF(C64="","",IF(C64="    N/A","",IF(COUNTIF(B64:B64,"&gt;-1")&gt;0,ROUND((SUM(B64:B64)+COUNTIF(B64:B64,-1))/COUNTIF(B64:B64,"&gt;-1"),W64),ROUND(AVERAGE(B64:B64),W64))))</f>
        <v>430.5</v>
      </c>
      <c r="G64" s="106">
        <f>IF(F64="","",IF(VLOOKUP(A64,Test_Limits,2,FALSE)="","",VLOOKUP(A64,Test_Limits,2,FALSE)))</f>
        <v>400</v>
      </c>
      <c r="H64" s="77" t="str">
        <f>IF(G64="","",IF(AND(D64&lt;G64,D64&lt;&gt;T64),IF(VLOOKUP(A64,Test_Limits,5,FALSE)="PF","Fail","Info"),"Pass"))</f>
        <v>Pass</v>
      </c>
      <c r="I64" s="103">
        <f>IF(F64="","",IF(VLOOKUP(A64,Test_Limits,3,FALSE)="","",VLOOKUP(A64,Test_Limits,3,FALSE)))</f>
        <v>450</v>
      </c>
      <c r="J64" s="77" t="str">
        <f>IF(I64="","",IF(AND(E64&gt;I64,E64&lt;&gt;T64),IF(VLOOKUP(A64,Test_Limits,5,FALSE)="PF","Fail","Info"),"Pass"))</f>
        <v>Pass</v>
      </c>
      <c r="K64" s="328"/>
      <c r="L64" s="328"/>
      <c r="Q64" s="272"/>
      <c r="R64" s="320">
        <f t="shared" si="0"/>
        <v>-1000000</v>
      </c>
      <c r="S64" s="320">
        <f t="shared" si="1"/>
        <v>1000000</v>
      </c>
      <c r="T64" s="320" t="str">
        <f>IF(VLOOKUP(A64,Test_Limits,7,FALSE)&lt;&gt;"",VLOOKUP(A64,Test_Limits,7,FALSE),"")</f>
        <v/>
      </c>
      <c r="U64" s="320">
        <f>IF(F64="",0,VLOOKUP(A64,Test_Limits,8,FALSE))</f>
        <v>3</v>
      </c>
      <c r="V64" s="320">
        <f t="shared" si="2"/>
        <v>3</v>
      </c>
      <c r="W64" s="321">
        <f>VLOOKUP(A64,Test_Limits,6,FALSE)</f>
        <v>1</v>
      </c>
      <c r="X64" s="272"/>
    </row>
    <row r="65" spans="1:24" ht="13.8" x14ac:dyDescent="0.3">
      <c r="A65" s="9" t="s">
        <v>118</v>
      </c>
      <c r="B65" s="21">
        <v>430.5</v>
      </c>
      <c r="C65" s="65" t="s">
        <v>685</v>
      </c>
      <c r="D65" s="106">
        <f>IF(C65="","",MIN(B65:B65))</f>
        <v>430.5</v>
      </c>
      <c r="E65" s="103">
        <f>IF(C65="","",MAX(B65:B65))</f>
        <v>430.5</v>
      </c>
      <c r="F65" s="64">
        <f>IF(C65="","",IF(C65="    N/A","",IF(COUNTIF(B65:B65,"&gt;-1")&gt;0,ROUND((SUM(B65:B65)+COUNTIF(B65:B65,-1))/COUNTIF(B65:B65,"&gt;-1"),W65),ROUND(AVERAGE(B65:B65),W65))))</f>
        <v>430.5</v>
      </c>
      <c r="G65" s="106">
        <f>IF(F65="","",IF(VLOOKUP(A65,Test_Limits,2,FALSE)="","",VLOOKUP(A65,Test_Limits,2,FALSE)))</f>
        <v>400</v>
      </c>
      <c r="H65" s="77" t="str">
        <f>IF(G65="","",IF(AND(D65&lt;G65,D65&lt;&gt;T65),IF(VLOOKUP(A65,Test_Limits,5,FALSE)="PF","Fail","Info"),"Pass"))</f>
        <v>Pass</v>
      </c>
      <c r="I65" s="103">
        <f>IF(F65="","",IF(VLOOKUP(A65,Test_Limits,3,FALSE)="","",VLOOKUP(A65,Test_Limits,3,FALSE)))</f>
        <v>450</v>
      </c>
      <c r="J65" s="77" t="str">
        <f>IF(I65="","",IF(AND(E65&gt;I65,E65&lt;&gt;T65),IF(VLOOKUP(A65,Test_Limits,5,FALSE)="PF","Fail","Info"),"Pass"))</f>
        <v>Pass</v>
      </c>
      <c r="K65" s="328"/>
      <c r="L65" s="328"/>
      <c r="Q65" s="272"/>
      <c r="R65" s="320">
        <f t="shared" si="0"/>
        <v>-1000000</v>
      </c>
      <c r="S65" s="320">
        <f t="shared" si="1"/>
        <v>1000000</v>
      </c>
      <c r="T65" s="320" t="str">
        <f>IF(VLOOKUP(A65,Test_Limits,7,FALSE)&lt;&gt;"",VLOOKUP(A65,Test_Limits,7,FALSE),"")</f>
        <v/>
      </c>
      <c r="U65" s="320">
        <f>IF(F65="",0,VLOOKUP(A65,Test_Limits,8,FALSE))</f>
        <v>3</v>
      </c>
      <c r="V65" s="320">
        <f t="shared" si="2"/>
        <v>3</v>
      </c>
      <c r="W65" s="321">
        <f>VLOOKUP(A65,Test_Limits,6,FALSE)</f>
        <v>1</v>
      </c>
      <c r="X65" s="272"/>
    </row>
    <row r="66" spans="1:24" ht="13.8" x14ac:dyDescent="0.3">
      <c r="A66" s="9" t="s">
        <v>314</v>
      </c>
      <c r="B66" s="21">
        <v>430</v>
      </c>
      <c r="C66" s="65" t="s">
        <v>685</v>
      </c>
      <c r="D66" s="106">
        <f>IF(C66="","",MIN(B66:B66))</f>
        <v>430</v>
      </c>
      <c r="E66" s="103">
        <f>IF(C66="","",MAX(B66:B66))</f>
        <v>430</v>
      </c>
      <c r="F66" s="64">
        <f>IF(C66="","",IF(C66="    N/A","",IF(COUNTIF(B66:B66,"&gt;-1")&gt;0,ROUND((SUM(B66:B66)+COUNTIF(B66:B66,-1))/COUNTIF(B66:B66,"&gt;-1"),W66),ROUND(AVERAGE(B66:B66),W66))))</f>
        <v>430</v>
      </c>
      <c r="G66" s="106">
        <f>IF(F66="","",IF(VLOOKUP(A66,Test_Limits,2,FALSE)="","",VLOOKUP(A66,Test_Limits,2,FALSE)))</f>
        <v>400</v>
      </c>
      <c r="H66" s="77" t="str">
        <f>IF(G66="","",IF(AND(D66&lt;G66,D66&lt;&gt;T66),IF(VLOOKUP(A66,Test_Limits,5,FALSE)="PF","Fail","Info"),"Pass"))</f>
        <v>Pass</v>
      </c>
      <c r="I66" s="103">
        <f>IF(F66="","",IF(VLOOKUP(A66,Test_Limits,3,FALSE)="","",VLOOKUP(A66,Test_Limits,3,FALSE)))</f>
        <v>450</v>
      </c>
      <c r="J66" s="77" t="str">
        <f>IF(I66="","",IF(AND(E66&gt;I66,E66&lt;&gt;T66),IF(VLOOKUP(A66,Test_Limits,5,FALSE)="PF","Fail","Info"),"Pass"))</f>
        <v>Pass</v>
      </c>
      <c r="K66" s="328"/>
      <c r="L66" s="328"/>
      <c r="Q66" s="272"/>
      <c r="R66" s="320">
        <f t="shared" si="0"/>
        <v>-1000000</v>
      </c>
      <c r="S66" s="320">
        <f t="shared" si="1"/>
        <v>1000000</v>
      </c>
      <c r="T66" s="320" t="str">
        <f>IF(VLOOKUP(A66,Test_Limits,7,FALSE)&lt;&gt;"",VLOOKUP(A66,Test_Limits,7,FALSE),"")</f>
        <v/>
      </c>
      <c r="U66" s="320">
        <f>IF(F66="",0,VLOOKUP(A66,Test_Limits,8,FALSE))</f>
        <v>5</v>
      </c>
      <c r="V66" s="320">
        <f t="shared" si="2"/>
        <v>5</v>
      </c>
      <c r="W66" s="321">
        <f>VLOOKUP(A66,Test_Limits,6,FALSE)</f>
        <v>1</v>
      </c>
      <c r="X66" s="272"/>
    </row>
    <row r="67" spans="1:24" ht="13.8" x14ac:dyDescent="0.3">
      <c r="A67" s="9" t="s">
        <v>105</v>
      </c>
      <c r="B67" s="21">
        <v>60</v>
      </c>
      <c r="C67" s="65" t="s">
        <v>688</v>
      </c>
      <c r="D67" s="106">
        <f>IF(C67="","",MIN(B67:B67))</f>
        <v>60</v>
      </c>
      <c r="E67" s="103">
        <f>IF(C67="","",MAX(B67:B67))</f>
        <v>60</v>
      </c>
      <c r="F67" s="64">
        <f>IF(C67="","",IF(C67="    N/A","",IF(COUNTIF(B67:B67,"&gt;-1")&gt;0,ROUND((SUM(B67:B67)+COUNTIF(B67:B67,-1))/COUNTIF(B67:B67,"&gt;-1"),W67),ROUND(AVERAGE(B67:B67),W67))))</f>
        <v>60</v>
      </c>
      <c r="G67" s="106">
        <f>IF(F67="","",IF(VLOOKUP(A67,Test_Limits,2,FALSE)="","",VLOOKUP(A67,Test_Limits,2,FALSE)))</f>
        <v>50</v>
      </c>
      <c r="H67" s="77" t="str">
        <f>IF(G67="","",IF(AND(D67&lt;G67,D67&lt;&gt;T67),IF(VLOOKUP(A67,Test_Limits,5,FALSE)="PF","Fail","Info"),"Pass"))</f>
        <v>Pass</v>
      </c>
      <c r="I67" s="103">
        <f>IF(F67="","",IF(VLOOKUP(A67,Test_Limits,3,FALSE)="","",VLOOKUP(A67,Test_Limits,3,FALSE)))</f>
        <v>75</v>
      </c>
      <c r="J67" s="77" t="str">
        <f>IF(I67="","",IF(AND(E67&gt;I67,E67&lt;&gt;T67),IF(VLOOKUP(A67,Test_Limits,5,FALSE)="PF","Fail","Info"),"Pass"))</f>
        <v>Pass</v>
      </c>
      <c r="K67" s="328"/>
      <c r="L67" s="328"/>
      <c r="Q67" s="272"/>
      <c r="R67" s="320">
        <f t="shared" si="0"/>
        <v>-1000000</v>
      </c>
      <c r="S67" s="320">
        <f t="shared" si="1"/>
        <v>1000000</v>
      </c>
      <c r="T67" s="320" t="str">
        <f>IF(VLOOKUP(A67,Test_Limits,7,FALSE)&lt;&gt;"",VLOOKUP(A67,Test_Limits,7,FALSE),"")</f>
        <v/>
      </c>
      <c r="U67" s="320">
        <f>IF(F67="",0,VLOOKUP(A67,Test_Limits,8,FALSE))</f>
        <v>5</v>
      </c>
      <c r="V67" s="320">
        <f t="shared" si="2"/>
        <v>5</v>
      </c>
      <c r="W67" s="321">
        <f>VLOOKUP(A67,Test_Limits,6,FALSE)</f>
        <v>1</v>
      </c>
      <c r="X67" s="272"/>
    </row>
    <row r="68" spans="1:24" ht="13.8" x14ac:dyDescent="0.3">
      <c r="A68" s="9" t="s">
        <v>106</v>
      </c>
      <c r="B68" s="21">
        <v>55</v>
      </c>
      <c r="C68" s="65" t="s">
        <v>681</v>
      </c>
      <c r="D68" s="106">
        <f>IF(C68="","",MIN(B68:B68))</f>
        <v>55</v>
      </c>
      <c r="E68" s="103">
        <f>IF(C68="","",MAX(B68:B68))</f>
        <v>55</v>
      </c>
      <c r="F68" s="64">
        <f>IF(C68="","",IF(C68="    N/A","",IF(COUNTIF(B68:B68,"&gt;-1")&gt;0,ROUND((SUM(B68:B68)+COUNTIF(B68:B68,-1))/COUNTIF(B68:B68,"&gt;-1"),W68),ROUND(AVERAGE(B68:B68),W68))))</f>
        <v>55</v>
      </c>
      <c r="G68" s="106">
        <f>IF(F68="","",IF(VLOOKUP(A68,Test_Limits,2,FALSE)="","",VLOOKUP(A68,Test_Limits,2,FALSE)))</f>
        <v>50</v>
      </c>
      <c r="H68" s="77" t="str">
        <f>IF(G68="","",IF(AND(D68&lt;G68,D68&lt;&gt;T68),IF(VLOOKUP(A68,Test_Limits,5,FALSE)="PF","Fail","Info"),"Pass"))</f>
        <v>Pass</v>
      </c>
      <c r="I68" s="103">
        <f>IF(F68="","",IF(VLOOKUP(A68,Test_Limits,3,FALSE)="","",VLOOKUP(A68,Test_Limits,3,FALSE)))</f>
        <v>57</v>
      </c>
      <c r="J68" s="77" t="str">
        <f>IF(I68="","",IF(AND(E68&gt;I68,E68&lt;&gt;T68),IF(VLOOKUP(A68,Test_Limits,5,FALSE)="PF","Fail","Info"),"Pass"))</f>
        <v>Pass</v>
      </c>
      <c r="K68" s="328"/>
      <c r="L68" s="328"/>
      <c r="Q68" s="272"/>
      <c r="R68" s="320">
        <f t="shared" si="0"/>
        <v>-1000000</v>
      </c>
      <c r="S68" s="320">
        <f t="shared" si="1"/>
        <v>1000000</v>
      </c>
      <c r="T68" s="320" t="str">
        <f>IF(VLOOKUP(A68,Test_Limits,7,FALSE)&lt;&gt;"",VLOOKUP(A68,Test_Limits,7,FALSE),"")</f>
        <v/>
      </c>
      <c r="U68" s="320">
        <f>IF(F68="",0,VLOOKUP(A68,Test_Limits,8,FALSE))</f>
        <v>5</v>
      </c>
      <c r="V68" s="320">
        <f t="shared" si="2"/>
        <v>5</v>
      </c>
      <c r="W68" s="321">
        <f>VLOOKUP(A68,Test_Limits,6,FALSE)</f>
        <v>1</v>
      </c>
      <c r="X68" s="272"/>
    </row>
    <row r="69" spans="1:24" ht="13.8" x14ac:dyDescent="0.3">
      <c r="A69" s="9" t="s">
        <v>22</v>
      </c>
      <c r="B69" s="21">
        <v>31.2</v>
      </c>
      <c r="C69" s="65" t="s">
        <v>681</v>
      </c>
      <c r="D69" s="106">
        <f>IF(C69="","",MIN(B69:B69))</f>
        <v>31.2</v>
      </c>
      <c r="E69" s="103">
        <f>IF(C69="","",MAX(B69:B69))</f>
        <v>31.2</v>
      </c>
      <c r="F69" s="64">
        <f>IF(C69="","",IF(C69="    N/A","",IF(COUNTIF(B69:B69,"&gt;-1")&gt;0,ROUND((SUM(B69:B69)+COUNTIF(B69:B69,-1))/COUNTIF(B69:B69,"&gt;-1"),W69),ROUND(AVERAGE(B69:B69),W69))))</f>
        <v>31.2</v>
      </c>
      <c r="G69" s="106">
        <f>IF(F69="","",IF(VLOOKUP(A69,Test_Limits,2,FALSE)="","",VLOOKUP(A69,Test_Limits,2,FALSE)))</f>
        <v>30</v>
      </c>
      <c r="H69" s="77" t="str">
        <f>IF(G69="","",IF(AND(D69&lt;G69,D69&lt;&gt;T69),IF(VLOOKUP(A69,Test_Limits,5,FALSE)="PF","Fail","Info"),"Pass"))</f>
        <v>Pass</v>
      </c>
      <c r="I69" s="103">
        <f>IF(F69="","",IF(VLOOKUP(A69,Test_Limits,3,FALSE)="","",VLOOKUP(A69,Test_Limits,3,FALSE)))</f>
        <v>57</v>
      </c>
      <c r="J69" s="77" t="str">
        <f>IF(I69="","",IF(AND(E69&gt;I69,E69&lt;&gt;T69),IF(VLOOKUP(A69,Test_Limits,5,FALSE)="PF","Fail","Info"),"Pass"))</f>
        <v>Pass</v>
      </c>
      <c r="K69" s="328"/>
      <c r="L69" s="328"/>
      <c r="Q69" s="272"/>
      <c r="R69" s="320">
        <f t="shared" si="0"/>
        <v>-1000000</v>
      </c>
      <c r="S69" s="320">
        <f t="shared" si="1"/>
        <v>1000000</v>
      </c>
      <c r="T69" s="320" t="str">
        <f>IF(VLOOKUP(A69,Test_Limits,7,FALSE)&lt;&gt;"",VLOOKUP(A69,Test_Limits,7,FALSE),"")</f>
        <v/>
      </c>
      <c r="U69" s="320">
        <f>IF(F69="",0,VLOOKUP(A69,Test_Limits,8,FALSE))</f>
        <v>3</v>
      </c>
      <c r="V69" s="320">
        <f t="shared" si="2"/>
        <v>3</v>
      </c>
      <c r="W69" s="321">
        <f>VLOOKUP(A69,Test_Limits,6,FALSE)</f>
        <v>1</v>
      </c>
      <c r="X69" s="272"/>
    </row>
    <row r="70" spans="1:24" ht="13.8" x14ac:dyDescent="0.3">
      <c r="A70" s="9" t="s">
        <v>362</v>
      </c>
      <c r="B70" s="21">
        <v>0</v>
      </c>
      <c r="C70" s="65" t="s">
        <v>684</v>
      </c>
      <c r="D70" s="106">
        <f>IF(C70="","",MIN(B70:B70))</f>
        <v>0</v>
      </c>
      <c r="E70" s="103">
        <f>IF(C70="","",MAX(B70:B70))</f>
        <v>0</v>
      </c>
      <c r="F70" s="64">
        <f>IF(C70="","",IF(C70="    N/A","",IF(COUNTIF(B70:B70,"&gt;-1")&gt;0,ROUND((SUM(B70:B70)+COUNTIF(B70:B70,-1))/COUNTIF(B70:B70,"&gt;-1"),W70),ROUND(AVERAGE(B70:B70),W70))))</f>
        <v>0</v>
      </c>
      <c r="G70" s="106">
        <f>IF(F70="","",IF(VLOOKUP(A70,Test_Limits,2,FALSE)="","",VLOOKUP(A70,Test_Limits,2,FALSE)))</f>
        <v>0</v>
      </c>
      <c r="H70" s="77" t="str">
        <f>IF(G70="","",IF(AND(D70&lt;G70,D70&lt;&gt;T70),IF(VLOOKUP(A70,Test_Limits,5,FALSE)="PF","Fail","Info"),"Pass"))</f>
        <v>Pass</v>
      </c>
      <c r="I70" s="103">
        <f>IF(F70="","",IF(VLOOKUP(A70,Test_Limits,3,FALSE)="","",VLOOKUP(A70,Test_Limits,3,FALSE)))</f>
        <v>1</v>
      </c>
      <c r="J70" s="77" t="str">
        <f>IF(I70="","",IF(AND(E70&gt;I70,E70&lt;&gt;T70),IF(VLOOKUP(A70,Test_Limits,5,FALSE)="PF","Fail","Info"),"Pass"))</f>
        <v>Pass</v>
      </c>
      <c r="K70" s="328"/>
      <c r="L70" s="328"/>
      <c r="Q70" s="272"/>
      <c r="R70" s="320">
        <f t="shared" si="0"/>
        <v>-1000000</v>
      </c>
      <c r="S70" s="320">
        <f t="shared" si="1"/>
        <v>1000000</v>
      </c>
      <c r="T70" s="320" t="str">
        <f>IF(VLOOKUP(A70,Test_Limits,7,FALSE)&lt;&gt;"",VLOOKUP(A70,Test_Limits,7,FALSE),"")</f>
        <v/>
      </c>
      <c r="U70" s="320">
        <f>IF(F70="",0,VLOOKUP(A70,Test_Limits,8,FALSE))</f>
        <v>5</v>
      </c>
      <c r="V70" s="320">
        <f t="shared" si="2"/>
        <v>5</v>
      </c>
      <c r="W70" s="321">
        <f>VLOOKUP(A70,Test_Limits,6,FALSE)</f>
        <v>0</v>
      </c>
      <c r="X70" s="272"/>
    </row>
    <row r="71" spans="1:24" ht="13.8" x14ac:dyDescent="0.3">
      <c r="A71" s="9" t="s">
        <v>363</v>
      </c>
      <c r="B71" s="21">
        <v>0</v>
      </c>
      <c r="C71" s="65" t="s">
        <v>684</v>
      </c>
      <c r="D71" s="106">
        <f>IF(C71="","",MIN(B71:B71))</f>
        <v>0</v>
      </c>
      <c r="E71" s="103">
        <f>IF(C71="","",MAX(B71:B71))</f>
        <v>0</v>
      </c>
      <c r="F71" s="64">
        <f>IF(C71="","",IF(C71="    N/A","",IF(COUNTIF(B71:B71,"&gt;-1")&gt;0,ROUND((SUM(B71:B71)+COUNTIF(B71:B71,-1))/COUNTIF(B71:B71,"&gt;-1"),W71),ROUND(AVERAGE(B71:B71),W71))))</f>
        <v>0</v>
      </c>
      <c r="G71" s="106">
        <f>IF(F71="","",IF(VLOOKUP(A71,Test_Limits,2,FALSE)="","",VLOOKUP(A71,Test_Limits,2,FALSE)))</f>
        <v>0</v>
      </c>
      <c r="H71" s="77" t="str">
        <f>IF(G71="","",IF(AND(D71&lt;G71,D71&lt;&gt;T71),IF(VLOOKUP(A71,Test_Limits,5,FALSE)="PF","Fail","Info"),"Pass"))</f>
        <v>Pass</v>
      </c>
      <c r="I71" s="103">
        <f>IF(F71="","",IF(VLOOKUP(A71,Test_Limits,3,FALSE)="","",VLOOKUP(A71,Test_Limits,3,FALSE)))</f>
        <v>1</v>
      </c>
      <c r="J71" s="77" t="str">
        <f>IF(I71="","",IF(AND(E71&gt;I71,E71&lt;&gt;T71),IF(VLOOKUP(A71,Test_Limits,5,FALSE)="PF","Fail","Info"),"Pass"))</f>
        <v>Pass</v>
      </c>
      <c r="K71" s="328"/>
      <c r="L71" s="328"/>
      <c r="Q71" s="272"/>
      <c r="R71" s="320">
        <f t="shared" si="0"/>
        <v>-1000000</v>
      </c>
      <c r="S71" s="320">
        <f t="shared" si="1"/>
        <v>1000000</v>
      </c>
      <c r="T71" s="320" t="str">
        <f>IF(VLOOKUP(A71,Test_Limits,7,FALSE)&lt;&gt;"",VLOOKUP(A71,Test_Limits,7,FALSE),"")</f>
        <v/>
      </c>
      <c r="U71" s="320">
        <f>IF(F71="",0,VLOOKUP(A71,Test_Limits,8,FALSE))</f>
        <v>1</v>
      </c>
      <c r="V71" s="320">
        <f t="shared" si="2"/>
        <v>1</v>
      </c>
      <c r="W71" s="321">
        <f>VLOOKUP(A71,Test_Limits,6,FALSE)</f>
        <v>0</v>
      </c>
      <c r="X71" s="272"/>
    </row>
    <row r="72" spans="1:24" ht="13.8" x14ac:dyDescent="0.3">
      <c r="A72" s="9" t="s">
        <v>668</v>
      </c>
      <c r="B72" s="21"/>
      <c r="C72" s="65"/>
      <c r="D72" s="106" t="str">
        <f>IF(C72="","",MIN(B72:B72))</f>
        <v/>
      </c>
      <c r="E72" s="103" t="str">
        <f>IF(C72="","",MAX(B72:B72))</f>
        <v/>
      </c>
      <c r="F72" s="64" t="str">
        <f>IF(C72="","",IF(C72="    N/A","",IF(COUNTIF(B72:B72,"&gt;-1")&gt;0,ROUND((SUM(B72:B72)+COUNTIF(B72:B72,-1))/COUNTIF(B72:B72,"&gt;-1"),W72),ROUND(AVERAGE(B72:B72),W72))))</f>
        <v/>
      </c>
      <c r="G72" s="106" t="str">
        <f>IF(F72="","",IF(VLOOKUP(A72,Test_Limits,2,FALSE)="","",VLOOKUP(A72,Test_Limits,2,FALSE)))</f>
        <v/>
      </c>
      <c r="H72" s="77" t="str">
        <f>IF(G72="","",IF(AND(D72&lt;G72,D72&lt;&gt;T72),IF(VLOOKUP(A72,Test_Limits,5,FALSE)="PF","Fail","Info"),"Pass"))</f>
        <v/>
      </c>
      <c r="I72" s="103" t="str">
        <f>IF(F72="","",IF(VLOOKUP(A72,Test_Limits,3,FALSE)="","",VLOOKUP(A72,Test_Limits,3,FALSE)))</f>
        <v/>
      </c>
      <c r="J72" s="77" t="str">
        <f>IF(I72="","",IF(AND(E72&gt;I72,E72&lt;&gt;T72),IF(VLOOKUP(A72,Test_Limits,5,FALSE)="PF","Fail","Info"),"Pass"))</f>
        <v/>
      </c>
      <c r="K72" s="328"/>
      <c r="L72" s="328"/>
      <c r="Q72" s="272"/>
      <c r="R72" s="320">
        <f t="shared" si="0"/>
        <v>-1000000</v>
      </c>
      <c r="S72" s="320">
        <f t="shared" si="1"/>
        <v>1000000</v>
      </c>
      <c r="T72" s="320" t="e">
        <f>IF(VLOOKUP(A72,Test_Limits,7,FALSE)&lt;&gt;"",VLOOKUP(A72,Test_Limits,7,FALSE),"")</f>
        <v>#N/A</v>
      </c>
      <c r="U72" s="320">
        <f>IF(F72="",0,VLOOKUP(A72,Test_Limits,8,FALSE))</f>
        <v>0</v>
      </c>
      <c r="V72" s="320">
        <f t="shared" si="2"/>
        <v>0</v>
      </c>
      <c r="W72" s="321" t="e">
        <f>VLOOKUP(A72,Test_Limits,6,FALSE)</f>
        <v>#N/A</v>
      </c>
      <c r="X72" s="272"/>
    </row>
    <row r="73" spans="1:24" ht="13.8" x14ac:dyDescent="0.3">
      <c r="A73" s="9" t="s">
        <v>621</v>
      </c>
      <c r="B73" s="21">
        <v>54.2</v>
      </c>
      <c r="C73" s="65" t="s">
        <v>681</v>
      </c>
      <c r="D73" s="106">
        <f>IF(C73="","",MIN(B73:B73))</f>
        <v>54.2</v>
      </c>
      <c r="E73" s="103">
        <f>IF(C73="","",MAX(B73:B73))</f>
        <v>54.2</v>
      </c>
      <c r="F73" s="64">
        <f>IF(C73="","",IF(C73="    N/A","",IF(COUNTIF(B73:B73,"&gt;-1")&gt;0,ROUND((SUM(B73:B73)+COUNTIF(B73:B73,-1))/COUNTIF(B73:B73,"&gt;-1"),W73),ROUND(AVERAGE(B73:B73),W73))))</f>
        <v>54.2</v>
      </c>
      <c r="G73" s="106">
        <f>IF(F73="","",IF(VLOOKUP(A73,Test_Limits,2,FALSE)="","",VLOOKUP(A73,Test_Limits,2,FALSE)))</f>
        <v>50</v>
      </c>
      <c r="H73" s="77" t="str">
        <f>IF(G73="","",IF(AND(D73&lt;G73,D73&lt;&gt;T73),IF(VLOOKUP(A73,Test_Limits,5,FALSE)="PF","Fail","Info"),"Pass"))</f>
        <v>Pass</v>
      </c>
      <c r="I73" s="103">
        <f>IF(F73="","",IF(VLOOKUP(A73,Test_Limits,3,FALSE)="","",VLOOKUP(A73,Test_Limits,3,FALSE)))</f>
        <v>57</v>
      </c>
      <c r="J73" s="77" t="str">
        <f>IF(I73="","",IF(AND(E73&gt;I73,E73&lt;&gt;T73),IF(VLOOKUP(A73,Test_Limits,5,FALSE)="PF","Fail","Info"),"Pass"))</f>
        <v>Pass</v>
      </c>
      <c r="K73" s="328"/>
      <c r="L73" s="328"/>
      <c r="Q73" s="272"/>
      <c r="R73" s="320">
        <f t="shared" si="0"/>
        <v>-1000000</v>
      </c>
      <c r="S73" s="320">
        <f t="shared" si="1"/>
        <v>1000000</v>
      </c>
      <c r="T73" s="320" t="str">
        <f>IF(VLOOKUP(A73,Test_Limits,7,FALSE)&lt;&gt;"",VLOOKUP(A73,Test_Limits,7,FALSE),"")</f>
        <v/>
      </c>
      <c r="U73" s="320">
        <f>IF(F73="",0,VLOOKUP(A73,Test_Limits,8,FALSE))</f>
        <v>5</v>
      </c>
      <c r="V73" s="320">
        <f t="shared" si="2"/>
        <v>5</v>
      </c>
      <c r="W73" s="321">
        <f>VLOOKUP(A73,Test_Limits,6,FALSE)</f>
        <v>1</v>
      </c>
      <c r="X73" s="272"/>
    </row>
    <row r="74" spans="1:24" ht="13.8" x14ac:dyDescent="0.3">
      <c r="A74" s="9" t="s">
        <v>620</v>
      </c>
      <c r="B74" s="21">
        <v>55</v>
      </c>
      <c r="C74" s="65" t="s">
        <v>681</v>
      </c>
      <c r="D74" s="106">
        <f>IF(C74="","",MIN(B74:B74))</f>
        <v>55</v>
      </c>
      <c r="E74" s="103">
        <f>IF(C74="","",MAX(B74:B74))</f>
        <v>55</v>
      </c>
      <c r="F74" s="64">
        <f>IF(C74="","",IF(C74="    N/A","",IF(COUNTIF(B74:B74,"&gt;-1")&gt;0,ROUND((SUM(B74:B74)+COUNTIF(B74:B74,-1))/COUNTIF(B74:B74,"&gt;-1"),W74),ROUND(AVERAGE(B74:B74),W74))))</f>
        <v>55</v>
      </c>
      <c r="G74" s="106">
        <f>IF(F74="","",IF(VLOOKUP(A74,Test_Limits,2,FALSE)="","",VLOOKUP(A74,Test_Limits,2,FALSE)))</f>
        <v>50</v>
      </c>
      <c r="H74" s="77" t="str">
        <f>IF(G74="","",IF(AND(D74&lt;G74,D74&lt;&gt;T74),IF(VLOOKUP(A74,Test_Limits,5,FALSE)="PF","Fail","Info"),"Pass"))</f>
        <v>Pass</v>
      </c>
      <c r="I74" s="103">
        <f>IF(F74="","",IF(VLOOKUP(A74,Test_Limits,3,FALSE)="","",VLOOKUP(A74,Test_Limits,3,FALSE)))</f>
        <v>57</v>
      </c>
      <c r="J74" s="77" t="str">
        <f>IF(I74="","",IF(AND(E74&gt;I74,E74&lt;&gt;T74),IF(VLOOKUP(A74,Test_Limits,5,FALSE)="PF","Fail","Info"),"Pass"))</f>
        <v>Pass</v>
      </c>
      <c r="K74" s="328"/>
      <c r="L74" s="328"/>
      <c r="Q74" s="272"/>
      <c r="R74" s="320">
        <f t="shared" si="0"/>
        <v>-1000000</v>
      </c>
      <c r="S74" s="320">
        <f t="shared" si="1"/>
        <v>1000000</v>
      </c>
      <c r="T74" s="320" t="str">
        <f>IF(VLOOKUP(A74,Test_Limits,7,FALSE)&lt;&gt;"",VLOOKUP(A74,Test_Limits,7,FALSE),"")</f>
        <v/>
      </c>
      <c r="U74" s="320">
        <f>IF(F74="",0,VLOOKUP(A74,Test_Limits,8,FALSE))</f>
        <v>5</v>
      </c>
      <c r="V74" s="320">
        <f t="shared" si="2"/>
        <v>5</v>
      </c>
      <c r="W74" s="321">
        <f>VLOOKUP(A74,Test_Limits,6,FALSE)</f>
        <v>1</v>
      </c>
      <c r="X74" s="272"/>
    </row>
    <row r="75" spans="1:24" ht="13.8" x14ac:dyDescent="0.3">
      <c r="A75" s="9" t="s">
        <v>622</v>
      </c>
      <c r="B75" s="21">
        <v>28</v>
      </c>
      <c r="C75" s="65" t="s">
        <v>690</v>
      </c>
      <c r="D75" s="106">
        <f>IF(C75="","",MIN(B75:B75))</f>
        <v>28</v>
      </c>
      <c r="E75" s="103">
        <f>IF(C75="","",MAX(B75:B75))</f>
        <v>28</v>
      </c>
      <c r="F75" s="64">
        <f>IF(C75="","",IF(C75="    N/A","",IF(COUNTIF(B75:B75,"&gt;-1")&gt;0,ROUND((SUM(B75:B75)+COUNTIF(B75:B75,-1))/COUNTIF(B75:B75,"&gt;-1"),W75),ROUND(AVERAGE(B75:B75),W75))))</f>
        <v>28</v>
      </c>
      <c r="G75" s="106">
        <f>IF(F75="","",IF(VLOOKUP(A75,Test_Limits,2,FALSE)="","",VLOOKUP(A75,Test_Limits,2,FALSE)))</f>
        <v>0</v>
      </c>
      <c r="H75" s="77" t="str">
        <f>IF(G75="","",IF(AND(D75&lt;G75,D75&lt;&gt;T75),IF(VLOOKUP(A75,Test_Limits,5,FALSE)="PF","Fail","Info"),"Pass"))</f>
        <v>Pass</v>
      </c>
      <c r="I75" s="103">
        <f>IF(F75="","",IF(VLOOKUP(A75,Test_Limits,3,FALSE)="","",VLOOKUP(A75,Test_Limits,3,FALSE)))</f>
        <v>500</v>
      </c>
      <c r="J75" s="77" t="str">
        <f>IF(I75="","",IF(AND(E75&gt;I75,E75&lt;&gt;T75),IF(VLOOKUP(A75,Test_Limits,5,FALSE)="PF","Fail","Info"),"Pass"))</f>
        <v>Pass</v>
      </c>
      <c r="K75" s="328"/>
      <c r="L75" s="328"/>
      <c r="Q75" s="272"/>
      <c r="R75" s="320">
        <f t="shared" ref="R75:R86" si="3">IF(H75="Info",G75,IF(J75="Info",G75,-1000000))</f>
        <v>-1000000</v>
      </c>
      <c r="S75" s="320">
        <f t="shared" ref="S75:S86" si="4">IF(H75="Info",I75,IF(J75="Info",I75,1000000))</f>
        <v>1000000</v>
      </c>
      <c r="T75" s="320" t="str">
        <f>IF(VLOOKUP(A75,Test_Limits,7,FALSE)&lt;&gt;"",VLOOKUP(A75,Test_Limits,7,FALSE),"")</f>
        <v/>
      </c>
      <c r="U75" s="320">
        <f>IF(F75="",0,VLOOKUP(A75,Test_Limits,8,FALSE))</f>
        <v>3</v>
      </c>
      <c r="V75" s="320">
        <f t="shared" ref="V75:V164" si="5">IF(H75="Pass",IF(J75="Pass",U75,0),0)</f>
        <v>3</v>
      </c>
      <c r="W75" s="321">
        <f>VLOOKUP(A75,Test_Limits,6,FALSE)</f>
        <v>1</v>
      </c>
      <c r="X75" s="272"/>
    </row>
    <row r="76" spans="1:24" ht="13.8" x14ac:dyDescent="0.3">
      <c r="A76" s="9" t="s">
        <v>623</v>
      </c>
      <c r="B76" s="21">
        <v>30</v>
      </c>
      <c r="C76" s="65" t="s">
        <v>690</v>
      </c>
      <c r="D76" s="106">
        <f>IF(C76="","",MIN(B76:B76))</f>
        <v>30</v>
      </c>
      <c r="E76" s="103">
        <f>IF(C76="","",MAX(B76:B76))</f>
        <v>30</v>
      </c>
      <c r="F76" s="64">
        <f>IF(C76="","",IF(C76="    N/A","",IF(COUNTIF(B76:B76,"&gt;-1")&gt;0,ROUND((SUM(B76:B76)+COUNTIF(B76:B76,-1))/COUNTIF(B76:B76,"&gt;-1"),W76),ROUND(AVERAGE(B76:B76),W76))))</f>
        <v>30</v>
      </c>
      <c r="G76" s="106">
        <f>IF(F76="","",IF(VLOOKUP(A76,Test_Limits,2,FALSE)="","",VLOOKUP(A76,Test_Limits,2,FALSE)))</f>
        <v>0</v>
      </c>
      <c r="H76" s="77" t="str">
        <f>IF(G76="","",IF(AND(D76&lt;G76,D76&lt;&gt;T76),IF(VLOOKUP(A76,Test_Limits,5,FALSE)="PF","Fail","Info"),"Pass"))</f>
        <v>Pass</v>
      </c>
      <c r="I76" s="103">
        <f>IF(F76="","",IF(VLOOKUP(A76,Test_Limits,3,FALSE)="","",VLOOKUP(A76,Test_Limits,3,FALSE)))</f>
        <v>200</v>
      </c>
      <c r="J76" s="77" t="str">
        <f>IF(I76="","",IF(AND(E76&gt;I76,E76&lt;&gt;T76),IF(VLOOKUP(A76,Test_Limits,5,FALSE)="PF","Fail","Info"),"Pass"))</f>
        <v>Pass</v>
      </c>
      <c r="K76" s="328"/>
      <c r="L76" s="328"/>
      <c r="Q76" s="272"/>
      <c r="R76" s="320">
        <f t="shared" si="3"/>
        <v>-1000000</v>
      </c>
      <c r="S76" s="320">
        <f t="shared" si="4"/>
        <v>1000000</v>
      </c>
      <c r="T76" s="320" t="str">
        <f>IF(VLOOKUP(A76,Test_Limits,7,FALSE)&lt;&gt;"",VLOOKUP(A76,Test_Limits,7,FALSE),"")</f>
        <v/>
      </c>
      <c r="U76" s="320">
        <f>IF(F76="",0,VLOOKUP(A76,Test_Limits,8,FALSE))</f>
        <v>3</v>
      </c>
      <c r="V76" s="320">
        <f t="shared" si="5"/>
        <v>3</v>
      </c>
      <c r="W76" s="321">
        <f>VLOOKUP(A76,Test_Limits,6,FALSE)</f>
        <v>1</v>
      </c>
      <c r="X76" s="272"/>
    </row>
    <row r="77" spans="1:24" ht="13.8" x14ac:dyDescent="0.3">
      <c r="A77" s="9" t="s">
        <v>624</v>
      </c>
      <c r="B77" s="21">
        <v>53.9</v>
      </c>
      <c r="C77" s="65" t="s">
        <v>681</v>
      </c>
      <c r="D77" s="106">
        <f>IF(C77="","",MIN(B77:B77))</f>
        <v>53.9</v>
      </c>
      <c r="E77" s="103">
        <f>IF(C77="","",MAX(B77:B77))</f>
        <v>53.9</v>
      </c>
      <c r="F77" s="64">
        <f>IF(C77="","",IF(C77="    N/A","",IF(COUNTIF(B77:B77,"&gt;-1")&gt;0,ROUND((SUM(B77:B77)+COUNTIF(B77:B77,-1))/COUNTIF(B77:B77,"&gt;-1"),W77),ROUND(AVERAGE(B77:B77),W77))))</f>
        <v>53.9</v>
      </c>
      <c r="G77" s="106">
        <f>IF(F77="","",IF(VLOOKUP(A77,Test_Limits,2,FALSE)="","",VLOOKUP(A77,Test_Limits,2,FALSE)))</f>
        <v>50</v>
      </c>
      <c r="H77" s="77" t="str">
        <f>IF(G77="","",IF(AND(D77&lt;G77,D77&lt;&gt;T77),IF(VLOOKUP(A77,Test_Limits,5,FALSE)="PF","Fail","Info"),"Pass"))</f>
        <v>Pass</v>
      </c>
      <c r="I77" s="103">
        <f>IF(F77="","",IF(VLOOKUP(A77,Test_Limits,3,FALSE)="","",VLOOKUP(A77,Test_Limits,3,FALSE)))</f>
        <v>57</v>
      </c>
      <c r="J77" s="77" t="str">
        <f>IF(I77="","",IF(AND(E77&gt;I77,E77&lt;&gt;T77),IF(VLOOKUP(A77,Test_Limits,5,FALSE)="PF","Fail","Info"),"Pass"))</f>
        <v>Pass</v>
      </c>
      <c r="K77" s="328"/>
      <c r="L77" s="328"/>
      <c r="Q77" s="272"/>
      <c r="R77" s="320">
        <f t="shared" si="3"/>
        <v>-1000000</v>
      </c>
      <c r="S77" s="320">
        <f t="shared" si="4"/>
        <v>1000000</v>
      </c>
      <c r="T77" s="320" t="str">
        <f>IF(VLOOKUP(A77,Test_Limits,7,FALSE)&lt;&gt;"",VLOOKUP(A77,Test_Limits,7,FALSE),"")</f>
        <v/>
      </c>
      <c r="U77" s="320">
        <f>IF(F77="",0,VLOOKUP(A77,Test_Limits,8,FALSE))</f>
        <v>5</v>
      </c>
      <c r="V77" s="320">
        <f t="shared" si="5"/>
        <v>5</v>
      </c>
      <c r="W77" s="321">
        <f>VLOOKUP(A77,Test_Limits,6,FALSE)</f>
        <v>1</v>
      </c>
      <c r="X77" s="272"/>
    </row>
    <row r="78" spans="1:24" ht="13.8" x14ac:dyDescent="0.3">
      <c r="A78" s="9" t="s">
        <v>625</v>
      </c>
      <c r="B78" s="21">
        <v>55.1</v>
      </c>
      <c r="C78" s="65" t="s">
        <v>681</v>
      </c>
      <c r="D78" s="106">
        <f>IF(C78="","",MIN(B78:B78))</f>
        <v>55.1</v>
      </c>
      <c r="E78" s="103">
        <f>IF(C78="","",MAX(B78:B78))</f>
        <v>55.1</v>
      </c>
      <c r="F78" s="64">
        <f>IF(C78="","",IF(C78="    N/A","",IF(COUNTIF(B78:B78,"&gt;-1")&gt;0,ROUND((SUM(B78:B78)+COUNTIF(B78:B78,-1))/COUNTIF(B78:B78,"&gt;-1"),W78),ROUND(AVERAGE(B78:B78),W78))))</f>
        <v>55.1</v>
      </c>
      <c r="G78" s="106">
        <f>IF(F78="","",IF(VLOOKUP(A78,Test_Limits,2,FALSE)="","",VLOOKUP(A78,Test_Limits,2,FALSE)))</f>
        <v>50</v>
      </c>
      <c r="H78" s="77" t="str">
        <f>IF(G78="","",IF(AND(D78&lt;G78,D78&lt;&gt;T78),IF(VLOOKUP(A78,Test_Limits,5,FALSE)="PF","Fail","Info"),"Pass"))</f>
        <v>Pass</v>
      </c>
      <c r="I78" s="103">
        <f>IF(F78="","",IF(VLOOKUP(A78,Test_Limits,3,FALSE)="","",VLOOKUP(A78,Test_Limits,3,FALSE)))</f>
        <v>57</v>
      </c>
      <c r="J78" s="77" t="str">
        <f>IF(I78="","",IF(AND(E78&gt;I78,E78&lt;&gt;T78),IF(VLOOKUP(A78,Test_Limits,5,FALSE)="PF","Fail","Info"),"Pass"))</f>
        <v>Pass</v>
      </c>
      <c r="K78" s="328"/>
      <c r="L78" s="328"/>
      <c r="Q78" s="272"/>
      <c r="R78" s="320">
        <f t="shared" si="3"/>
        <v>-1000000</v>
      </c>
      <c r="S78" s="320">
        <f t="shared" si="4"/>
        <v>1000000</v>
      </c>
      <c r="T78" s="320" t="str">
        <f>IF(VLOOKUP(A78,Test_Limits,7,FALSE)&lt;&gt;"",VLOOKUP(A78,Test_Limits,7,FALSE),"")</f>
        <v/>
      </c>
      <c r="U78" s="320">
        <f>IF(F78="",0,VLOOKUP(A78,Test_Limits,8,FALSE))</f>
        <v>3</v>
      </c>
      <c r="V78" s="320">
        <f t="shared" si="5"/>
        <v>3</v>
      </c>
      <c r="W78" s="321">
        <f>VLOOKUP(A78,Test_Limits,6,FALSE)</f>
        <v>1</v>
      </c>
      <c r="X78" s="272"/>
    </row>
    <row r="79" spans="1:24" ht="13.8" x14ac:dyDescent="0.3">
      <c r="A79" s="9" t="s">
        <v>669</v>
      </c>
      <c r="B79" s="21"/>
      <c r="C79" s="65"/>
      <c r="D79" s="106" t="str">
        <f>IF(C79="","",MIN(B79:B79))</f>
        <v/>
      </c>
      <c r="E79" s="103" t="str">
        <f>IF(C79="","",MAX(B79:B79))</f>
        <v/>
      </c>
      <c r="F79" s="64" t="str">
        <f>IF(C79="","",IF(C79="    N/A","",IF(COUNTIF(B79:B79,"&gt;-1")&gt;0,ROUND((SUM(B79:B79)+COUNTIF(B79:B79,-1))/COUNTIF(B79:B79,"&gt;-1"),W79),ROUND(AVERAGE(B79:B79),W79))))</f>
        <v/>
      </c>
      <c r="G79" s="106" t="str">
        <f>IF(F79="","",IF(VLOOKUP(A79,Test_Limits,2,FALSE)="","",VLOOKUP(A79,Test_Limits,2,FALSE)))</f>
        <v/>
      </c>
      <c r="H79" s="77" t="str">
        <f>IF(G79="","",IF(AND(D79&lt;G79,D79&lt;&gt;T79),IF(VLOOKUP(A79,Test_Limits,5,FALSE)="PF","Fail","Info"),"Pass"))</f>
        <v/>
      </c>
      <c r="I79" s="103" t="str">
        <f>IF(F79="","",IF(VLOOKUP(A79,Test_Limits,3,FALSE)="","",VLOOKUP(A79,Test_Limits,3,FALSE)))</f>
        <v/>
      </c>
      <c r="J79" s="77" t="str">
        <f>IF(I79="","",IF(AND(E79&gt;I79,E79&lt;&gt;T79),IF(VLOOKUP(A79,Test_Limits,5,FALSE)="PF","Fail","Info"),"Pass"))</f>
        <v/>
      </c>
      <c r="K79" s="328"/>
      <c r="L79" s="328"/>
      <c r="Q79" s="272"/>
      <c r="R79" s="320">
        <f t="shared" si="3"/>
        <v>-1000000</v>
      </c>
      <c r="S79" s="320">
        <f t="shared" si="4"/>
        <v>1000000</v>
      </c>
      <c r="T79" s="320" t="e">
        <f>IF(VLOOKUP(A79,Test_Limits,7,FALSE)&lt;&gt;"",VLOOKUP(A79,Test_Limits,7,FALSE),"")</f>
        <v>#N/A</v>
      </c>
      <c r="U79" s="320">
        <f>IF(F79="",0,VLOOKUP(A79,Test_Limits,8,FALSE))</f>
        <v>0</v>
      </c>
      <c r="V79" s="320">
        <f t="shared" si="5"/>
        <v>0</v>
      </c>
      <c r="W79" s="321" t="e">
        <f>VLOOKUP(A79,Test_Limits,6,FALSE)</f>
        <v>#N/A</v>
      </c>
      <c r="X79" s="272"/>
    </row>
    <row r="80" spans="1:24" ht="13.8" x14ac:dyDescent="0.3">
      <c r="A80" s="9" t="s">
        <v>108</v>
      </c>
      <c r="B80" s="21">
        <v>18.5</v>
      </c>
      <c r="C80" s="65" t="s">
        <v>691</v>
      </c>
      <c r="D80" s="106">
        <f>IF(C80="","",MIN(B80:B80))</f>
        <v>18.5</v>
      </c>
      <c r="E80" s="103">
        <f>IF(C80="","",MAX(B80:B80))</f>
        <v>18.5</v>
      </c>
      <c r="F80" s="64">
        <f>IF(C80="","",IF(C80="    N/A","",IF(COUNTIF(B80:B80,"&gt;-1")&gt;0,ROUND((SUM(B80:B80)+COUNTIF(B80:B80,-1))/COUNTIF(B80:B80,"&gt;-1"),W80),ROUND(AVERAGE(B80:B80),W80))))</f>
        <v>18.5</v>
      </c>
      <c r="G80" s="106">
        <f>IF(F80="","",IF(VLOOKUP(A80,Test_Limits,2,FALSE)="","",VLOOKUP(A80,Test_Limits,2,FALSE)))</f>
        <v>14.2</v>
      </c>
      <c r="H80" s="77" t="str">
        <f>IF(G80="","",IF(AND(D80&lt;G80,D80&lt;&gt;T80),IF(VLOOKUP(A80,Test_Limits,5,FALSE)="PF","Fail","Info"),"Pass"))</f>
        <v>Pass</v>
      </c>
      <c r="I80" s="103">
        <f>IF(F80="","",IF(VLOOKUP(A80,Test_Limits,3,FALSE)="","",VLOOKUP(A80,Test_Limits,3,FALSE)))</f>
        <v>22.7</v>
      </c>
      <c r="J80" s="77" t="str">
        <f>IF(I80="","",IF(AND(E80&gt;I80,E80&lt;&gt;T80),IF(VLOOKUP(A80,Test_Limits,5,FALSE)="PF","Fail","Info"),"Pass"))</f>
        <v>Pass</v>
      </c>
      <c r="K80" s="328"/>
      <c r="L80" s="328"/>
      <c r="Q80" s="272"/>
      <c r="R80" s="320">
        <f t="shared" si="3"/>
        <v>-1000000</v>
      </c>
      <c r="S80" s="320">
        <f t="shared" si="4"/>
        <v>1000000</v>
      </c>
      <c r="T80" s="320" t="str">
        <f>IF(VLOOKUP(A80,Test_Limits,7,FALSE)&lt;&gt;"",VLOOKUP(A80,Test_Limits,7,FALSE),"")</f>
        <v/>
      </c>
      <c r="U80" s="320">
        <f>IF(F80="",0,VLOOKUP(A80,Test_Limits,8,FALSE))</f>
        <v>1</v>
      </c>
      <c r="V80" s="320">
        <f t="shared" si="5"/>
        <v>1</v>
      </c>
      <c r="W80" s="321">
        <f>VLOOKUP(A80,Test_Limits,6,FALSE)</f>
        <v>1</v>
      </c>
      <c r="X80" s="272"/>
    </row>
    <row r="81" spans="1:24" ht="13.8" x14ac:dyDescent="0.3">
      <c r="A81" s="9" t="s">
        <v>343</v>
      </c>
      <c r="B81" s="21">
        <v>134.6</v>
      </c>
      <c r="C81" s="65" t="s">
        <v>692</v>
      </c>
      <c r="D81" s="106">
        <f>IF(C81="","",MIN(B81:B81))</f>
        <v>134.6</v>
      </c>
      <c r="E81" s="103">
        <f>IF(C81="","",MAX(B81:B81))</f>
        <v>134.6</v>
      </c>
      <c r="F81" s="64">
        <f>IF(C81="","",IF(C81="    N/A","",IF(COUNTIF(B81:B81,"&gt;-1")&gt;0,ROUND((SUM(B81:B81)+COUNTIF(B81:B81,-1))/COUNTIF(B81:B81,"&gt;-1"),W81),ROUND(AVERAGE(B81:B81),W81))))</f>
        <v>134.6</v>
      </c>
      <c r="G81" s="106">
        <f>IF(F81="","",IF(VLOOKUP(A81,Test_Limits,2,FALSE)="","",VLOOKUP(A81,Test_Limits,2,FALSE)))</f>
        <v>100</v>
      </c>
      <c r="H81" s="77" t="str">
        <f>IF(G81="","",IF(AND(D81&lt;G81,D81&lt;&gt;T81),IF(VLOOKUP(A81,Test_Limits,5,FALSE)="PF","Fail","Info"),"Pass"))</f>
        <v>Pass</v>
      </c>
      <c r="I81" s="103">
        <f>IF(F81="","",IF(VLOOKUP(A81,Test_Limits,3,FALSE)="","",VLOOKUP(A81,Test_Limits,3,FALSE)))</f>
        <v>9999</v>
      </c>
      <c r="J81" s="77" t="str">
        <f>IF(I81="","",IF(AND(E81&gt;I81,E81&lt;&gt;T81),IF(VLOOKUP(A81,Test_Limits,5,FALSE)="PF","Fail","Info"),"Pass"))</f>
        <v>Pass</v>
      </c>
      <c r="K81" s="328"/>
      <c r="L81" s="328"/>
      <c r="Q81" s="272"/>
      <c r="R81" s="320">
        <f t="shared" si="3"/>
        <v>-1000000</v>
      </c>
      <c r="S81" s="320">
        <f t="shared" si="4"/>
        <v>1000000</v>
      </c>
      <c r="T81" s="320" t="str">
        <f>IF(VLOOKUP(A81,Test_Limits,7,FALSE)&lt;&gt;"",VLOOKUP(A81,Test_Limits,7,FALSE),"")</f>
        <v/>
      </c>
      <c r="U81" s="320">
        <f>IF(F81="",0,VLOOKUP(A81,Test_Limits,8,FALSE))</f>
        <v>5</v>
      </c>
      <c r="V81" s="320">
        <f t="shared" si="5"/>
        <v>5</v>
      </c>
      <c r="W81" s="321">
        <f>VLOOKUP(A81,Test_Limits,6,FALSE)</f>
        <v>1</v>
      </c>
      <c r="X81" s="272"/>
    </row>
    <row r="82" spans="1:24" ht="13.8" x14ac:dyDescent="0.3">
      <c r="A82" s="9" t="s">
        <v>112</v>
      </c>
      <c r="B82" s="21">
        <v>18.5</v>
      </c>
      <c r="C82" s="65" t="s">
        <v>691</v>
      </c>
      <c r="D82" s="106">
        <f>IF(C82="","",MIN(B82:B82))</f>
        <v>18.5</v>
      </c>
      <c r="E82" s="103">
        <f>IF(C82="","",MAX(B82:B82))</f>
        <v>18.5</v>
      </c>
      <c r="F82" s="64">
        <f>IF(C82="","",IF(C82="    N/A","",IF(COUNTIF(B82:B82,"&gt;-1")&gt;0,ROUND((SUM(B82:B82)+COUNTIF(B82:B82,-1))/COUNTIF(B82:B82,"&gt;-1"),W82),ROUND(AVERAGE(B82:B82),W82))))</f>
        <v>18.5</v>
      </c>
      <c r="G82" s="106">
        <f>IF(F82="","",IF(VLOOKUP(A82,Test_Limits,2,FALSE)="","",VLOOKUP(A82,Test_Limits,2,FALSE)))</f>
        <v>3.9</v>
      </c>
      <c r="H82" s="77" t="str">
        <f>IF(G82="","",IF(AND(D82&lt;G82,D82&lt;&gt;T82),IF(VLOOKUP(A82,Test_Limits,5,FALSE)="PF","Fail","Info"),"Pass"))</f>
        <v>Pass</v>
      </c>
      <c r="I82" s="103">
        <f>IF(F82="","",IF(VLOOKUP(A82,Test_Limits,3,FALSE)="","",VLOOKUP(A82,Test_Limits,3,FALSE)))</f>
        <v>22.7</v>
      </c>
      <c r="J82" s="77" t="str">
        <f>IF(I82="","",IF(AND(E82&gt;I82,E82&lt;&gt;T82),IF(VLOOKUP(A82,Test_Limits,5,FALSE)="PF","Fail","Info"),"Pass"))</f>
        <v>Pass</v>
      </c>
      <c r="K82" s="328"/>
      <c r="L82" s="328"/>
      <c r="Q82" s="272"/>
      <c r="R82" s="320">
        <f t="shared" si="3"/>
        <v>-1000000</v>
      </c>
      <c r="S82" s="320">
        <f t="shared" si="4"/>
        <v>1000000</v>
      </c>
      <c r="T82" s="320" t="str">
        <f>IF(VLOOKUP(A82,Test_Limits,7,FALSE)&lt;&gt;"",VLOOKUP(A82,Test_Limits,7,FALSE),"")</f>
        <v/>
      </c>
      <c r="U82" s="320">
        <f>IF(F82="",0,VLOOKUP(A82,Test_Limits,8,FALSE))</f>
        <v>1</v>
      </c>
      <c r="V82" s="320">
        <f t="shared" si="5"/>
        <v>1</v>
      </c>
      <c r="W82" s="321">
        <f>VLOOKUP(A82,Test_Limits,6,FALSE)</f>
        <v>1</v>
      </c>
      <c r="X82" s="272"/>
    </row>
    <row r="83" spans="1:24" ht="13.8" x14ac:dyDescent="0.3">
      <c r="A83" s="9" t="s">
        <v>344</v>
      </c>
      <c r="B83" s="21">
        <v>473.4</v>
      </c>
      <c r="C83" s="65" t="s">
        <v>692</v>
      </c>
      <c r="D83" s="106">
        <f>IF(C83="","",MIN(B83:B83))</f>
        <v>473.4</v>
      </c>
      <c r="E83" s="103">
        <f>IF(C83="","",MAX(B83:B83))</f>
        <v>473.4</v>
      </c>
      <c r="F83" s="64">
        <f>IF(C83="","",IF(C83="    N/A","",IF(COUNTIF(B83:B83,"&gt;-1")&gt;0,ROUND((SUM(B83:B83)+COUNTIF(B83:B83,-1))/COUNTIF(B83:B83,"&gt;-1"),W83),ROUND(AVERAGE(B83:B83),W83))))</f>
        <v>473.4</v>
      </c>
      <c r="G83" s="106">
        <f>IF(F83="","",IF(VLOOKUP(A83,Test_Limits,2,FALSE)="","",VLOOKUP(A83,Test_Limits,2,FALSE)))</f>
        <v>100</v>
      </c>
      <c r="H83" s="77" t="str">
        <f>IF(G83="","",IF(AND(D83&lt;G83,D83&lt;&gt;T83),IF(VLOOKUP(A83,Test_Limits,5,FALSE)="PF","Fail","Info"),"Pass"))</f>
        <v>Pass</v>
      </c>
      <c r="I83" s="103">
        <f>IF(F83="","",IF(VLOOKUP(A83,Test_Limits,3,FALSE)="","",VLOOKUP(A83,Test_Limits,3,FALSE)))</f>
        <v>9999</v>
      </c>
      <c r="J83" s="77" t="str">
        <f>IF(I83="","",IF(AND(E83&gt;I83,E83&lt;&gt;T83),IF(VLOOKUP(A83,Test_Limits,5,FALSE)="PF","Fail","Info"),"Pass"))</f>
        <v>Pass</v>
      </c>
      <c r="K83" s="328"/>
      <c r="L83" s="328"/>
      <c r="Q83" s="272"/>
      <c r="R83" s="320">
        <f t="shared" si="3"/>
        <v>-1000000</v>
      </c>
      <c r="S83" s="320">
        <f t="shared" si="4"/>
        <v>1000000</v>
      </c>
      <c r="T83" s="320" t="str">
        <f>IF(VLOOKUP(A83,Test_Limits,7,FALSE)&lt;&gt;"",VLOOKUP(A83,Test_Limits,7,FALSE),"")</f>
        <v/>
      </c>
      <c r="U83" s="320">
        <f>IF(F83="",0,VLOOKUP(A83,Test_Limits,8,FALSE))</f>
        <v>5</v>
      </c>
      <c r="V83" s="320">
        <f t="shared" si="5"/>
        <v>5</v>
      </c>
      <c r="W83" s="321">
        <f>VLOOKUP(A83,Test_Limits,6,FALSE)</f>
        <v>1</v>
      </c>
      <c r="X83" s="272"/>
    </row>
    <row r="84" spans="1:24" ht="13.8" x14ac:dyDescent="0.3">
      <c r="A84" s="9" t="s">
        <v>113</v>
      </c>
      <c r="B84" s="21">
        <v>18.5</v>
      </c>
      <c r="C84" s="65" t="s">
        <v>691</v>
      </c>
      <c r="D84" s="106">
        <f>IF(C84="","",MIN(B84:B84))</f>
        <v>18.5</v>
      </c>
      <c r="E84" s="103">
        <f>IF(C84="","",MAX(B84:B84))</f>
        <v>18.5</v>
      </c>
      <c r="F84" s="64">
        <f>IF(C84="","",IF(C84="    N/A","",IF(COUNTIF(B84:B84,"&gt;-1")&gt;0,ROUND((SUM(B84:B84)+COUNTIF(B84:B84,-1))/COUNTIF(B84:B84,"&gt;-1"),W84),ROUND(AVERAGE(B84:B84),W84))))</f>
        <v>18.5</v>
      </c>
      <c r="G84" s="106">
        <f>IF(F84="","",IF(VLOOKUP(A84,Test_Limits,2,FALSE)="","",VLOOKUP(A84,Test_Limits,2,FALSE)))</f>
        <v>6.8</v>
      </c>
      <c r="H84" s="77" t="str">
        <f>IF(G84="","",IF(AND(D84&lt;G84,D84&lt;&gt;T84),IF(VLOOKUP(A84,Test_Limits,5,FALSE)="PF","Fail","Info"),"Pass"))</f>
        <v>Pass</v>
      </c>
      <c r="I84" s="103">
        <f>IF(F84="","",IF(VLOOKUP(A84,Test_Limits,3,FALSE)="","",VLOOKUP(A84,Test_Limits,3,FALSE)))</f>
        <v>22.7</v>
      </c>
      <c r="J84" s="77" t="str">
        <f>IF(I84="","",IF(AND(E84&gt;I84,E84&lt;&gt;T84),IF(VLOOKUP(A84,Test_Limits,5,FALSE)="PF","Fail","Info"),"Pass"))</f>
        <v>Pass</v>
      </c>
      <c r="K84" s="328"/>
      <c r="L84" s="328"/>
      <c r="Q84" s="272"/>
      <c r="R84" s="320">
        <f t="shared" si="3"/>
        <v>-1000000</v>
      </c>
      <c r="S84" s="320">
        <f t="shared" si="4"/>
        <v>1000000</v>
      </c>
      <c r="T84" s="320" t="str">
        <f>IF(VLOOKUP(A84,Test_Limits,7,FALSE)&lt;&gt;"",VLOOKUP(A84,Test_Limits,7,FALSE),"")</f>
        <v/>
      </c>
      <c r="U84" s="320">
        <f>IF(F84="",0,VLOOKUP(A84,Test_Limits,8,FALSE))</f>
        <v>1</v>
      </c>
      <c r="V84" s="320">
        <f t="shared" si="5"/>
        <v>1</v>
      </c>
      <c r="W84" s="321">
        <f>VLOOKUP(A84,Test_Limits,6,FALSE)</f>
        <v>1</v>
      </c>
      <c r="X84" s="272"/>
    </row>
    <row r="85" spans="1:24" ht="13.8" x14ac:dyDescent="0.3">
      <c r="A85" s="9" t="s">
        <v>345</v>
      </c>
      <c r="B85" s="21">
        <v>277</v>
      </c>
      <c r="C85" s="65" t="s">
        <v>692</v>
      </c>
      <c r="D85" s="106">
        <f>IF(C85="","",MIN(B85:B85))</f>
        <v>277</v>
      </c>
      <c r="E85" s="103">
        <f>IF(C85="","",MAX(B85:B85))</f>
        <v>277</v>
      </c>
      <c r="F85" s="64">
        <f>IF(C85="","",IF(C85="    N/A","",IF(COUNTIF(B85:B85,"&gt;-1")&gt;0,ROUND((SUM(B85:B85)+COUNTIF(B85:B85,-1))/COUNTIF(B85:B85,"&gt;-1"),W85),ROUND(AVERAGE(B85:B85),W85))))</f>
        <v>277</v>
      </c>
      <c r="G85" s="106">
        <f>IF(F85="","",IF(VLOOKUP(A85,Test_Limits,2,FALSE)="","",VLOOKUP(A85,Test_Limits,2,FALSE)))</f>
        <v>100</v>
      </c>
      <c r="H85" s="77" t="str">
        <f>IF(G85="","",IF(AND(D85&lt;G85,D85&lt;&gt;T85),IF(VLOOKUP(A85,Test_Limits,5,FALSE)="PF","Fail","Info"),"Pass"))</f>
        <v>Pass</v>
      </c>
      <c r="I85" s="103">
        <f>IF(F85="","",IF(VLOOKUP(A85,Test_Limits,3,FALSE)="","",VLOOKUP(A85,Test_Limits,3,FALSE)))</f>
        <v>9999</v>
      </c>
      <c r="J85" s="77" t="str">
        <f>IF(I85="","",IF(AND(E85&gt;I85,E85&lt;&gt;T85),IF(VLOOKUP(A85,Test_Limits,5,FALSE)="PF","Fail","Info"),"Pass"))</f>
        <v>Pass</v>
      </c>
      <c r="K85" s="328"/>
      <c r="L85" s="328"/>
      <c r="Q85" s="272"/>
      <c r="R85" s="320">
        <f t="shared" si="3"/>
        <v>-1000000</v>
      </c>
      <c r="S85" s="320">
        <f t="shared" si="4"/>
        <v>1000000</v>
      </c>
      <c r="T85" s="320" t="str">
        <f>IF(VLOOKUP(A85,Test_Limits,7,FALSE)&lt;&gt;"",VLOOKUP(A85,Test_Limits,7,FALSE),"")</f>
        <v/>
      </c>
      <c r="U85" s="320">
        <f>IF(F85="",0,VLOOKUP(A85,Test_Limits,8,FALSE))</f>
        <v>5</v>
      </c>
      <c r="V85" s="320">
        <f t="shared" si="5"/>
        <v>5</v>
      </c>
      <c r="W85" s="321">
        <f>VLOOKUP(A85,Test_Limits,6,FALSE)</f>
        <v>1</v>
      </c>
      <c r="X85" s="272"/>
    </row>
    <row r="86" spans="1:24" ht="13.8" x14ac:dyDescent="0.3">
      <c r="A86" s="9" t="s">
        <v>114</v>
      </c>
      <c r="B86" s="21">
        <v>18.5</v>
      </c>
      <c r="C86" s="65" t="s">
        <v>691</v>
      </c>
      <c r="D86" s="106">
        <f>IF(C86="","",MIN(B86:B86))</f>
        <v>18.5</v>
      </c>
      <c r="E86" s="103">
        <f>IF(C86="","",MAX(B86:B86))</f>
        <v>18.5</v>
      </c>
      <c r="F86" s="64">
        <f>IF(C86="","",IF(C86="    N/A","",IF(COUNTIF(B86:B86,"&gt;-1")&gt;0,ROUND((SUM(B86:B86)+COUNTIF(B86:B86,-1))/COUNTIF(B86:B86,"&gt;-1"),W86),ROUND(AVERAGE(B86:B86),W86))))</f>
        <v>18.5</v>
      </c>
      <c r="G86" s="106">
        <f>IF(F86="","",IF(VLOOKUP(A86,Test_Limits,2,FALSE)="","",VLOOKUP(A86,Test_Limits,2,FALSE)))</f>
        <v>14.2</v>
      </c>
      <c r="H86" s="77" t="str">
        <f>IF(G86="","",IF(AND(D86&lt;G86,D86&lt;&gt;T86),IF(VLOOKUP(A86,Test_Limits,5,FALSE)="PF","Fail","Info"),"Pass"))</f>
        <v>Pass</v>
      </c>
      <c r="I86" s="103">
        <f>IF(F86="","",IF(VLOOKUP(A86,Test_Limits,3,FALSE)="","",VLOOKUP(A86,Test_Limits,3,FALSE)))</f>
        <v>22.7</v>
      </c>
      <c r="J86" s="77" t="str">
        <f>IF(I86="","",IF(AND(E86&gt;I86,E86&lt;&gt;T86),IF(VLOOKUP(A86,Test_Limits,5,FALSE)="PF","Fail","Info"),"Pass"))</f>
        <v>Pass</v>
      </c>
      <c r="K86" s="328"/>
      <c r="L86" s="328"/>
      <c r="Q86" s="272"/>
      <c r="R86" s="320">
        <f t="shared" si="3"/>
        <v>-1000000</v>
      </c>
      <c r="S86" s="320">
        <f t="shared" si="4"/>
        <v>1000000</v>
      </c>
      <c r="T86" s="320" t="str">
        <f>IF(VLOOKUP(A86,Test_Limits,7,FALSE)&lt;&gt;"",VLOOKUP(A86,Test_Limits,7,FALSE),"")</f>
        <v/>
      </c>
      <c r="U86" s="320">
        <f>IF(F86="",0,VLOOKUP(A86,Test_Limits,8,FALSE))</f>
        <v>1</v>
      </c>
      <c r="V86" s="320">
        <f t="shared" si="5"/>
        <v>1</v>
      </c>
      <c r="W86" s="321">
        <f>VLOOKUP(A86,Test_Limits,6,FALSE)</f>
        <v>1</v>
      </c>
      <c r="X86" s="272"/>
    </row>
    <row r="87" spans="1:24" ht="13.8" x14ac:dyDescent="0.3">
      <c r="A87" s="9" t="s">
        <v>346</v>
      </c>
      <c r="B87" s="21">
        <v>134.6</v>
      </c>
      <c r="C87" s="65" t="s">
        <v>692</v>
      </c>
      <c r="D87" s="106">
        <f>IF(C87="","",MIN(B87:B87))</f>
        <v>134.6</v>
      </c>
      <c r="E87" s="103">
        <f>IF(C87="","",MAX(B87:B87))</f>
        <v>134.6</v>
      </c>
      <c r="F87" s="64">
        <f>IF(C87="","",IF(C87="    N/A","",IF(COUNTIF(B87:B87,"&gt;-1")&gt;0,ROUND((SUM(B87:B87)+COUNTIF(B87:B87,-1))/COUNTIF(B87:B87,"&gt;-1"),W87),ROUND(AVERAGE(B87:B87),W87))))</f>
        <v>134.6</v>
      </c>
      <c r="G87" s="106">
        <f>IF(F87="","",IF(VLOOKUP(A87,Test_Limits,2,FALSE)="","",VLOOKUP(A87,Test_Limits,2,FALSE)))</f>
        <v>100</v>
      </c>
      <c r="H87" s="77" t="str">
        <f>IF(G87="","",IF(AND(D87&lt;G87,D87&lt;&gt;T87),IF(VLOOKUP(A87,Test_Limits,5,FALSE)="PF","Fail","Info"),"Pass"))</f>
        <v>Pass</v>
      </c>
      <c r="I87" s="103">
        <f>IF(F87="","",IF(VLOOKUP(A87,Test_Limits,3,FALSE)="","",VLOOKUP(A87,Test_Limits,3,FALSE)))</f>
        <v>9999</v>
      </c>
      <c r="J87" s="77" t="str">
        <f>IF(I87="","",IF(AND(E87&gt;I87,E87&lt;&gt;T87),IF(VLOOKUP(A87,Test_Limits,5,FALSE)="PF","Fail","Info"),"Pass"))</f>
        <v>Pass</v>
      </c>
      <c r="K87" s="328"/>
      <c r="L87" s="328"/>
      <c r="Q87" s="272"/>
      <c r="R87" s="320">
        <f>IF(H87="Info",G87,IF(J87="Info",G87,-1000000))</f>
        <v>-1000000</v>
      </c>
      <c r="S87" s="320">
        <f>IF(H87="Info",I87,IF(J87="Info",I87,1000000))</f>
        <v>1000000</v>
      </c>
      <c r="T87" s="320" t="str">
        <f>IF(VLOOKUP(A87,Test_Limits,7,FALSE)&lt;&gt;"",VLOOKUP(A87,Test_Limits,7,FALSE),"")</f>
        <v/>
      </c>
      <c r="U87" s="320">
        <f>IF(F87="",0,VLOOKUP(A87,Test_Limits,8,FALSE))</f>
        <v>5</v>
      </c>
      <c r="V87" s="320">
        <f t="shared" si="5"/>
        <v>5</v>
      </c>
      <c r="W87" s="321">
        <f>VLOOKUP(A87,Test_Limits,6,FALSE)</f>
        <v>1</v>
      </c>
      <c r="X87" s="272"/>
    </row>
    <row r="88" spans="1:24" ht="13.8" x14ac:dyDescent="0.3">
      <c r="A88" s="9" t="s">
        <v>115</v>
      </c>
      <c r="B88" s="21">
        <v>34.1</v>
      </c>
      <c r="C88" s="65" t="s">
        <v>691</v>
      </c>
      <c r="D88" s="106">
        <f>IF(C88="","",MIN(B88:B88))</f>
        <v>34.1</v>
      </c>
      <c r="E88" s="103">
        <f>IF(C88="","",MAX(B88:B88))</f>
        <v>34.1</v>
      </c>
      <c r="F88" s="64">
        <f>IF(C88="","",IF(C88="    N/A","",IF(COUNTIF(B88:B88,"&gt;-1")&gt;0,ROUND((SUM(B88:B88)+COUNTIF(B88:B88,-1))/COUNTIF(B88:B88,"&gt;-1"),W88),ROUND(AVERAGE(B88:B88),W88))))</f>
        <v>34.1</v>
      </c>
      <c r="G88" s="106">
        <f>IF(F88="","",IF(VLOOKUP(A88,Test_Limits,2,FALSE)="","",VLOOKUP(A88,Test_Limits,2,FALSE)))</f>
        <v>28.7</v>
      </c>
      <c r="H88" s="77" t="str">
        <f>IF(G88="","",IF(AND(D88&lt;G88,D88&lt;&gt;T88),IF(VLOOKUP(A88,Test_Limits,5,FALSE)="PF","Fail","Info"),"Pass"))</f>
        <v>Pass</v>
      </c>
      <c r="I88" s="103">
        <f>IF(F88="","",IF(VLOOKUP(A88,Test_Limits,3,FALSE)="","",VLOOKUP(A88,Test_Limits,3,FALSE)))</f>
        <v>38.9</v>
      </c>
      <c r="J88" s="77" t="str">
        <f>IF(I88="","",IF(AND(E88&gt;I88,E88&lt;&gt;T88),IF(VLOOKUP(A88,Test_Limits,5,FALSE)="PF","Fail","Info"),"Pass"))</f>
        <v>Pass</v>
      </c>
      <c r="K88" s="328"/>
      <c r="L88" s="328"/>
      <c r="Q88" s="272"/>
      <c r="R88" s="320">
        <f>IF(H88="Info",G88,IF(J88="Info",G88,-1000000))</f>
        <v>-1000000</v>
      </c>
      <c r="S88" s="320">
        <f>IF(H88="Info",I88,IF(J88="Info",I88,1000000))</f>
        <v>1000000</v>
      </c>
      <c r="T88" s="320" t="str">
        <f>IF(VLOOKUP(A88,Test_Limits,7,FALSE)&lt;&gt;"",VLOOKUP(A88,Test_Limits,7,FALSE),"")</f>
        <v/>
      </c>
      <c r="U88" s="320">
        <f>IF(F88="",0,VLOOKUP(A88,Test_Limits,8,FALSE))</f>
        <v>1</v>
      </c>
      <c r="V88" s="320">
        <f t="shared" si="5"/>
        <v>1</v>
      </c>
      <c r="W88" s="321">
        <f>VLOOKUP(A88,Test_Limits,6,FALSE)</f>
        <v>1</v>
      </c>
      <c r="X88" s="272"/>
    </row>
    <row r="89" spans="1:24" ht="13.8" x14ac:dyDescent="0.3">
      <c r="A89" s="9" t="s">
        <v>347</v>
      </c>
      <c r="B89" s="21">
        <v>117.2</v>
      </c>
      <c r="C89" s="65" t="s">
        <v>692</v>
      </c>
      <c r="D89" s="106">
        <f>IF(C89="","",MIN(B89:B89))</f>
        <v>117.2</v>
      </c>
      <c r="E89" s="103">
        <f>IF(C89="","",MAX(B89:B89))</f>
        <v>117.2</v>
      </c>
      <c r="F89" s="64">
        <f>IF(C89="","",IF(C89="    N/A","",IF(COUNTIF(B89:B89,"&gt;-1")&gt;0,ROUND((SUM(B89:B89)+COUNTIF(B89:B89,-1))/COUNTIF(B89:B89,"&gt;-1"),W89),ROUND(AVERAGE(B89:B89),W89))))</f>
        <v>117.2</v>
      </c>
      <c r="G89" s="106">
        <f>IF(F89="","",IF(VLOOKUP(A89,Test_Limits,2,FALSE)="","",VLOOKUP(A89,Test_Limits,2,FALSE)))</f>
        <v>100</v>
      </c>
      <c r="H89" s="77" t="str">
        <f>IF(G89="","",IF(AND(D89&lt;G89,D89&lt;&gt;T89),IF(VLOOKUP(A89,Test_Limits,5,FALSE)="PF","Fail","Info"),"Pass"))</f>
        <v>Pass</v>
      </c>
      <c r="I89" s="103">
        <f>IF(F89="","",IF(VLOOKUP(A89,Test_Limits,3,FALSE)="","",VLOOKUP(A89,Test_Limits,3,FALSE)))</f>
        <v>9999</v>
      </c>
      <c r="J89" s="77" t="str">
        <f>IF(I89="","",IF(AND(E89&gt;I89,E89&lt;&gt;T89),IF(VLOOKUP(A89,Test_Limits,5,FALSE)="PF","Fail","Info"),"Pass"))</f>
        <v>Pass</v>
      </c>
      <c r="K89" s="328"/>
      <c r="L89" s="328"/>
      <c r="Q89" s="272"/>
      <c r="R89" s="320">
        <f>IF(H89="Info",G89,IF(J89="Info",G89,-1000000))</f>
        <v>-1000000</v>
      </c>
      <c r="S89" s="320">
        <f>IF(H89="Info",I89,IF(J89="Info",I89,1000000))</f>
        <v>1000000</v>
      </c>
      <c r="T89" s="320" t="str">
        <f>IF(VLOOKUP(A89,Test_Limits,7,FALSE)&lt;&gt;"",VLOOKUP(A89,Test_Limits,7,FALSE),"")</f>
        <v/>
      </c>
      <c r="U89" s="320">
        <f>IF(F89="",0,VLOOKUP(A89,Test_Limits,8,FALSE))</f>
        <v>5</v>
      </c>
      <c r="V89" s="320">
        <f t="shared" si="5"/>
        <v>5</v>
      </c>
      <c r="W89" s="321">
        <f>VLOOKUP(A89,Test_Limits,6,FALSE)</f>
        <v>1</v>
      </c>
      <c r="X89" s="272"/>
    </row>
    <row r="90" spans="1:24" ht="13.8" x14ac:dyDescent="0.3">
      <c r="A90" s="9" t="s">
        <v>116</v>
      </c>
      <c r="B90" s="21">
        <v>1</v>
      </c>
      <c r="C90" s="65" t="s">
        <v>684</v>
      </c>
      <c r="D90" s="106">
        <f>IF(C90="","",MIN(B90:B90))</f>
        <v>1</v>
      </c>
      <c r="E90" s="103">
        <f>IF(C90="","",MAX(B90:B90))</f>
        <v>1</v>
      </c>
      <c r="F90" s="64">
        <f>IF(C90="","",IF(C90="    N/A","",IF(COUNTIF(B90:B90,"&gt;-1")&gt;0,ROUND((SUM(B90:B90)+COUNTIF(B90:B90,-1))/COUNTIF(B90:B90,"&gt;-1"),W90),ROUND(AVERAGE(B90:B90),W90))))</f>
        <v>1</v>
      </c>
      <c r="G90" s="106">
        <f>IF(F90="","",IF(VLOOKUP(A90,Test_Limits,2,FALSE)="","",VLOOKUP(A90,Test_Limits,2,FALSE)))</f>
        <v>1</v>
      </c>
      <c r="H90" s="77" t="str">
        <f>IF(G90="","",IF(AND(D90&lt;G90,D90&lt;&gt;T90),IF(VLOOKUP(A90,Test_Limits,5,FALSE)="PF","Fail","Info"),"Pass"))</f>
        <v>Pass</v>
      </c>
      <c r="I90" s="103">
        <f>IF(F90="","",IF(VLOOKUP(A90,Test_Limits,3,FALSE)="","",VLOOKUP(A90,Test_Limits,3,FALSE)))</f>
        <v>1</v>
      </c>
      <c r="J90" s="77" t="str">
        <f>IF(I90="","",IF(AND(E90&gt;I90,E90&lt;&gt;T90),IF(VLOOKUP(A90,Test_Limits,5,FALSE)="PF","Fail","Info"),"Pass"))</f>
        <v>Pass</v>
      </c>
      <c r="K90" s="328"/>
      <c r="L90" s="328"/>
      <c r="Q90" s="272"/>
      <c r="R90" s="320">
        <f t="shared" ref="R90:R164" si="6">IF(H90="Info",G90,IF(J90="Info",G90,-1000000))</f>
        <v>-1000000</v>
      </c>
      <c r="S90" s="320">
        <f t="shared" ref="S90:S164" si="7">IF(H90="Info",I90,IF(J90="Info",I90,1000000))</f>
        <v>1000000</v>
      </c>
      <c r="T90" s="320" t="str">
        <f>IF(VLOOKUP(A90,Test_Limits,7,FALSE)&lt;&gt;"",VLOOKUP(A90,Test_Limits,7,FALSE),"")</f>
        <v/>
      </c>
      <c r="U90" s="320">
        <f>IF(F90="",0,VLOOKUP(A90,Test_Limits,8,FALSE))</f>
        <v>5</v>
      </c>
      <c r="V90" s="320">
        <f t="shared" si="5"/>
        <v>5</v>
      </c>
      <c r="W90" s="321">
        <f>VLOOKUP(A90,Test_Limits,6,FALSE)</f>
        <v>0</v>
      </c>
      <c r="X90" s="272"/>
    </row>
    <row r="91" spans="1:24" ht="13.8" x14ac:dyDescent="0.3">
      <c r="A91" s="9" t="s">
        <v>670</v>
      </c>
      <c r="B91" s="21"/>
      <c r="C91" s="65"/>
      <c r="D91" s="106" t="str">
        <f>IF(C91="","",MIN(B91:B91))</f>
        <v/>
      </c>
      <c r="E91" s="103" t="str">
        <f>IF(C91="","",MAX(B91:B91))</f>
        <v/>
      </c>
      <c r="F91" s="64" t="str">
        <f>IF(C91="","",IF(C91="    N/A","",IF(COUNTIF(B91:B91,"&gt;-1")&gt;0,ROUND((SUM(B91:B91)+COUNTIF(B91:B91,-1))/COUNTIF(B91:B91,"&gt;-1"),W91),ROUND(AVERAGE(B91:B91),W91))))</f>
        <v/>
      </c>
      <c r="G91" s="106" t="str">
        <f>IF(F91="","",IF(VLOOKUP(A91,Test_Limits,2,FALSE)="","",VLOOKUP(A91,Test_Limits,2,FALSE)))</f>
        <v/>
      </c>
      <c r="H91" s="77" t="str">
        <f>IF(G91="","",IF(AND(D91&lt;G91,D91&lt;&gt;T91),IF(VLOOKUP(A91,Test_Limits,5,FALSE)="PF","Fail","Info"),"Pass"))</f>
        <v/>
      </c>
      <c r="I91" s="103" t="str">
        <f>IF(F91="","",IF(VLOOKUP(A91,Test_Limits,3,FALSE)="","",VLOOKUP(A91,Test_Limits,3,FALSE)))</f>
        <v/>
      </c>
      <c r="J91" s="77" t="str">
        <f>IF(I91="","",IF(AND(E91&gt;I91,E91&lt;&gt;T91),IF(VLOOKUP(A91,Test_Limits,5,FALSE)="PF","Fail","Info"),"Pass"))</f>
        <v/>
      </c>
      <c r="K91" s="328"/>
      <c r="L91" s="328"/>
      <c r="Q91" s="272"/>
      <c r="R91" s="320">
        <f t="shared" si="6"/>
        <v>-1000000</v>
      </c>
      <c r="S91" s="320">
        <f t="shared" si="7"/>
        <v>1000000</v>
      </c>
      <c r="T91" s="320" t="e">
        <f>IF(VLOOKUP(A91,Test_Limits,7,FALSE)&lt;&gt;"",VLOOKUP(A91,Test_Limits,7,FALSE),"")</f>
        <v>#N/A</v>
      </c>
      <c r="U91" s="320">
        <f>IF(F91="",0,VLOOKUP(A91,Test_Limits,8,FALSE))</f>
        <v>0</v>
      </c>
      <c r="V91" s="320">
        <f t="shared" si="5"/>
        <v>0</v>
      </c>
      <c r="W91" s="321" t="e">
        <f>VLOOKUP(A91,Test_Limits,6,FALSE)</f>
        <v>#N/A</v>
      </c>
      <c r="X91" s="272"/>
    </row>
    <row r="92" spans="1:24" ht="13.8" x14ac:dyDescent="0.3">
      <c r="A92" s="9" t="s">
        <v>626</v>
      </c>
      <c r="B92" s="21">
        <v>99.3</v>
      </c>
      <c r="C92" s="65" t="s">
        <v>685</v>
      </c>
      <c r="D92" s="106">
        <f>IF(C92="","",MIN(B92:B92))</f>
        <v>99.3</v>
      </c>
      <c r="E92" s="103">
        <f>IF(C92="","",MAX(B92:B92))</f>
        <v>99.3</v>
      </c>
      <c r="F92" s="64">
        <f>IF(C92="","",IF(C92="    N/A","",IF(COUNTIF(B92:B92,"&gt;-1")&gt;0,ROUND((SUM(B92:B92)+COUNTIF(B92:B92,-1))/COUNTIF(B92:B92,"&gt;-1"),W92),ROUND(AVERAGE(B92:B92),W92))))</f>
        <v>99.3</v>
      </c>
      <c r="G92" s="106">
        <f>IF(F92="","",IF(VLOOKUP(A92,Test_Limits,2,FALSE)="","",VLOOKUP(A92,Test_Limits,2,FALSE)))</f>
        <v>0</v>
      </c>
      <c r="H92" s="77" t="str">
        <f>IF(G92="","",IF(AND(D92&lt;G92,D92&lt;&gt;T92),IF(VLOOKUP(A92,Test_Limits,5,FALSE)="PF","Fail","Info"),"Pass"))</f>
        <v>Pass</v>
      </c>
      <c r="I92" s="103">
        <f>IF(F92="","",IF(VLOOKUP(A92,Test_Limits,3,FALSE)="","",VLOOKUP(A92,Test_Limits,3,FALSE)))</f>
        <v>1750</v>
      </c>
      <c r="J92" s="77" t="str">
        <f>IF(I92="","",IF(AND(E92&gt;I92,E92&lt;&gt;T92),IF(VLOOKUP(A92,Test_Limits,5,FALSE)="PF","Fail","Info"),"Pass"))</f>
        <v>Pass</v>
      </c>
      <c r="K92" s="328"/>
      <c r="L92" s="328"/>
      <c r="Q92" s="272"/>
      <c r="R92" s="320">
        <f t="shared" si="6"/>
        <v>-1000000</v>
      </c>
      <c r="S92" s="320">
        <f t="shared" si="7"/>
        <v>1000000</v>
      </c>
      <c r="T92" s="320" t="str">
        <f>IF(VLOOKUP(A92,Test_Limits,7,FALSE)&lt;&gt;"",VLOOKUP(A92,Test_Limits,7,FALSE),"")</f>
        <v/>
      </c>
      <c r="U92" s="320">
        <f>IF(F92="",0,VLOOKUP(A92,Test_Limits,8,FALSE))</f>
        <v>3</v>
      </c>
      <c r="V92" s="320">
        <f t="shared" si="5"/>
        <v>3</v>
      </c>
      <c r="W92" s="321">
        <f>VLOOKUP(A92,Test_Limits,6,FALSE)</f>
        <v>1</v>
      </c>
      <c r="X92" s="272"/>
    </row>
    <row r="93" spans="1:24" ht="13.8" x14ac:dyDescent="0.3">
      <c r="A93" s="9" t="s">
        <v>199</v>
      </c>
      <c r="B93" s="21">
        <v>401.3</v>
      </c>
      <c r="C93" s="65" t="s">
        <v>685</v>
      </c>
      <c r="D93" s="106">
        <f>IF(C93="","",MIN(B93:B93))</f>
        <v>401.3</v>
      </c>
      <c r="E93" s="103">
        <f>IF(C93="","",MAX(B93:B93))</f>
        <v>401.3</v>
      </c>
      <c r="F93" s="64">
        <f>IF(C93="","",IF(C93="    N/A","",IF(COUNTIF(B93:B93,"&gt;-1")&gt;0,ROUND((SUM(B93:B93)+COUNTIF(B93:B93,-1))/COUNTIF(B93:B93,"&gt;-1"),W93),ROUND(AVERAGE(B93:B93),W93))))</f>
        <v>401.3</v>
      </c>
      <c r="G93" s="106">
        <f>IF(F93="","",IF(VLOOKUP(A93,Test_Limits,2,FALSE)="","",VLOOKUP(A93,Test_Limits,2,FALSE)))</f>
        <v>400</v>
      </c>
      <c r="H93" s="77" t="str">
        <f>IF(G93="","",IF(AND(D93&lt;G93,D93&lt;&gt;T93),IF(VLOOKUP(A93,Test_Limits,5,FALSE)="PF","Fail","Info"),"Pass"))</f>
        <v>Pass</v>
      </c>
      <c r="I93" s="103">
        <f>IF(F93="","",IF(VLOOKUP(A93,Test_Limits,3,FALSE)="","",VLOOKUP(A93,Test_Limits,3,FALSE)))</f>
        <v>1750</v>
      </c>
      <c r="J93" s="77" t="str">
        <f>IF(I93="","",IF(AND(E93&gt;I93,E93&lt;&gt;T93),IF(VLOOKUP(A93,Test_Limits,5,FALSE)="PF","Fail","Info"),"Pass"))</f>
        <v>Pass</v>
      </c>
      <c r="K93" s="328"/>
      <c r="L93" s="328"/>
      <c r="Q93" s="272"/>
      <c r="R93" s="320">
        <f t="shared" si="6"/>
        <v>-1000000</v>
      </c>
      <c r="S93" s="320">
        <f t="shared" si="7"/>
        <v>1000000</v>
      </c>
      <c r="T93" s="320" t="str">
        <f>IF(VLOOKUP(A93,Test_Limits,7,FALSE)&lt;&gt;"",VLOOKUP(A93,Test_Limits,7,FALSE),"")</f>
        <v/>
      </c>
      <c r="U93" s="320">
        <f>IF(F93="",0,VLOOKUP(A93,Test_Limits,8,FALSE))</f>
        <v>5</v>
      </c>
      <c r="V93" s="320">
        <f t="shared" si="5"/>
        <v>5</v>
      </c>
      <c r="W93" s="321">
        <f>VLOOKUP(A93,Test_Limits,6,FALSE)</f>
        <v>1</v>
      </c>
      <c r="X93" s="272"/>
    </row>
    <row r="94" spans="1:24" ht="13.8" x14ac:dyDescent="0.3">
      <c r="A94" s="9" t="s">
        <v>200</v>
      </c>
      <c r="B94" s="21">
        <v>61.7</v>
      </c>
      <c r="C94" s="65" t="s">
        <v>688</v>
      </c>
      <c r="D94" s="106">
        <f>IF(C94="","",MIN(B94:B94))</f>
        <v>61.7</v>
      </c>
      <c r="E94" s="103">
        <f>IF(C94="","",MAX(B94:B94))</f>
        <v>61.7</v>
      </c>
      <c r="F94" s="64">
        <f>IF(C94="","",IF(C94="    N/A","",IF(COUNTIF(B94:B94,"&gt;-1")&gt;0,ROUND((SUM(B94:B94)+COUNTIF(B94:B94,-1))/COUNTIF(B94:B94,"&gt;-1"),W94),ROUND(AVERAGE(B94:B94),W94))))</f>
        <v>61.7</v>
      </c>
      <c r="G94" s="106">
        <f>IF(F94="","",IF(VLOOKUP(A94,Test_Limits,2,FALSE)="","",VLOOKUP(A94,Test_Limits,2,FALSE)))</f>
        <v>10</v>
      </c>
      <c r="H94" s="77" t="str">
        <f>IF(G94="","",IF(AND(D94&lt;G94,D94&lt;&gt;T94),IF(VLOOKUP(A94,Test_Limits,5,FALSE)="PF","Fail","Info"),"Pass"))</f>
        <v>Pass</v>
      </c>
      <c r="I94" s="103">
        <f>IF(F94="","",IF(VLOOKUP(A94,Test_Limits,3,FALSE)="","",VLOOKUP(A94,Test_Limits,3,FALSE)))</f>
        <v>9999</v>
      </c>
      <c r="J94" s="77" t="str">
        <f>IF(I94="","",IF(AND(E94&gt;I94,E94&lt;&gt;T94),IF(VLOOKUP(A94,Test_Limits,5,FALSE)="PF","Fail","Info"),"Pass"))</f>
        <v>Pass</v>
      </c>
      <c r="K94" s="328"/>
      <c r="L94" s="328"/>
      <c r="Q94" s="272"/>
      <c r="R94" s="320">
        <f t="shared" si="6"/>
        <v>-1000000</v>
      </c>
      <c r="S94" s="320">
        <f t="shared" si="7"/>
        <v>1000000</v>
      </c>
      <c r="T94" s="320" t="str">
        <f>IF(VLOOKUP(A94,Test_Limits,7,FALSE)&lt;&gt;"",VLOOKUP(A94,Test_Limits,7,FALSE),"")</f>
        <v/>
      </c>
      <c r="U94" s="320">
        <f>IF(F94="",0,VLOOKUP(A94,Test_Limits,8,FALSE))</f>
        <v>3</v>
      </c>
      <c r="V94" s="320">
        <f t="shared" si="5"/>
        <v>3</v>
      </c>
      <c r="W94" s="321">
        <f>VLOOKUP(A94,Test_Limits,6,FALSE)</f>
        <v>1</v>
      </c>
      <c r="X94" s="272"/>
    </row>
    <row r="95" spans="1:24" ht="13.8" x14ac:dyDescent="0.3">
      <c r="A95" s="9" t="s">
        <v>201</v>
      </c>
      <c r="B95" s="21">
        <v>54.4</v>
      </c>
      <c r="C95" s="65" t="s">
        <v>681</v>
      </c>
      <c r="D95" s="106">
        <f>IF(C95="","",MIN(B95:B95))</f>
        <v>54.4</v>
      </c>
      <c r="E95" s="103">
        <f>IF(C95="","",MAX(B95:B95))</f>
        <v>54.4</v>
      </c>
      <c r="F95" s="64">
        <f>IF(C95="","",IF(C95="    N/A","",IF(COUNTIF(B95:B95,"&gt;-1")&gt;0,ROUND((SUM(B95:B95)+COUNTIF(B95:B95,-1))/COUNTIF(B95:B95,"&gt;-1"),W95),ROUND(AVERAGE(B95:B95),W95))))</f>
        <v>54.4</v>
      </c>
      <c r="G95" s="106">
        <f>IF(F95="","",IF(VLOOKUP(A95,Test_Limits,2,FALSE)="","",VLOOKUP(A95,Test_Limits,2,FALSE)))</f>
        <v>50</v>
      </c>
      <c r="H95" s="77" t="str">
        <f>IF(G95="","",IF(AND(D95&lt;G95,D95&lt;&gt;T95),IF(VLOOKUP(A95,Test_Limits,5,FALSE)="PF","Fail","Info"),"Pass"))</f>
        <v>Pass</v>
      </c>
      <c r="I95" s="103">
        <f>IF(F95="","",IF(VLOOKUP(A95,Test_Limits,3,FALSE)="","",VLOOKUP(A95,Test_Limits,3,FALSE)))</f>
        <v>57</v>
      </c>
      <c r="J95" s="77" t="str">
        <f>IF(I95="","",IF(AND(E95&gt;I95,E95&lt;&gt;T95),IF(VLOOKUP(A95,Test_Limits,5,FALSE)="PF","Fail","Info"),"Pass"))</f>
        <v>Pass</v>
      </c>
      <c r="K95" s="328"/>
      <c r="L95" s="328"/>
      <c r="Q95" s="272"/>
      <c r="R95" s="320">
        <f t="shared" si="6"/>
        <v>-1000000</v>
      </c>
      <c r="S95" s="320">
        <f t="shared" si="7"/>
        <v>1000000</v>
      </c>
      <c r="T95" s="320" t="str">
        <f>IF(VLOOKUP(A95,Test_Limits,7,FALSE)&lt;&gt;"",VLOOKUP(A95,Test_Limits,7,FALSE),"")</f>
        <v/>
      </c>
      <c r="U95" s="320">
        <f>IF(F95="",0,VLOOKUP(A95,Test_Limits,8,FALSE))</f>
        <v>5</v>
      </c>
      <c r="V95" s="320">
        <f t="shared" si="5"/>
        <v>5</v>
      </c>
      <c r="W95" s="321">
        <f>VLOOKUP(A95,Test_Limits,6,FALSE)</f>
        <v>1</v>
      </c>
      <c r="X95" s="272"/>
    </row>
    <row r="96" spans="1:24" ht="13.8" x14ac:dyDescent="0.3">
      <c r="A96" s="9" t="s">
        <v>202</v>
      </c>
      <c r="B96" s="21">
        <v>101.3</v>
      </c>
      <c r="C96" s="65" t="s">
        <v>685</v>
      </c>
      <c r="D96" s="106">
        <f>IF(C96="","",MIN(B96:B96))</f>
        <v>101.3</v>
      </c>
      <c r="E96" s="103">
        <f>IF(C96="","",MAX(B96:B96))</f>
        <v>101.3</v>
      </c>
      <c r="F96" s="64">
        <f>IF(C96="","",IF(C96="    N/A","",IF(COUNTIF(B96:B96,"&gt;-1")&gt;0,ROUND((SUM(B96:B96)+COUNTIF(B96:B96,-1))/COUNTIF(B96:B96,"&gt;-1"),W96),ROUND(AVERAGE(B96:B96),W96))))</f>
        <v>101.3</v>
      </c>
      <c r="G96" s="106">
        <f>IF(F96="","",IF(VLOOKUP(A96,Test_Limits,2,FALSE)="","",VLOOKUP(A96,Test_Limits,2,FALSE)))</f>
        <v>400</v>
      </c>
      <c r="H96" s="77" t="str">
        <f>IF(G96="","",IF(AND(D96&lt;G96,D96&lt;&gt;T96),IF(VLOOKUP(A96,Test_Limits,5,FALSE)="PF","Fail","Info"),"Pass"))</f>
        <v>Info</v>
      </c>
      <c r="I96" s="103">
        <f>IF(F96="","",IF(VLOOKUP(A96,Test_Limits,3,FALSE)="","",VLOOKUP(A96,Test_Limits,3,FALSE)))</f>
        <v>1750</v>
      </c>
      <c r="J96" s="77" t="str">
        <f>IF(I96="","",IF(AND(E96&gt;I96,E96&lt;&gt;T96),IF(VLOOKUP(A96,Test_Limits,5,FALSE)="PF","Fail","Info"),"Pass"))</f>
        <v>Pass</v>
      </c>
      <c r="K96" s="328"/>
      <c r="L96" s="328"/>
      <c r="Q96" s="272"/>
      <c r="R96" s="320">
        <f t="shared" si="6"/>
        <v>400</v>
      </c>
      <c r="S96" s="320">
        <f t="shared" si="7"/>
        <v>1750</v>
      </c>
      <c r="T96" s="320" t="str">
        <f>IF(VLOOKUP(A96,Test_Limits,7,FALSE)&lt;&gt;"",VLOOKUP(A96,Test_Limits,7,FALSE),"")</f>
        <v/>
      </c>
      <c r="U96" s="320">
        <f>IF(F96="",0,VLOOKUP(A96,Test_Limits,8,FALSE))</f>
        <v>1</v>
      </c>
      <c r="V96" s="320">
        <f t="shared" si="5"/>
        <v>0</v>
      </c>
      <c r="W96" s="321">
        <f>VLOOKUP(A96,Test_Limits,6,FALSE)</f>
        <v>1</v>
      </c>
      <c r="X96" s="272"/>
    </row>
    <row r="97" spans="1:24" ht="13.8" x14ac:dyDescent="0.3">
      <c r="A97" s="9" t="s">
        <v>338</v>
      </c>
      <c r="B97" s="21">
        <v>108.4</v>
      </c>
      <c r="C97" s="65" t="s">
        <v>692</v>
      </c>
      <c r="D97" s="106">
        <f>IF(C97="","",MIN(B97:B97))</f>
        <v>108.4</v>
      </c>
      <c r="E97" s="103">
        <f>IF(C97="","",MAX(B97:B97))</f>
        <v>108.4</v>
      </c>
      <c r="F97" s="64">
        <f>IF(C97="","",IF(C97="    N/A","",IF(COUNTIF(B97:B97,"&gt;-1")&gt;0,ROUND((SUM(B97:B97)+COUNTIF(B97:B97,-1))/COUNTIF(B97:B97,"&gt;-1"),W97),ROUND(AVERAGE(B97:B97),W97))))</f>
        <v>108.4</v>
      </c>
      <c r="G97" s="106">
        <f>IF(F97="","",IF(VLOOKUP(A97,Test_Limits,2,FALSE)="","",VLOOKUP(A97,Test_Limits,2,FALSE)))</f>
        <v>92.4</v>
      </c>
      <c r="H97" s="77" t="str">
        <f>IF(G97="","",IF(AND(D97&lt;G97,D97&lt;&gt;T97),IF(VLOOKUP(A97,Test_Limits,5,FALSE)="PF","Fail","Info"),"Pass"))</f>
        <v>Pass</v>
      </c>
      <c r="I97" s="103">
        <f>IF(F97="","",IF(VLOOKUP(A97,Test_Limits,3,FALSE)="","",VLOOKUP(A97,Test_Limits,3,FALSE)))</f>
        <v>115</v>
      </c>
      <c r="J97" s="77" t="str">
        <f>IF(I97="","",IF(AND(E97&gt;I97,E97&lt;&gt;T97),IF(VLOOKUP(A97,Test_Limits,5,FALSE)="PF","Fail","Info"),"Pass"))</f>
        <v>Pass</v>
      </c>
      <c r="K97" s="328"/>
      <c r="L97" s="328"/>
      <c r="Q97" s="272"/>
      <c r="R97" s="320">
        <f t="shared" si="6"/>
        <v>-1000000</v>
      </c>
      <c r="S97" s="320">
        <f t="shared" si="7"/>
        <v>1000000</v>
      </c>
      <c r="T97" s="320" t="str">
        <f>IF(VLOOKUP(A97,Test_Limits,7,FALSE)&lt;&gt;"",VLOOKUP(A97,Test_Limits,7,FALSE),"")</f>
        <v/>
      </c>
      <c r="U97" s="320">
        <f>IF(F97="",0,VLOOKUP(A97,Test_Limits,8,FALSE))</f>
        <v>3</v>
      </c>
      <c r="V97" s="320">
        <f t="shared" si="5"/>
        <v>3</v>
      </c>
      <c r="W97" s="321">
        <f>VLOOKUP(A97,Test_Limits,6,FALSE)</f>
        <v>1</v>
      </c>
      <c r="X97" s="272"/>
    </row>
    <row r="98" spans="1:24" ht="13.8" x14ac:dyDescent="0.3">
      <c r="A98" s="9" t="s">
        <v>627</v>
      </c>
      <c r="B98" s="21">
        <v>100.3</v>
      </c>
      <c r="C98" s="65" t="s">
        <v>685</v>
      </c>
      <c r="D98" s="106">
        <f>IF(C98="","",MIN(B98:B98))</f>
        <v>100.3</v>
      </c>
      <c r="E98" s="103">
        <f>IF(C98="","",MAX(B98:B98))</f>
        <v>100.3</v>
      </c>
      <c r="F98" s="64">
        <f>IF(C98="","",IF(C98="    N/A","",IF(COUNTIF(B98:B98,"&gt;-1")&gt;0,ROUND((SUM(B98:B98)+COUNTIF(B98:B98,-1))/COUNTIF(B98:B98,"&gt;-1"),W98),ROUND(AVERAGE(B98:B98),W98))))</f>
        <v>100.3</v>
      </c>
      <c r="G98" s="106">
        <f>IF(F98="","",IF(VLOOKUP(A98,Test_Limits,2,FALSE)="","",VLOOKUP(A98,Test_Limits,2,FALSE)))</f>
        <v>0</v>
      </c>
      <c r="H98" s="77" t="str">
        <f>IF(G98="","",IF(AND(D98&lt;G98,D98&lt;&gt;T98),IF(VLOOKUP(A98,Test_Limits,5,FALSE)="PF","Fail","Info"),"Pass"))</f>
        <v>Pass</v>
      </c>
      <c r="I98" s="103">
        <f>IF(F98="","",IF(VLOOKUP(A98,Test_Limits,3,FALSE)="","",VLOOKUP(A98,Test_Limits,3,FALSE)))</f>
        <v>1750</v>
      </c>
      <c r="J98" s="77" t="str">
        <f>IF(I98="","",IF(AND(E98&gt;I98,E98&lt;&gt;T98),IF(VLOOKUP(A98,Test_Limits,5,FALSE)="PF","Fail","Info"),"Pass"))</f>
        <v>Pass</v>
      </c>
      <c r="K98" s="328"/>
      <c r="L98" s="328"/>
      <c r="Q98" s="272"/>
      <c r="R98" s="320">
        <f t="shared" si="6"/>
        <v>-1000000</v>
      </c>
      <c r="S98" s="320">
        <f t="shared" si="7"/>
        <v>1000000</v>
      </c>
      <c r="T98" s="320" t="str">
        <f>IF(VLOOKUP(A98,Test_Limits,7,FALSE)&lt;&gt;"",VLOOKUP(A98,Test_Limits,7,FALSE),"")</f>
        <v/>
      </c>
      <c r="U98" s="320">
        <f>IF(F98="",0,VLOOKUP(A98,Test_Limits,8,FALSE))</f>
        <v>3</v>
      </c>
      <c r="V98" s="320">
        <f t="shared" si="5"/>
        <v>3</v>
      </c>
      <c r="W98" s="321">
        <f>VLOOKUP(A98,Test_Limits,6,FALSE)</f>
        <v>1</v>
      </c>
      <c r="X98" s="272"/>
    </row>
    <row r="99" spans="1:24" ht="13.8" x14ac:dyDescent="0.3">
      <c r="A99" s="9" t="s">
        <v>203</v>
      </c>
      <c r="B99" s="21">
        <v>685.3</v>
      </c>
      <c r="C99" s="65" t="s">
        <v>685</v>
      </c>
      <c r="D99" s="106">
        <f>IF(C99="","",MIN(B99:B99))</f>
        <v>685.3</v>
      </c>
      <c r="E99" s="103">
        <f>IF(C99="","",MAX(B99:B99))</f>
        <v>685.3</v>
      </c>
      <c r="F99" s="64">
        <f>IF(C99="","",IF(C99="    N/A","",IF(COUNTIF(B99:B99,"&gt;-1")&gt;0,ROUND((SUM(B99:B99)+COUNTIF(B99:B99,-1))/COUNTIF(B99:B99,"&gt;-1"),W99),ROUND(AVERAGE(B99:B99),W99))))</f>
        <v>685.3</v>
      </c>
      <c r="G99" s="106">
        <f>IF(F99="","",IF(VLOOKUP(A99,Test_Limits,2,FALSE)="","",VLOOKUP(A99,Test_Limits,2,FALSE)))</f>
        <v>683</v>
      </c>
      <c r="H99" s="77" t="str">
        <f>IF(G99="","",IF(AND(D99&lt;G99,D99&lt;&gt;T99),IF(VLOOKUP(A99,Test_Limits,5,FALSE)="PF","Fail","Info"),"Pass"))</f>
        <v>Pass</v>
      </c>
      <c r="I99" s="103">
        <f>IF(F99="","",IF(VLOOKUP(A99,Test_Limits,3,FALSE)="","",VLOOKUP(A99,Test_Limits,3,FALSE)))</f>
        <v>1750</v>
      </c>
      <c r="J99" s="77" t="str">
        <f>IF(I99="","",IF(AND(E99&gt;I99,E99&lt;&gt;T99),IF(VLOOKUP(A99,Test_Limits,5,FALSE)="PF","Fail","Info"),"Pass"))</f>
        <v>Pass</v>
      </c>
      <c r="K99" s="328"/>
      <c r="L99" s="328"/>
      <c r="Q99" s="272"/>
      <c r="R99" s="320">
        <f t="shared" si="6"/>
        <v>-1000000</v>
      </c>
      <c r="S99" s="320">
        <f t="shared" si="7"/>
        <v>1000000</v>
      </c>
      <c r="T99" s="320" t="str">
        <f>IF(VLOOKUP(A99,Test_Limits,7,FALSE)&lt;&gt;"",VLOOKUP(A99,Test_Limits,7,FALSE),"")</f>
        <v/>
      </c>
      <c r="U99" s="320">
        <f>IF(F99="",0,VLOOKUP(A99,Test_Limits,8,FALSE))</f>
        <v>5</v>
      </c>
      <c r="V99" s="320">
        <f t="shared" si="5"/>
        <v>5</v>
      </c>
      <c r="W99" s="321">
        <f>VLOOKUP(A99,Test_Limits,6,FALSE)</f>
        <v>1</v>
      </c>
      <c r="X99" s="272"/>
    </row>
    <row r="100" spans="1:24" ht="13.8" x14ac:dyDescent="0.3">
      <c r="A100" s="9" t="s">
        <v>204</v>
      </c>
      <c r="B100" s="21">
        <v>61.7</v>
      </c>
      <c r="C100" s="65" t="s">
        <v>688</v>
      </c>
      <c r="D100" s="106">
        <f>IF(C100="","",MIN(B100:B100))</f>
        <v>61.7</v>
      </c>
      <c r="E100" s="103">
        <f>IF(C100="","",MAX(B100:B100))</f>
        <v>61.7</v>
      </c>
      <c r="F100" s="64">
        <f>IF(C100="","",IF(C100="    N/A","",IF(COUNTIF(B100:B100,"&gt;-1")&gt;0,ROUND((SUM(B100:B100)+COUNTIF(B100:B100,-1))/COUNTIF(B100:B100,"&gt;-1"),W100),ROUND(AVERAGE(B100:B100),W100))))</f>
        <v>61.7</v>
      </c>
      <c r="G100" s="106">
        <f>IF(F100="","",IF(VLOOKUP(A100,Test_Limits,2,FALSE)="","",VLOOKUP(A100,Test_Limits,2,FALSE)))</f>
        <v>10</v>
      </c>
      <c r="H100" s="77" t="str">
        <f>IF(G100="","",IF(AND(D100&lt;G100,D100&lt;&gt;T100),IF(VLOOKUP(A100,Test_Limits,5,FALSE)="PF","Fail","Info"),"Pass"))</f>
        <v>Pass</v>
      </c>
      <c r="I100" s="103">
        <f>IF(F100="","",IF(VLOOKUP(A100,Test_Limits,3,FALSE)="","",VLOOKUP(A100,Test_Limits,3,FALSE)))</f>
        <v>75</v>
      </c>
      <c r="J100" s="77" t="str">
        <f>IF(I100="","",IF(AND(E100&gt;I100,E100&lt;&gt;T100),IF(VLOOKUP(A100,Test_Limits,5,FALSE)="PF","Fail","Info"),"Pass"))</f>
        <v>Pass</v>
      </c>
      <c r="K100" s="328"/>
      <c r="L100" s="328"/>
      <c r="Q100" s="272"/>
      <c r="R100" s="320">
        <f t="shared" si="6"/>
        <v>-1000000</v>
      </c>
      <c r="S100" s="320">
        <f t="shared" si="7"/>
        <v>1000000</v>
      </c>
      <c r="T100" s="320" t="str">
        <f>IF(VLOOKUP(A100,Test_Limits,7,FALSE)&lt;&gt;"",VLOOKUP(A100,Test_Limits,7,FALSE),"")</f>
        <v/>
      </c>
      <c r="U100" s="320">
        <f>IF(F100="",0,VLOOKUP(A100,Test_Limits,8,FALSE))</f>
        <v>3</v>
      </c>
      <c r="V100" s="320">
        <f t="shared" si="5"/>
        <v>3</v>
      </c>
      <c r="W100" s="321">
        <f>VLOOKUP(A100,Test_Limits,6,FALSE)</f>
        <v>1</v>
      </c>
      <c r="X100" s="272"/>
    </row>
    <row r="101" spans="1:24" ht="13.8" x14ac:dyDescent="0.3">
      <c r="A101" s="9" t="s">
        <v>205</v>
      </c>
      <c r="B101" s="21">
        <v>53.9</v>
      </c>
      <c r="C101" s="65" t="s">
        <v>681</v>
      </c>
      <c r="D101" s="106">
        <f>IF(C101="","",MIN(B101:B101))</f>
        <v>53.9</v>
      </c>
      <c r="E101" s="103">
        <f>IF(C101="","",MAX(B101:B101))</f>
        <v>53.9</v>
      </c>
      <c r="F101" s="64">
        <f>IF(C101="","",IF(C101="    N/A","",IF(COUNTIF(B101:B101,"&gt;-1")&gt;0,ROUND((SUM(B101:B101)+COUNTIF(B101:B101,-1))/COUNTIF(B101:B101,"&gt;-1"),W101),ROUND(AVERAGE(B101:B101),W101))))</f>
        <v>53.9</v>
      </c>
      <c r="G101" s="106">
        <f>IF(F101="","",IF(VLOOKUP(A101,Test_Limits,2,FALSE)="","",VLOOKUP(A101,Test_Limits,2,FALSE)))</f>
        <v>50</v>
      </c>
      <c r="H101" s="77" t="str">
        <f>IF(G101="","",IF(AND(D101&lt;G101,D101&lt;&gt;T101),IF(VLOOKUP(A101,Test_Limits,5,FALSE)="PF","Fail","Info"),"Pass"))</f>
        <v>Pass</v>
      </c>
      <c r="I101" s="103">
        <f>IF(F101="","",IF(VLOOKUP(A101,Test_Limits,3,FALSE)="","",VLOOKUP(A101,Test_Limits,3,FALSE)))</f>
        <v>57</v>
      </c>
      <c r="J101" s="77" t="str">
        <f>IF(I101="","",IF(AND(E101&gt;I101,E101&lt;&gt;T101),IF(VLOOKUP(A101,Test_Limits,5,FALSE)="PF","Fail","Info"),"Pass"))</f>
        <v>Pass</v>
      </c>
      <c r="K101" s="328"/>
      <c r="L101" s="328"/>
      <c r="Q101" s="272"/>
      <c r="R101" s="320">
        <f t="shared" si="6"/>
        <v>-1000000</v>
      </c>
      <c r="S101" s="320">
        <f t="shared" si="7"/>
        <v>1000000</v>
      </c>
      <c r="T101" s="320" t="str">
        <f>IF(VLOOKUP(A101,Test_Limits,7,FALSE)&lt;&gt;"",VLOOKUP(A101,Test_Limits,7,FALSE),"")</f>
        <v/>
      </c>
      <c r="U101" s="320">
        <f>IF(F101="",0,VLOOKUP(A101,Test_Limits,8,FALSE))</f>
        <v>5</v>
      </c>
      <c r="V101" s="320">
        <f t="shared" si="5"/>
        <v>5</v>
      </c>
      <c r="W101" s="321">
        <f>VLOOKUP(A101,Test_Limits,6,FALSE)</f>
        <v>1</v>
      </c>
      <c r="X101" s="272"/>
    </row>
    <row r="102" spans="1:24" ht="13.8" x14ac:dyDescent="0.3">
      <c r="A102" s="9" t="s">
        <v>206</v>
      </c>
      <c r="B102" s="21">
        <v>949.5</v>
      </c>
      <c r="C102" s="65" t="s">
        <v>685</v>
      </c>
      <c r="D102" s="106">
        <f>IF(C102="","",MIN(B102:B102))</f>
        <v>949.5</v>
      </c>
      <c r="E102" s="103">
        <f>IF(C102="","",MAX(B102:B102))</f>
        <v>949.5</v>
      </c>
      <c r="F102" s="64">
        <f>IF(C102="","",IF(C102="    N/A","",IF(COUNTIF(B102:B102,"&gt;-1")&gt;0,ROUND((SUM(B102:B102)+COUNTIF(B102:B102,-1))/COUNTIF(B102:B102,"&gt;-1"),W102),ROUND(AVERAGE(B102:B102),W102))))</f>
        <v>949.5</v>
      </c>
      <c r="G102" s="106">
        <f>IF(F102="","",IF(VLOOKUP(A102,Test_Limits,2,FALSE)="","",VLOOKUP(A102,Test_Limits,2,FALSE)))</f>
        <v>683</v>
      </c>
      <c r="H102" s="77" t="str">
        <f>IF(G102="","",IF(AND(D102&lt;G102,D102&lt;&gt;T102),IF(VLOOKUP(A102,Test_Limits,5,FALSE)="PF","Fail","Info"),"Pass"))</f>
        <v>Pass</v>
      </c>
      <c r="I102" s="103">
        <f>IF(F102="","",IF(VLOOKUP(A102,Test_Limits,3,FALSE)="","",VLOOKUP(A102,Test_Limits,3,FALSE)))</f>
        <v>1750</v>
      </c>
      <c r="J102" s="77" t="str">
        <f>IF(I102="","",IF(AND(E102&gt;I102,E102&lt;&gt;T102),IF(VLOOKUP(A102,Test_Limits,5,FALSE)="PF","Fail","Info"),"Pass"))</f>
        <v>Pass</v>
      </c>
      <c r="K102" s="328"/>
      <c r="L102" s="328"/>
      <c r="Q102" s="272"/>
      <c r="R102" s="320">
        <f t="shared" si="6"/>
        <v>-1000000</v>
      </c>
      <c r="S102" s="320">
        <f t="shared" si="7"/>
        <v>1000000</v>
      </c>
      <c r="T102" s="320" t="str">
        <f>IF(VLOOKUP(A102,Test_Limits,7,FALSE)&lt;&gt;"",VLOOKUP(A102,Test_Limits,7,FALSE),"")</f>
        <v/>
      </c>
      <c r="U102" s="320">
        <f>IF(F102="",0,VLOOKUP(A102,Test_Limits,8,FALSE))</f>
        <v>1</v>
      </c>
      <c r="V102" s="320">
        <f t="shared" si="5"/>
        <v>1</v>
      </c>
      <c r="W102" s="321">
        <f>VLOOKUP(A102,Test_Limits,6,FALSE)</f>
        <v>1</v>
      </c>
      <c r="X102" s="272"/>
    </row>
    <row r="103" spans="1:24" ht="13.8" x14ac:dyDescent="0.3">
      <c r="A103" s="9" t="s">
        <v>339</v>
      </c>
      <c r="B103" s="21">
        <v>107.3</v>
      </c>
      <c r="C103" s="65" t="s">
        <v>692</v>
      </c>
      <c r="D103" s="106">
        <f>IF(C103="","",MIN(B103:B103))</f>
        <v>107.3</v>
      </c>
      <c r="E103" s="103">
        <f>IF(C103="","",MAX(B103:B103))</f>
        <v>107.3</v>
      </c>
      <c r="F103" s="64">
        <f>IF(C103="","",IF(C103="    N/A","",IF(COUNTIF(B103:B103,"&gt;-1")&gt;0,ROUND((SUM(B103:B103)+COUNTIF(B103:B103,-1))/COUNTIF(B103:B103,"&gt;-1"),W103),ROUND(AVERAGE(B103:B103),W103))))</f>
        <v>107.3</v>
      </c>
      <c r="G103" s="106">
        <f>IF(F103="","",IF(VLOOKUP(A103,Test_Limits,2,FALSE)="","",VLOOKUP(A103,Test_Limits,2,FALSE)))</f>
        <v>92.4</v>
      </c>
      <c r="H103" s="77" t="str">
        <f>IF(G103="","",IF(AND(D103&lt;G103,D103&lt;&gt;T103),IF(VLOOKUP(A103,Test_Limits,5,FALSE)="PF","Fail","Info"),"Pass"))</f>
        <v>Pass</v>
      </c>
      <c r="I103" s="103">
        <f>IF(F103="","",IF(VLOOKUP(A103,Test_Limits,3,FALSE)="","",VLOOKUP(A103,Test_Limits,3,FALSE)))</f>
        <v>115</v>
      </c>
      <c r="J103" s="77" t="str">
        <f>IF(I103="","",IF(AND(E103&gt;I103,E103&lt;&gt;T103),IF(VLOOKUP(A103,Test_Limits,5,FALSE)="PF","Fail","Info"),"Pass"))</f>
        <v>Pass</v>
      </c>
      <c r="K103" s="328"/>
      <c r="L103" s="328"/>
      <c r="Q103" s="272"/>
      <c r="R103" s="320">
        <f t="shared" si="6"/>
        <v>-1000000</v>
      </c>
      <c r="S103" s="320">
        <f t="shared" si="7"/>
        <v>1000000</v>
      </c>
      <c r="T103" s="320" t="str">
        <f>IF(VLOOKUP(A103,Test_Limits,7,FALSE)&lt;&gt;"",VLOOKUP(A103,Test_Limits,7,FALSE),"")</f>
        <v/>
      </c>
      <c r="U103" s="320">
        <f>IF(F103="",0,VLOOKUP(A103,Test_Limits,8,FALSE))</f>
        <v>3</v>
      </c>
      <c r="V103" s="320">
        <f t="shared" si="5"/>
        <v>3</v>
      </c>
      <c r="W103" s="321">
        <f>VLOOKUP(A103,Test_Limits,6,FALSE)</f>
        <v>1</v>
      </c>
      <c r="X103" s="272"/>
    </row>
    <row r="104" spans="1:24" ht="13.8" x14ac:dyDescent="0.3">
      <c r="A104" s="9" t="s">
        <v>671</v>
      </c>
      <c r="B104" s="21"/>
      <c r="C104" s="65"/>
      <c r="D104" s="106" t="str">
        <f>IF(C104="","",MIN(B104:B104))</f>
        <v/>
      </c>
      <c r="E104" s="103" t="str">
        <f>IF(C104="","",MAX(B104:B104))</f>
        <v/>
      </c>
      <c r="F104" s="64" t="str">
        <f>IF(C104="","",IF(C104="    N/A","",IF(COUNTIF(B104:B104,"&gt;-1")&gt;0,ROUND((SUM(B104:B104)+COUNTIF(B104:B104,-1))/COUNTIF(B104:B104,"&gt;-1"),W104),ROUND(AVERAGE(B104:B104),W104))))</f>
        <v/>
      </c>
      <c r="G104" s="106" t="str">
        <f>IF(F104="","",IF(VLOOKUP(A104,Test_Limits,2,FALSE)="","",VLOOKUP(A104,Test_Limits,2,FALSE)))</f>
        <v/>
      </c>
      <c r="H104" s="77" t="str">
        <f>IF(G104="","",IF(AND(D104&lt;G104,D104&lt;&gt;T104),IF(VLOOKUP(A104,Test_Limits,5,FALSE)="PF","Fail","Info"),"Pass"))</f>
        <v/>
      </c>
      <c r="I104" s="103" t="str">
        <f>IF(F104="","",IF(VLOOKUP(A104,Test_Limits,3,FALSE)="","",VLOOKUP(A104,Test_Limits,3,FALSE)))</f>
        <v/>
      </c>
      <c r="J104" s="77" t="str">
        <f>IF(I104="","",IF(AND(E104&gt;I104,E104&lt;&gt;T104),IF(VLOOKUP(A104,Test_Limits,5,FALSE)="PF","Fail","Info"),"Pass"))</f>
        <v/>
      </c>
      <c r="K104" s="328"/>
      <c r="L104" s="328"/>
      <c r="Q104" s="272"/>
      <c r="R104" s="320">
        <f t="shared" si="6"/>
        <v>-1000000</v>
      </c>
      <c r="S104" s="320">
        <f t="shared" si="7"/>
        <v>1000000</v>
      </c>
      <c r="T104" s="320" t="e">
        <f>IF(VLOOKUP(A104,Test_Limits,7,FALSE)&lt;&gt;"",VLOOKUP(A104,Test_Limits,7,FALSE),"")</f>
        <v>#N/A</v>
      </c>
      <c r="U104" s="320">
        <f>IF(F104="",0,VLOOKUP(A104,Test_Limits,8,FALSE))</f>
        <v>0</v>
      </c>
      <c r="V104" s="320">
        <f t="shared" si="5"/>
        <v>0</v>
      </c>
      <c r="W104" s="321" t="e">
        <f>VLOOKUP(A104,Test_Limits,6,FALSE)</f>
        <v>#N/A</v>
      </c>
      <c r="X104" s="272"/>
    </row>
    <row r="105" spans="1:24" ht="13.8" x14ac:dyDescent="0.3">
      <c r="A105" s="9" t="s">
        <v>209</v>
      </c>
      <c r="B105" s="21">
        <v>125</v>
      </c>
      <c r="C105" s="65" t="s">
        <v>692</v>
      </c>
      <c r="D105" s="106">
        <f>IF(C105="","",MIN(B105:B105))</f>
        <v>125</v>
      </c>
      <c r="E105" s="103">
        <f>IF(C105="","",MAX(B105:B105))</f>
        <v>125</v>
      </c>
      <c r="F105" s="64">
        <f>IF(C105="","",IF(C105="    N/A","",IF(COUNTIF(B105:B105,"&gt;-1")&gt;0,ROUND((SUM(B105:B105)+COUNTIF(B105:B105,-1))/COUNTIF(B105:B105,"&gt;-1"),W105),ROUND(AVERAGE(B105:B105),W105))))</f>
        <v>125</v>
      </c>
      <c r="G105" s="106">
        <f>IF(F105="","",IF(VLOOKUP(A105,Test_Limits,2,FALSE)="","",VLOOKUP(A105,Test_Limits,2,FALSE)))</f>
        <v>100</v>
      </c>
      <c r="H105" s="77" t="str">
        <f>IF(G105="","",IF(AND(D105&lt;G105,D105&lt;&gt;T105),IF(VLOOKUP(A105,Test_Limits,5,FALSE)="PF","Fail","Info"),"Pass"))</f>
        <v>Pass</v>
      </c>
      <c r="I105" s="103">
        <f>IF(F105="","",IF(VLOOKUP(A105,Test_Limits,3,FALSE)="","",VLOOKUP(A105,Test_Limits,3,FALSE)))</f>
        <v>125</v>
      </c>
      <c r="J105" s="77" t="str">
        <f>IF(I105="","",IF(AND(E105&gt;I105,E105&lt;&gt;T105),IF(VLOOKUP(A105,Test_Limits,5,FALSE)="PF","Fail","Info"),"Pass"))</f>
        <v>Pass</v>
      </c>
      <c r="K105" s="328"/>
      <c r="L105" s="328"/>
      <c r="Q105" s="272"/>
      <c r="R105" s="320">
        <f t="shared" si="6"/>
        <v>-1000000</v>
      </c>
      <c r="S105" s="320">
        <f t="shared" si="7"/>
        <v>1000000</v>
      </c>
      <c r="T105" s="320" t="str">
        <f>IF(VLOOKUP(A105,Test_Limits,7,FALSE)&lt;&gt;"",VLOOKUP(A105,Test_Limits,7,FALSE),"")</f>
        <v/>
      </c>
      <c r="U105" s="320">
        <f>IF(F105="",0,VLOOKUP(A105,Test_Limits,8,FALSE))</f>
        <v>5</v>
      </c>
      <c r="V105" s="320">
        <f t="shared" si="5"/>
        <v>5</v>
      </c>
      <c r="W105" s="321">
        <f>VLOOKUP(A105,Test_Limits,6,FALSE)</f>
        <v>1</v>
      </c>
      <c r="X105" s="272"/>
    </row>
    <row r="106" spans="1:24" ht="13.8" x14ac:dyDescent="0.3">
      <c r="A106" s="9" t="s">
        <v>210</v>
      </c>
      <c r="B106" s="21">
        <v>54.5</v>
      </c>
      <c r="C106" s="65" t="s">
        <v>681</v>
      </c>
      <c r="D106" s="106">
        <f>IF(C106="","",MIN(B106:B106))</f>
        <v>54.5</v>
      </c>
      <c r="E106" s="103">
        <f>IF(C106="","",MAX(B106:B106))</f>
        <v>54.5</v>
      </c>
      <c r="F106" s="64">
        <f>IF(C106="","",IF(C106="    N/A","",IF(COUNTIF(B106:B106,"&gt;-1")&gt;0,ROUND((SUM(B106:B106)+COUNTIF(B106:B106,-1))/COUNTIF(B106:B106,"&gt;-1"),W106),ROUND(AVERAGE(B106:B106),W106))))</f>
        <v>54.5</v>
      </c>
      <c r="G106" s="106">
        <f>IF(F106="","",IF(VLOOKUP(A106,Test_Limits,2,FALSE)="","",VLOOKUP(A106,Test_Limits,2,FALSE)))</f>
        <v>50</v>
      </c>
      <c r="H106" s="77" t="str">
        <f>IF(G106="","",IF(AND(D106&lt;G106,D106&lt;&gt;T106),IF(VLOOKUP(A106,Test_Limits,5,FALSE)="PF","Fail","Info"),"Pass"))</f>
        <v>Pass</v>
      </c>
      <c r="I106" s="103">
        <f>IF(F106="","",IF(VLOOKUP(A106,Test_Limits,3,FALSE)="","",VLOOKUP(A106,Test_Limits,3,FALSE)))</f>
        <v>57</v>
      </c>
      <c r="J106" s="77" t="str">
        <f>IF(I106="","",IF(AND(E106&gt;I106,E106&lt;&gt;T106),IF(VLOOKUP(A106,Test_Limits,5,FALSE)="PF","Fail","Info"),"Pass"))</f>
        <v>Pass</v>
      </c>
      <c r="K106" s="328"/>
      <c r="L106" s="328"/>
      <c r="Q106" s="272"/>
      <c r="R106" s="320">
        <f t="shared" si="6"/>
        <v>-1000000</v>
      </c>
      <c r="S106" s="320">
        <f t="shared" si="7"/>
        <v>1000000</v>
      </c>
      <c r="T106" s="320" t="str">
        <f>IF(VLOOKUP(A106,Test_Limits,7,FALSE)&lt;&gt;"",VLOOKUP(A106,Test_Limits,7,FALSE),"")</f>
        <v/>
      </c>
      <c r="U106" s="320">
        <f>IF(F106="",0,VLOOKUP(A106,Test_Limits,8,FALSE))</f>
        <v>5</v>
      </c>
      <c r="V106" s="320">
        <f t="shared" si="5"/>
        <v>5</v>
      </c>
      <c r="W106" s="321">
        <f>VLOOKUP(A106,Test_Limits,6,FALSE)</f>
        <v>1</v>
      </c>
      <c r="X106" s="272"/>
    </row>
    <row r="107" spans="1:24" ht="13.8" x14ac:dyDescent="0.3">
      <c r="A107" s="9" t="s">
        <v>211</v>
      </c>
      <c r="B107" s="21">
        <v>54.5</v>
      </c>
      <c r="C107" s="65" t="s">
        <v>681</v>
      </c>
      <c r="D107" s="106">
        <f>IF(C107="","",MIN(B107:B107))</f>
        <v>54.5</v>
      </c>
      <c r="E107" s="103">
        <f>IF(C107="","",MAX(B107:B107))</f>
        <v>54.5</v>
      </c>
      <c r="F107" s="64">
        <f>IF(C107="","",IF(C107="    N/A","",IF(COUNTIF(B107:B107,"&gt;-1")&gt;0,ROUND((SUM(B107:B107)+COUNTIF(B107:B107,-1))/COUNTIF(B107:B107,"&gt;-1"),W107),ROUND(AVERAGE(B107:B107),W107))))</f>
        <v>54.5</v>
      </c>
      <c r="G107" s="106">
        <f>IF(F107="","",IF(VLOOKUP(A107,Test_Limits,2,FALSE)="","",VLOOKUP(A107,Test_Limits,2,FALSE)))</f>
        <v>50</v>
      </c>
      <c r="H107" s="77" t="str">
        <f>IF(G107="","",IF(AND(D107&lt;G107,D107&lt;&gt;T107),IF(VLOOKUP(A107,Test_Limits,5,FALSE)="PF","Fail","Info"),"Pass"))</f>
        <v>Pass</v>
      </c>
      <c r="I107" s="103">
        <f>IF(F107="","",IF(VLOOKUP(A107,Test_Limits,3,FALSE)="","",VLOOKUP(A107,Test_Limits,3,FALSE)))</f>
        <v>57</v>
      </c>
      <c r="J107" s="77" t="str">
        <f>IF(I107="","",IF(AND(E107&gt;I107,E107&lt;&gt;T107),IF(VLOOKUP(A107,Test_Limits,5,FALSE)="PF","Fail","Info"),"Pass"))</f>
        <v>Pass</v>
      </c>
      <c r="K107" s="328"/>
      <c r="L107" s="328"/>
      <c r="Q107" s="272"/>
      <c r="R107" s="320">
        <f t="shared" si="6"/>
        <v>-1000000</v>
      </c>
      <c r="S107" s="320">
        <f t="shared" si="7"/>
        <v>1000000</v>
      </c>
      <c r="T107" s="320" t="str">
        <f>IF(VLOOKUP(A107,Test_Limits,7,FALSE)&lt;&gt;"",VLOOKUP(A107,Test_Limits,7,FALSE),"")</f>
        <v/>
      </c>
      <c r="U107" s="320">
        <f>IF(F107="",0,VLOOKUP(A107,Test_Limits,8,FALSE))</f>
        <v>5</v>
      </c>
      <c r="V107" s="320">
        <f t="shared" si="5"/>
        <v>5</v>
      </c>
      <c r="W107" s="321">
        <f>VLOOKUP(A107,Test_Limits,6,FALSE)</f>
        <v>1</v>
      </c>
      <c r="X107" s="272"/>
    </row>
    <row r="108" spans="1:24" ht="13.8" x14ac:dyDescent="0.3">
      <c r="A108" s="9" t="s">
        <v>212</v>
      </c>
      <c r="B108" s="21">
        <v>125</v>
      </c>
      <c r="C108" s="65" t="s">
        <v>692</v>
      </c>
      <c r="D108" s="106">
        <f>IF(C108="","",MIN(B108:B108))</f>
        <v>125</v>
      </c>
      <c r="E108" s="103">
        <f>IF(C108="","",MAX(B108:B108))</f>
        <v>125</v>
      </c>
      <c r="F108" s="64">
        <f>IF(C108="","",IF(C108="    N/A","",IF(COUNTIF(B108:B108,"&gt;-1")&gt;0,ROUND((SUM(B108:B108)+COUNTIF(B108:B108,-1))/COUNTIF(B108:B108,"&gt;-1"),W108),ROUND(AVERAGE(B108:B108),W108))))</f>
        <v>125</v>
      </c>
      <c r="G108" s="106">
        <f>IF(F108="","",IF(VLOOKUP(A108,Test_Limits,2,FALSE)="","",VLOOKUP(A108,Test_Limits,2,FALSE)))</f>
        <v>100</v>
      </c>
      <c r="H108" s="77" t="str">
        <f>IF(G108="","",IF(AND(D108&lt;G108,D108&lt;&gt;T108),IF(VLOOKUP(A108,Test_Limits,5,FALSE)="PF","Fail","Info"),"Pass"))</f>
        <v>Pass</v>
      </c>
      <c r="I108" s="103">
        <f>IF(F108="","",IF(VLOOKUP(A108,Test_Limits,3,FALSE)="","",VLOOKUP(A108,Test_Limits,3,FALSE)))</f>
        <v>125</v>
      </c>
      <c r="J108" s="77" t="str">
        <f>IF(I108="","",IF(AND(E108&gt;I108,E108&lt;&gt;T108),IF(VLOOKUP(A108,Test_Limits,5,FALSE)="PF","Fail","Info"),"Pass"))</f>
        <v>Pass</v>
      </c>
      <c r="K108" s="328"/>
      <c r="L108" s="328"/>
      <c r="Q108" s="272"/>
      <c r="R108" s="320">
        <f t="shared" si="6"/>
        <v>-1000000</v>
      </c>
      <c r="S108" s="320">
        <f t="shared" si="7"/>
        <v>1000000</v>
      </c>
      <c r="T108" s="320" t="str">
        <f>IF(VLOOKUP(A108,Test_Limits,7,FALSE)&lt;&gt;"",VLOOKUP(A108,Test_Limits,7,FALSE),"")</f>
        <v/>
      </c>
      <c r="U108" s="320">
        <f>IF(F108="",0,VLOOKUP(A108,Test_Limits,8,FALSE))</f>
        <v>5</v>
      </c>
      <c r="V108" s="320">
        <f t="shared" si="5"/>
        <v>5</v>
      </c>
      <c r="W108" s="321">
        <f>VLOOKUP(A108,Test_Limits,6,FALSE)</f>
        <v>1</v>
      </c>
      <c r="X108" s="272"/>
    </row>
    <row r="109" spans="1:24" ht="13.8" x14ac:dyDescent="0.3">
      <c r="A109" s="9" t="s">
        <v>213</v>
      </c>
      <c r="B109" s="21">
        <v>54</v>
      </c>
      <c r="C109" s="65" t="s">
        <v>681</v>
      </c>
      <c r="D109" s="106">
        <f>IF(C109="","",MIN(B109:B109))</f>
        <v>54</v>
      </c>
      <c r="E109" s="103">
        <f>IF(C109="","",MAX(B109:B109))</f>
        <v>54</v>
      </c>
      <c r="F109" s="64">
        <f>IF(C109="","",IF(C109="    N/A","",IF(COUNTIF(B109:B109,"&gt;-1")&gt;0,ROUND((SUM(B109:B109)+COUNTIF(B109:B109,-1))/COUNTIF(B109:B109,"&gt;-1"),W109),ROUND(AVERAGE(B109:B109),W109))))</f>
        <v>54</v>
      </c>
      <c r="G109" s="106">
        <f>IF(F109="","",IF(VLOOKUP(A109,Test_Limits,2,FALSE)="","",VLOOKUP(A109,Test_Limits,2,FALSE)))</f>
        <v>50</v>
      </c>
      <c r="H109" s="77" t="str">
        <f>IF(G109="","",IF(AND(D109&lt;G109,D109&lt;&gt;T109),IF(VLOOKUP(A109,Test_Limits,5,FALSE)="PF","Fail","Info"),"Pass"))</f>
        <v>Pass</v>
      </c>
      <c r="I109" s="103">
        <f>IF(F109="","",IF(VLOOKUP(A109,Test_Limits,3,FALSE)="","",VLOOKUP(A109,Test_Limits,3,FALSE)))</f>
        <v>57</v>
      </c>
      <c r="J109" s="77" t="str">
        <f>IF(I109="","",IF(AND(E109&gt;I109,E109&lt;&gt;T109),IF(VLOOKUP(A109,Test_Limits,5,FALSE)="PF","Fail","Info"),"Pass"))</f>
        <v>Pass</v>
      </c>
      <c r="K109" s="328"/>
      <c r="L109" s="328"/>
      <c r="Q109" s="272"/>
      <c r="R109" s="320">
        <f t="shared" si="6"/>
        <v>-1000000</v>
      </c>
      <c r="S109" s="320">
        <f t="shared" si="7"/>
        <v>1000000</v>
      </c>
      <c r="T109" s="320" t="str">
        <f>IF(VLOOKUP(A109,Test_Limits,7,FALSE)&lt;&gt;"",VLOOKUP(A109,Test_Limits,7,FALSE),"")</f>
        <v/>
      </c>
      <c r="U109" s="320">
        <f>IF(F109="",0,VLOOKUP(A109,Test_Limits,8,FALSE))</f>
        <v>5</v>
      </c>
      <c r="V109" s="320">
        <f t="shared" si="5"/>
        <v>5</v>
      </c>
      <c r="W109" s="321">
        <f>VLOOKUP(A109,Test_Limits,6,FALSE)</f>
        <v>1</v>
      </c>
      <c r="X109" s="272"/>
    </row>
    <row r="110" spans="1:24" ht="13.8" x14ac:dyDescent="0.3">
      <c r="A110" s="9" t="s">
        <v>214</v>
      </c>
      <c r="B110" s="21">
        <v>54</v>
      </c>
      <c r="C110" s="65" t="s">
        <v>681</v>
      </c>
      <c r="D110" s="106">
        <f>IF(C110="","",MIN(B110:B110))</f>
        <v>54</v>
      </c>
      <c r="E110" s="103">
        <f>IF(C110="","",MAX(B110:B110))</f>
        <v>54</v>
      </c>
      <c r="F110" s="64">
        <f>IF(C110="","",IF(C110="    N/A","",IF(COUNTIF(B110:B110,"&gt;-1")&gt;0,ROUND((SUM(B110:B110)+COUNTIF(B110:B110,-1))/COUNTIF(B110:B110,"&gt;-1"),W110),ROUND(AVERAGE(B110:B110),W110))))</f>
        <v>54</v>
      </c>
      <c r="G110" s="106">
        <f>IF(F110="","",IF(VLOOKUP(A110,Test_Limits,2,FALSE)="","",VLOOKUP(A110,Test_Limits,2,FALSE)))</f>
        <v>50</v>
      </c>
      <c r="H110" s="77" t="str">
        <f>IF(G110="","",IF(AND(D110&lt;G110,D110&lt;&gt;T110),IF(VLOOKUP(A110,Test_Limits,5,FALSE)="PF","Fail","Info"),"Pass"))</f>
        <v>Pass</v>
      </c>
      <c r="I110" s="103">
        <f>IF(F110="","",IF(VLOOKUP(A110,Test_Limits,3,FALSE)="","",VLOOKUP(A110,Test_Limits,3,FALSE)))</f>
        <v>57</v>
      </c>
      <c r="J110" s="77" t="str">
        <f>IF(I110="","",IF(AND(E110&gt;I110,E110&lt;&gt;T110),IF(VLOOKUP(A110,Test_Limits,5,FALSE)="PF","Fail","Info"),"Pass"))</f>
        <v>Pass</v>
      </c>
      <c r="K110" s="328"/>
      <c r="L110" s="328"/>
      <c r="Q110" s="272"/>
      <c r="R110" s="320">
        <f t="shared" si="6"/>
        <v>-1000000</v>
      </c>
      <c r="S110" s="320">
        <f t="shared" si="7"/>
        <v>1000000</v>
      </c>
      <c r="T110" s="320" t="str">
        <f>IF(VLOOKUP(A110,Test_Limits,7,FALSE)&lt;&gt;"",VLOOKUP(A110,Test_Limits,7,FALSE),"")</f>
        <v/>
      </c>
      <c r="U110" s="320">
        <f>IF(F110="",0,VLOOKUP(A110,Test_Limits,8,FALSE))</f>
        <v>5</v>
      </c>
      <c r="V110" s="320">
        <f t="shared" si="5"/>
        <v>5</v>
      </c>
      <c r="W110" s="321">
        <f>VLOOKUP(A110,Test_Limits,6,FALSE)</f>
        <v>1</v>
      </c>
      <c r="X110" s="272"/>
    </row>
    <row r="111" spans="1:24" ht="13.8" x14ac:dyDescent="0.3">
      <c r="A111" s="9" t="s">
        <v>672</v>
      </c>
      <c r="B111" s="21"/>
      <c r="C111" s="65"/>
      <c r="D111" s="106" t="str">
        <f>IF(C111="","",MIN(B111:B111))</f>
        <v/>
      </c>
      <c r="E111" s="103" t="str">
        <f>IF(C111="","",MAX(B111:B111))</f>
        <v/>
      </c>
      <c r="F111" s="64" t="str">
        <f>IF(C111="","",IF(C111="    N/A","",IF(COUNTIF(B111:B111,"&gt;-1")&gt;0,ROUND((SUM(B111:B111)+COUNTIF(B111:B111,-1))/COUNTIF(B111:B111,"&gt;-1"),W111),ROUND(AVERAGE(B111:B111),W111))))</f>
        <v/>
      </c>
      <c r="G111" s="106" t="str">
        <f>IF(F111="","",IF(VLOOKUP(A111,Test_Limits,2,FALSE)="","",VLOOKUP(A111,Test_Limits,2,FALSE)))</f>
        <v/>
      </c>
      <c r="H111" s="77" t="str">
        <f>IF(G111="","",IF(AND(D111&lt;G111,D111&lt;&gt;T111),IF(VLOOKUP(A111,Test_Limits,5,FALSE)="PF","Fail","Info"),"Pass"))</f>
        <v/>
      </c>
      <c r="I111" s="103" t="str">
        <f>IF(F111="","",IF(VLOOKUP(A111,Test_Limits,3,FALSE)="","",VLOOKUP(A111,Test_Limits,3,FALSE)))</f>
        <v/>
      </c>
      <c r="J111" s="77" t="str">
        <f>IF(I111="","",IF(AND(E111&gt;I111,E111&lt;&gt;T111),IF(VLOOKUP(A111,Test_Limits,5,FALSE)="PF","Fail","Info"),"Pass"))</f>
        <v/>
      </c>
      <c r="K111" s="328"/>
      <c r="L111" s="328"/>
      <c r="Q111" s="272"/>
      <c r="R111" s="320">
        <f t="shared" si="6"/>
        <v>-1000000</v>
      </c>
      <c r="S111" s="320">
        <f t="shared" si="7"/>
        <v>1000000</v>
      </c>
      <c r="T111" s="320" t="e">
        <f>IF(VLOOKUP(A111,Test_Limits,7,FALSE)&lt;&gt;"",VLOOKUP(A111,Test_Limits,7,FALSE),"")</f>
        <v>#N/A</v>
      </c>
      <c r="U111" s="320">
        <f>IF(F111="",0,VLOOKUP(A111,Test_Limits,8,FALSE))</f>
        <v>0</v>
      </c>
      <c r="V111" s="320">
        <f t="shared" si="5"/>
        <v>0</v>
      </c>
      <c r="W111" s="321" t="e">
        <f>VLOOKUP(A111,Test_Limits,6,FALSE)</f>
        <v>#N/A</v>
      </c>
      <c r="X111" s="272"/>
    </row>
    <row r="112" spans="1:24" ht="13.8" x14ac:dyDescent="0.3">
      <c r="A112" s="9" t="s">
        <v>307</v>
      </c>
      <c r="B112" s="21">
        <v>50</v>
      </c>
      <c r="C112" s="65" t="s">
        <v>688</v>
      </c>
      <c r="D112" s="106">
        <f>IF(C112="","",MIN(B112:B112))</f>
        <v>50</v>
      </c>
      <c r="E112" s="103">
        <f>IF(C112="","",MAX(B112:B112))</f>
        <v>50</v>
      </c>
      <c r="F112" s="64">
        <f>IF(C112="","",IF(C112="    N/A","",IF(COUNTIF(B112:B112,"&gt;-1")&gt;0,ROUND((SUM(B112:B112)+COUNTIF(B112:B112,-1))/COUNTIF(B112:B112,"&gt;-1"),W112),ROUND(AVERAGE(B112:B112),W112))))</f>
        <v>50</v>
      </c>
      <c r="G112" s="106">
        <f>IF(F112="","",IF(VLOOKUP(A112,Test_Limits,2,FALSE)="","",VLOOKUP(A112,Test_Limits,2,FALSE)))</f>
        <v>1</v>
      </c>
      <c r="H112" s="77" t="str">
        <f>IF(G112="","",IF(AND(D112&lt;G112,D112&lt;&gt;T112),IF(VLOOKUP(A112,Test_Limits,5,FALSE)="PF","Fail","Info"),"Pass"))</f>
        <v>Pass</v>
      </c>
      <c r="I112" s="103">
        <f>IF(F112="","",IF(VLOOKUP(A112,Test_Limits,3,FALSE)="","",VLOOKUP(A112,Test_Limits,3,FALSE)))</f>
        <v>60</v>
      </c>
      <c r="J112" s="77" t="str">
        <f>IF(I112="","",IF(AND(E112&gt;I112,E112&lt;&gt;T112),IF(VLOOKUP(A112,Test_Limits,5,FALSE)="PF","Fail","Info"),"Pass"))</f>
        <v>Pass</v>
      </c>
      <c r="K112" s="328"/>
      <c r="L112" s="328"/>
      <c r="Q112" s="272"/>
      <c r="R112" s="320">
        <f t="shared" si="6"/>
        <v>-1000000</v>
      </c>
      <c r="S112" s="320">
        <f t="shared" si="7"/>
        <v>1000000</v>
      </c>
      <c r="T112" s="320" t="str">
        <f>IF(VLOOKUP(A112,Test_Limits,7,FALSE)&lt;&gt;"",VLOOKUP(A112,Test_Limits,7,FALSE),"")</f>
        <v/>
      </c>
      <c r="U112" s="320">
        <f>IF(F112="",0,VLOOKUP(A112,Test_Limits,8,FALSE))</f>
        <v>5</v>
      </c>
      <c r="V112" s="320">
        <f t="shared" si="5"/>
        <v>5</v>
      </c>
      <c r="W112" s="321">
        <f>VLOOKUP(A112,Test_Limits,6,FALSE)</f>
        <v>1</v>
      </c>
      <c r="X112" s="272"/>
    </row>
    <row r="113" spans="1:24" ht="13.8" x14ac:dyDescent="0.3">
      <c r="A113" s="9" t="s">
        <v>23</v>
      </c>
      <c r="B113" s="21">
        <v>1</v>
      </c>
      <c r="C113" s="65" t="s">
        <v>684</v>
      </c>
      <c r="D113" s="106">
        <f>IF(C113="","",MIN(B113:B113))</f>
        <v>1</v>
      </c>
      <c r="E113" s="103">
        <f>IF(C113="","",MAX(B113:B113))</f>
        <v>1</v>
      </c>
      <c r="F113" s="64">
        <f>IF(C113="","",IF(C113="    N/A","",IF(COUNTIF(B113:B113,"&gt;-1")&gt;0,ROUND((SUM(B113:B113)+COUNTIF(B113:B113,-1))/COUNTIF(B113:B113,"&gt;-1"),W113),ROUND(AVERAGE(B113:B113),W113))))</f>
        <v>1</v>
      </c>
      <c r="G113" s="106">
        <f>IF(F113="","",IF(VLOOKUP(A113,Test_Limits,2,FALSE)="","",VLOOKUP(A113,Test_Limits,2,FALSE)))</f>
        <v>1</v>
      </c>
      <c r="H113" s="77" t="str">
        <f>IF(G113="","",IF(AND(D113&lt;G113,D113&lt;&gt;T113),IF(VLOOKUP(A113,Test_Limits,5,FALSE)="PF","Fail","Info"),"Pass"))</f>
        <v>Pass</v>
      </c>
      <c r="I113" s="103">
        <f>IF(F113="","",IF(VLOOKUP(A113,Test_Limits,3,FALSE)="","",VLOOKUP(A113,Test_Limits,3,FALSE)))</f>
        <v>1</v>
      </c>
      <c r="J113" s="77" t="str">
        <f>IF(I113="","",IF(AND(E113&gt;I113,E113&lt;&gt;T113),IF(VLOOKUP(A113,Test_Limits,5,FALSE)="PF","Fail","Info"),"Pass"))</f>
        <v>Pass</v>
      </c>
      <c r="K113" s="328"/>
      <c r="L113" s="328"/>
      <c r="Q113" s="272"/>
      <c r="R113" s="320">
        <f t="shared" si="6"/>
        <v>-1000000</v>
      </c>
      <c r="S113" s="320">
        <f t="shared" si="7"/>
        <v>1000000</v>
      </c>
      <c r="T113" s="320" t="str">
        <f>IF(VLOOKUP(A113,Test_Limits,7,FALSE)&lt;&gt;"",VLOOKUP(A113,Test_Limits,7,FALSE),"")</f>
        <v/>
      </c>
      <c r="U113" s="320">
        <f>IF(F113="",0,VLOOKUP(A113,Test_Limits,8,FALSE))</f>
        <v>5</v>
      </c>
      <c r="V113" s="320">
        <f t="shared" si="5"/>
        <v>5</v>
      </c>
      <c r="W113" s="321">
        <f>VLOOKUP(A113,Test_Limits,6,FALSE)</f>
        <v>0</v>
      </c>
      <c r="X113" s="272"/>
    </row>
    <row r="114" spans="1:24" ht="13.8" x14ac:dyDescent="0.3">
      <c r="A114" s="9" t="s">
        <v>673</v>
      </c>
      <c r="B114" s="21"/>
      <c r="C114" s="65"/>
      <c r="D114" s="106" t="str">
        <f>IF(C114="","",MIN(B114:B114))</f>
        <v/>
      </c>
      <c r="E114" s="103" t="str">
        <f>IF(C114="","",MAX(B114:B114))</f>
        <v/>
      </c>
      <c r="F114" s="64" t="str">
        <f>IF(C114="","",IF(C114="    N/A","",IF(COUNTIF(B114:B114,"&gt;-1")&gt;0,ROUND((SUM(B114:B114)+COUNTIF(B114:B114,-1))/COUNTIF(B114:B114,"&gt;-1"),W114),ROUND(AVERAGE(B114:B114),W114))))</f>
        <v/>
      </c>
      <c r="G114" s="106" t="str">
        <f>IF(F114="","",IF(VLOOKUP(A114,Test_Limits,2,FALSE)="","",VLOOKUP(A114,Test_Limits,2,FALSE)))</f>
        <v/>
      </c>
      <c r="H114" s="77" t="str">
        <f>IF(G114="","",IF(AND(D114&lt;G114,D114&lt;&gt;T114),IF(VLOOKUP(A114,Test_Limits,5,FALSE)="PF","Fail","Info"),"Pass"))</f>
        <v/>
      </c>
      <c r="I114" s="103" t="str">
        <f>IF(F114="","",IF(VLOOKUP(A114,Test_Limits,3,FALSE)="","",VLOOKUP(A114,Test_Limits,3,FALSE)))</f>
        <v/>
      </c>
      <c r="J114" s="77" t="str">
        <f>IF(I114="","",IF(AND(E114&gt;I114,E114&lt;&gt;T114),IF(VLOOKUP(A114,Test_Limits,5,FALSE)="PF","Fail","Info"),"Pass"))</f>
        <v/>
      </c>
      <c r="K114" s="328"/>
      <c r="L114" s="328"/>
      <c r="Q114" s="272"/>
      <c r="R114" s="320">
        <f t="shared" si="6"/>
        <v>-1000000</v>
      </c>
      <c r="S114" s="320">
        <f t="shared" si="7"/>
        <v>1000000</v>
      </c>
      <c r="T114" s="320" t="e">
        <f>IF(VLOOKUP(A114,Test_Limits,7,FALSE)&lt;&gt;"",VLOOKUP(A114,Test_Limits,7,FALSE),"")</f>
        <v>#N/A</v>
      </c>
      <c r="U114" s="320">
        <f>IF(F114="",0,VLOOKUP(A114,Test_Limits,8,FALSE))</f>
        <v>0</v>
      </c>
      <c r="V114" s="320">
        <f t="shared" si="5"/>
        <v>0</v>
      </c>
      <c r="W114" s="321" t="e">
        <f>VLOOKUP(A114,Test_Limits,6,FALSE)</f>
        <v>#N/A</v>
      </c>
      <c r="X114" s="272"/>
    </row>
    <row r="115" spans="1:24" ht="13.8" x14ac:dyDescent="0.3">
      <c r="A115" s="9" t="s">
        <v>24</v>
      </c>
      <c r="B115" s="21">
        <v>8</v>
      </c>
      <c r="C115" s="65" t="s">
        <v>685</v>
      </c>
      <c r="D115" s="106">
        <f>IF(C115="","",MIN(B115:B115))</f>
        <v>8</v>
      </c>
      <c r="E115" s="103">
        <f>IF(C115="","",MAX(B115:B115))</f>
        <v>8</v>
      </c>
      <c r="F115" s="64">
        <f>IF(C115="","",IF(C115="    N/A","",IF(COUNTIF(B115:B115,"&gt;-1")&gt;0,ROUND((SUM(B115:B115)+COUNTIF(B115:B115,-1))/COUNTIF(B115:B115,"&gt;-1"),W115),ROUND(AVERAGE(B115:B115),W115))))</f>
        <v>8</v>
      </c>
      <c r="G115" s="106">
        <f>IF(F115="","",IF(VLOOKUP(A115,Test_Limits,2,FALSE)="","",VLOOKUP(A115,Test_Limits,2,FALSE)))</f>
        <v>5</v>
      </c>
      <c r="H115" s="77" t="str">
        <f>IF(G115="","",IF(AND(D115&lt;G115,D115&lt;&gt;T115),IF(VLOOKUP(A115,Test_Limits,5,FALSE)="PF","Fail","Info"),"Pass"))</f>
        <v>Pass</v>
      </c>
      <c r="I115" s="103">
        <f>IF(F115="","",IF(VLOOKUP(A115,Test_Limits,3,FALSE)="","",VLOOKUP(A115,Test_Limits,3,FALSE)))</f>
        <v>10</v>
      </c>
      <c r="J115" s="77" t="str">
        <f>IF(I115="","",IF(AND(E115&gt;I115,E115&lt;&gt;T115),IF(VLOOKUP(A115,Test_Limits,5,FALSE)="PF","Fail","Info"),"Pass"))</f>
        <v>Pass</v>
      </c>
      <c r="K115" s="328"/>
      <c r="L115" s="328"/>
      <c r="Q115" s="272"/>
      <c r="R115" s="320">
        <f t="shared" si="6"/>
        <v>-1000000</v>
      </c>
      <c r="S115" s="320">
        <f t="shared" si="7"/>
        <v>1000000</v>
      </c>
      <c r="T115" s="320" t="str">
        <f>IF(VLOOKUP(A115,Test_Limits,7,FALSE)&lt;&gt;"",VLOOKUP(A115,Test_Limits,7,FALSE),"")</f>
        <v/>
      </c>
      <c r="U115" s="320">
        <f>IF(F115="",0,VLOOKUP(A115,Test_Limits,8,FALSE))</f>
        <v>5</v>
      </c>
      <c r="V115" s="320">
        <f t="shared" si="5"/>
        <v>5</v>
      </c>
      <c r="W115" s="321">
        <f>VLOOKUP(A115,Test_Limits,6,FALSE)</f>
        <v>1</v>
      </c>
      <c r="X115" s="272"/>
    </row>
    <row r="116" spans="1:24" ht="13.8" x14ac:dyDescent="0.3">
      <c r="A116" s="9" t="s">
        <v>308</v>
      </c>
      <c r="B116" s="21">
        <v>361</v>
      </c>
      <c r="C116" s="65" t="s">
        <v>688</v>
      </c>
      <c r="D116" s="106">
        <f>IF(C116="","",MIN(B116:B116))</f>
        <v>361</v>
      </c>
      <c r="E116" s="103">
        <f>IF(C116="","",MAX(B116:B116))</f>
        <v>361</v>
      </c>
      <c r="F116" s="64">
        <f>IF(C116="","",IF(C116="    N/A","",IF(COUNTIF(B116:B116,"&gt;-1")&gt;0,ROUND((SUM(B116:B116)+COUNTIF(B116:B116,-1))/COUNTIF(B116:B116,"&gt;-1"),W116),ROUND(AVERAGE(B116:B116),W116))))</f>
        <v>361</v>
      </c>
      <c r="G116" s="106">
        <f>IF(F116="","",IF(VLOOKUP(A116,Test_Limits,2,FALSE)="","",VLOOKUP(A116,Test_Limits,2,FALSE)))</f>
        <v>300</v>
      </c>
      <c r="H116" s="77" t="str">
        <f>IF(G116="","",IF(AND(D116&lt;G116,D116&lt;&gt;T116),IF(VLOOKUP(A116,Test_Limits,5,FALSE)="PF","Fail","Info"),"Pass"))</f>
        <v>Pass</v>
      </c>
      <c r="I116" s="103">
        <f>IF(F116="","",IF(VLOOKUP(A116,Test_Limits,3,FALSE)="","",VLOOKUP(A116,Test_Limits,3,FALSE)))</f>
        <v>400</v>
      </c>
      <c r="J116" s="77" t="str">
        <f>IF(I116="","",IF(AND(E116&gt;I116,E116&lt;&gt;T116),IF(VLOOKUP(A116,Test_Limits,5,FALSE)="PF","Fail","Info"),"Pass"))</f>
        <v>Pass</v>
      </c>
      <c r="K116" s="328"/>
      <c r="L116" s="328"/>
      <c r="Q116" s="272"/>
      <c r="R116" s="320">
        <f t="shared" si="6"/>
        <v>-1000000</v>
      </c>
      <c r="S116" s="320">
        <f t="shared" si="7"/>
        <v>1000000</v>
      </c>
      <c r="T116" s="320" t="str">
        <f>IF(VLOOKUP(A116,Test_Limits,7,FALSE)&lt;&gt;"",VLOOKUP(A116,Test_Limits,7,FALSE),"")</f>
        <v/>
      </c>
      <c r="U116" s="320">
        <f>IF(F116="",0,VLOOKUP(A116,Test_Limits,8,FALSE))</f>
        <v>1</v>
      </c>
      <c r="V116" s="320">
        <f t="shared" si="5"/>
        <v>1</v>
      </c>
      <c r="W116" s="321">
        <f>VLOOKUP(A116,Test_Limits,6,FALSE)</f>
        <v>0</v>
      </c>
      <c r="X116" s="272"/>
    </row>
    <row r="117" spans="1:24" ht="13.8" x14ac:dyDescent="0.3">
      <c r="A117" s="9" t="s">
        <v>674</v>
      </c>
      <c r="B117" s="21"/>
      <c r="C117" s="65"/>
      <c r="D117" s="106" t="str">
        <f>IF(C117="","",MIN(B117:B117))</f>
        <v/>
      </c>
      <c r="E117" s="103" t="str">
        <f>IF(C117="","",MAX(B117:B117))</f>
        <v/>
      </c>
      <c r="F117" s="64" t="str">
        <f>IF(C117="","",IF(C117="    N/A","",IF(COUNTIF(B117:B117,"&gt;-1")&gt;0,ROUND((SUM(B117:B117)+COUNTIF(B117:B117,-1))/COUNTIF(B117:B117,"&gt;-1"),W117),ROUND(AVERAGE(B117:B117),W117))))</f>
        <v/>
      </c>
      <c r="G117" s="106" t="str">
        <f>IF(F117="","",IF(VLOOKUP(A117,Test_Limits,2,FALSE)="","",VLOOKUP(A117,Test_Limits,2,FALSE)))</f>
        <v/>
      </c>
      <c r="H117" s="77" t="str">
        <f>IF(G117="","",IF(AND(D117&lt;G117,D117&lt;&gt;T117),IF(VLOOKUP(A117,Test_Limits,5,FALSE)="PF","Fail","Info"),"Pass"))</f>
        <v/>
      </c>
      <c r="I117" s="103" t="str">
        <f>IF(F117="","",IF(VLOOKUP(A117,Test_Limits,3,FALSE)="","",VLOOKUP(A117,Test_Limits,3,FALSE)))</f>
        <v/>
      </c>
      <c r="J117" s="77" t="str">
        <f>IF(I117="","",IF(AND(E117&gt;I117,E117&lt;&gt;T117),IF(VLOOKUP(A117,Test_Limits,5,FALSE)="PF","Fail","Info"),"Pass"))</f>
        <v/>
      </c>
      <c r="K117" s="328"/>
      <c r="L117" s="328"/>
      <c r="Q117" s="272"/>
      <c r="R117" s="320">
        <f t="shared" si="6"/>
        <v>-1000000</v>
      </c>
      <c r="S117" s="320">
        <f t="shared" si="7"/>
        <v>1000000</v>
      </c>
      <c r="T117" s="320" t="e">
        <f>IF(VLOOKUP(A117,Test_Limits,7,FALSE)&lt;&gt;"",VLOOKUP(A117,Test_Limits,7,FALSE),"")</f>
        <v>#N/A</v>
      </c>
      <c r="U117" s="320">
        <f>IF(F117="",0,VLOOKUP(A117,Test_Limits,8,FALSE))</f>
        <v>0</v>
      </c>
      <c r="V117" s="320">
        <f t="shared" si="5"/>
        <v>0</v>
      </c>
      <c r="W117" s="321" t="e">
        <f>VLOOKUP(A117,Test_Limits,6,FALSE)</f>
        <v>#N/A</v>
      </c>
      <c r="X117" s="272"/>
    </row>
    <row r="118" spans="1:24" ht="13.8" x14ac:dyDescent="0.3">
      <c r="A118" s="9" t="s">
        <v>190</v>
      </c>
      <c r="B118" s="21">
        <v>377.5</v>
      </c>
      <c r="C118" s="65" t="s">
        <v>685</v>
      </c>
      <c r="D118" s="106">
        <f>IF(C118="","",MIN(B118:B118))</f>
        <v>377.5</v>
      </c>
      <c r="E118" s="103">
        <f>IF(C118="","",MAX(B118:B118))</f>
        <v>377.5</v>
      </c>
      <c r="F118" s="64">
        <f>IF(C118="","",IF(C118="    N/A","",IF(COUNTIF(B118:B118,"&gt;-1")&gt;0,ROUND((SUM(B118:B118)+COUNTIF(B118:B118,-1))/COUNTIF(B118:B118,"&gt;-1"),W118),ROUND(AVERAGE(B118:B118),W118))))</f>
        <v>377.5</v>
      </c>
      <c r="G118" s="106">
        <f>IF(F118="","",IF(VLOOKUP(A118,Test_Limits,2,FALSE)="","",VLOOKUP(A118,Test_Limits,2,FALSE)))</f>
        <v>-1</v>
      </c>
      <c r="H118" s="77" t="str">
        <f>IF(G118="","",IF(AND(D118&lt;G118,D118&lt;&gt;T118),IF(VLOOKUP(A118,Test_Limits,5,FALSE)="PF","Fail","Info"),"Pass"))</f>
        <v>Pass</v>
      </c>
      <c r="I118" s="103">
        <f>IF(F118="","",IF(VLOOKUP(A118,Test_Limits,3,FALSE)="","",VLOOKUP(A118,Test_Limits,3,FALSE)))</f>
        <v>1750</v>
      </c>
      <c r="J118" s="77" t="str">
        <f>IF(I118="","",IF(AND(E118&gt;I118,E118&lt;&gt;T118),IF(VLOOKUP(A118,Test_Limits,5,FALSE)="PF","Fail","Info"),"Pass"))</f>
        <v>Pass</v>
      </c>
      <c r="K118" s="328"/>
      <c r="L118" s="328"/>
      <c r="Q118" s="272"/>
      <c r="R118" s="320">
        <f t="shared" si="6"/>
        <v>-1000000</v>
      </c>
      <c r="S118" s="320">
        <f t="shared" si="7"/>
        <v>1000000</v>
      </c>
      <c r="T118" s="320" t="str">
        <f>IF(VLOOKUP(A118,Test_Limits,7,FALSE)&lt;&gt;"",VLOOKUP(A118,Test_Limits,7,FALSE),"")</f>
        <v/>
      </c>
      <c r="U118" s="320">
        <f>IF(F118="",0,VLOOKUP(A118,Test_Limits,8,FALSE))</f>
        <v>5</v>
      </c>
      <c r="V118" s="320">
        <f t="shared" si="5"/>
        <v>5</v>
      </c>
      <c r="W118" s="321">
        <f>VLOOKUP(A118,Test_Limits,6,FALSE)</f>
        <v>1</v>
      </c>
      <c r="X118" s="272"/>
    </row>
    <row r="119" spans="1:24" ht="13.8" x14ac:dyDescent="0.3">
      <c r="A119" s="9" t="s">
        <v>191</v>
      </c>
      <c r="B119" s="21">
        <v>63.1</v>
      </c>
      <c r="C119" s="65" t="s">
        <v>688</v>
      </c>
      <c r="D119" s="106">
        <f>IF(C119="","",MIN(B119:B119))</f>
        <v>63.1</v>
      </c>
      <c r="E119" s="103">
        <f>IF(C119="","",MAX(B119:B119))</f>
        <v>63.1</v>
      </c>
      <c r="F119" s="64">
        <f>IF(C119="","",IF(C119="    N/A","",IF(COUNTIF(B119:B119,"&gt;-1")&gt;0,ROUND((SUM(B119:B119)+COUNTIF(B119:B119,-1))/COUNTIF(B119:B119,"&gt;-1"),W119),ROUND(AVERAGE(B119:B119),W119))))</f>
        <v>63.1</v>
      </c>
      <c r="G119" s="106">
        <f>IF(F119="","",IF(VLOOKUP(A119,Test_Limits,2,FALSE)="","",VLOOKUP(A119,Test_Limits,2,FALSE)))</f>
        <v>50</v>
      </c>
      <c r="H119" s="77" t="str">
        <f>IF(G119="","",IF(AND(D119&lt;G119,D119&lt;&gt;T119),IF(VLOOKUP(A119,Test_Limits,5,FALSE)="PF","Fail","Info"),"Pass"))</f>
        <v>Pass</v>
      </c>
      <c r="I119" s="103">
        <f>IF(F119="","",IF(VLOOKUP(A119,Test_Limits,3,FALSE)="","",VLOOKUP(A119,Test_Limits,3,FALSE)))</f>
        <v>9999</v>
      </c>
      <c r="J119" s="77" t="str">
        <f>IF(I119="","",IF(AND(E119&gt;I119,E119&lt;&gt;T119),IF(VLOOKUP(A119,Test_Limits,5,FALSE)="PF","Fail","Info"),"Pass"))</f>
        <v>Pass</v>
      </c>
      <c r="K119" s="328"/>
      <c r="L119" s="328"/>
      <c r="Q119" s="272"/>
      <c r="R119" s="320">
        <f t="shared" si="6"/>
        <v>-1000000</v>
      </c>
      <c r="S119" s="320">
        <f t="shared" si="7"/>
        <v>1000000</v>
      </c>
      <c r="T119" s="320" t="str">
        <f>IF(VLOOKUP(A119,Test_Limits,7,FALSE)&lt;&gt;"",VLOOKUP(A119,Test_Limits,7,FALSE),"")</f>
        <v/>
      </c>
      <c r="U119" s="320">
        <f>IF(F119="",0,VLOOKUP(A119,Test_Limits,8,FALSE))</f>
        <v>1</v>
      </c>
      <c r="V119" s="320">
        <f t="shared" si="5"/>
        <v>1</v>
      </c>
      <c r="W119" s="321">
        <f>VLOOKUP(A119,Test_Limits,6,FALSE)</f>
        <v>1</v>
      </c>
      <c r="X119" s="272"/>
    </row>
    <row r="120" spans="1:24" ht="13.8" x14ac:dyDescent="0.3">
      <c r="A120" s="9" t="s">
        <v>192</v>
      </c>
      <c r="B120" s="21">
        <v>-1</v>
      </c>
      <c r="C120" s="65" t="s">
        <v>685</v>
      </c>
      <c r="D120" s="106">
        <f>IF(C120="","",MIN(B120:B120))</f>
        <v>-1</v>
      </c>
      <c r="E120" s="103">
        <f>IF(C120="","",MAX(B120:B120))</f>
        <v>-1</v>
      </c>
      <c r="F120" s="64">
        <f>IF(C120="","",IF(C120="    N/A","",IF(COUNTIF(B120:B120,"&gt;-1")&gt;0,ROUND((SUM(B120:B120)+COUNTIF(B120:B120,-1))/COUNTIF(B120:B120,"&gt;-1"),W120),ROUND(AVERAGE(B120:B120),W120))))</f>
        <v>-1</v>
      </c>
      <c r="G120" s="106">
        <f>IF(F120="","",IF(VLOOKUP(A120,Test_Limits,2,FALSE)="","",VLOOKUP(A120,Test_Limits,2,FALSE)))</f>
        <v>-1</v>
      </c>
      <c r="H120" s="77" t="str">
        <f>IF(G120="","",IF(AND(D120&lt;G120,D120&lt;&gt;T120),IF(VLOOKUP(A120,Test_Limits,5,FALSE)="PF","Fail","Info"),"Pass"))</f>
        <v>Pass</v>
      </c>
      <c r="I120" s="103">
        <f>IF(F120="","",IF(VLOOKUP(A120,Test_Limits,3,FALSE)="","",VLOOKUP(A120,Test_Limits,3,FALSE)))</f>
        <v>683</v>
      </c>
      <c r="J120" s="77" t="str">
        <f>IF(I120="","",IF(AND(E120&gt;I120,E120&lt;&gt;T120),IF(VLOOKUP(A120,Test_Limits,5,FALSE)="PF","Fail","Info"),"Pass"))</f>
        <v>Pass</v>
      </c>
      <c r="K120" s="328"/>
      <c r="L120" s="328"/>
      <c r="Q120" s="272"/>
      <c r="R120" s="320">
        <f>IF(H120="Info",G120,IF(J120="Info",G120,-1000000))</f>
        <v>-1000000</v>
      </c>
      <c r="S120" s="320">
        <f>IF(H120="Info",I120,IF(J120="Info",I120,1000000))</f>
        <v>1000000</v>
      </c>
      <c r="T120" s="320" t="str">
        <f>IF(VLOOKUP(A120,Test_Limits,7,FALSE)&lt;&gt;"",VLOOKUP(A120,Test_Limits,7,FALSE),"")</f>
        <v/>
      </c>
      <c r="U120" s="320">
        <f>IF(F120="",0,VLOOKUP(A120,Test_Limits,8,FALSE))</f>
        <v>5</v>
      </c>
      <c r="V120" s="320">
        <f>IF(H120="Pass",IF(J120="Pass",U120,0),0)</f>
        <v>5</v>
      </c>
      <c r="W120" s="321">
        <f>VLOOKUP(A120,Test_Limits,6,FALSE)</f>
        <v>1</v>
      </c>
      <c r="X120" s="272"/>
    </row>
    <row r="121" spans="1:24" ht="13.8" x14ac:dyDescent="0.3">
      <c r="A121" s="9" t="s">
        <v>193</v>
      </c>
      <c r="B121" s="21">
        <v>-1</v>
      </c>
      <c r="C121" s="65" t="s">
        <v>688</v>
      </c>
      <c r="D121" s="106">
        <f>IF(C121="","",MIN(B121:B121))</f>
        <v>-1</v>
      </c>
      <c r="E121" s="103">
        <f>IF(C121="","",MAX(B121:B121))</f>
        <v>-1</v>
      </c>
      <c r="F121" s="64">
        <f>IF(C121="","",IF(C121="    N/A","",IF(COUNTIF(B121:B121,"&gt;-1")&gt;0,ROUND((SUM(B121:B121)+COUNTIF(B121:B121,-1))/COUNTIF(B121:B121,"&gt;-1"),W121),ROUND(AVERAGE(B121:B121),W121))))</f>
        <v>-1</v>
      </c>
      <c r="G121" s="106">
        <f>IF(F121="","",IF(VLOOKUP(A121,Test_Limits,2,FALSE)="","",VLOOKUP(A121,Test_Limits,2,FALSE)))</f>
        <v>-1</v>
      </c>
      <c r="H121" s="77" t="str">
        <f>IF(G121="","",IF(AND(D121&lt;G121,D121&lt;&gt;T121),IF(VLOOKUP(A121,Test_Limits,5,FALSE)="PF","Fail","Info"),"Pass"))</f>
        <v>Pass</v>
      </c>
      <c r="I121" s="103">
        <f>IF(F121="","",IF(VLOOKUP(A121,Test_Limits,3,FALSE)="","",VLOOKUP(A121,Test_Limits,3,FALSE)))</f>
        <v>2000</v>
      </c>
      <c r="J121" s="77" t="str">
        <f>IF(I121="","",IF(AND(E121&gt;I121,E121&lt;&gt;T121),IF(VLOOKUP(A121,Test_Limits,5,FALSE)="PF","Fail","Info"),"Pass"))</f>
        <v>Pass</v>
      </c>
      <c r="K121" s="328"/>
      <c r="L121" s="328"/>
      <c r="Q121" s="272"/>
      <c r="R121" s="320">
        <f>IF(H121="Info",G121,IF(J121="Info",G121,-1000000))</f>
        <v>-1000000</v>
      </c>
      <c r="S121" s="320">
        <f>IF(H121="Info",I121,IF(J121="Info",I121,1000000))</f>
        <v>1000000</v>
      </c>
      <c r="T121" s="320" t="str">
        <f>IF(VLOOKUP(A121,Test_Limits,7,FALSE)&lt;&gt;"",VLOOKUP(A121,Test_Limits,7,FALSE),"")</f>
        <v/>
      </c>
      <c r="U121" s="320">
        <f>IF(F121="",0,VLOOKUP(A121,Test_Limits,8,FALSE))</f>
        <v>1</v>
      </c>
      <c r="V121" s="320">
        <f>IF(H121="Pass",IF(J121="Pass",U121,0),0)</f>
        <v>1</v>
      </c>
      <c r="W121" s="321">
        <f>VLOOKUP(A121,Test_Limits,6,FALSE)</f>
        <v>1</v>
      </c>
      <c r="X121" s="272"/>
    </row>
    <row r="122" spans="1:24" ht="13.8" x14ac:dyDescent="0.3">
      <c r="A122" s="9" t="s">
        <v>194</v>
      </c>
      <c r="B122" s="21">
        <v>655</v>
      </c>
      <c r="C122" s="65" t="s">
        <v>685</v>
      </c>
      <c r="D122" s="106">
        <f>IF(C122="","",MIN(B122:B122))</f>
        <v>655</v>
      </c>
      <c r="E122" s="103">
        <f>IF(C122="","",MAX(B122:B122))</f>
        <v>655</v>
      </c>
      <c r="F122" s="64">
        <f>IF(C122="","",IF(C122="    N/A","",IF(COUNTIF(B122:B122,"&gt;-1")&gt;0,ROUND((SUM(B122:B122)+COUNTIF(B122:B122,-1))/COUNTIF(B122:B122,"&gt;-1"),W122),ROUND(AVERAGE(B122:B122),W122))))</f>
        <v>655</v>
      </c>
      <c r="G122" s="106">
        <f>IF(F122="","",IF(VLOOKUP(A122,Test_Limits,2,FALSE)="","",VLOOKUP(A122,Test_Limits,2,FALSE)))</f>
        <v>-1</v>
      </c>
      <c r="H122" s="77" t="str">
        <f>IF(G122="","",IF(AND(D122&lt;G122,D122&lt;&gt;T122),IF(VLOOKUP(A122,Test_Limits,5,FALSE)="PF","Fail","Info"),"Pass"))</f>
        <v>Pass</v>
      </c>
      <c r="I122" s="103">
        <f>IF(F122="","",IF(VLOOKUP(A122,Test_Limits,3,FALSE)="","",VLOOKUP(A122,Test_Limits,3,FALSE)))</f>
        <v>1750</v>
      </c>
      <c r="J122" s="77" t="str">
        <f>IF(I122="","",IF(AND(E122&gt;I122,E122&lt;&gt;T122),IF(VLOOKUP(A122,Test_Limits,5,FALSE)="PF","Fail","Info"),"Pass"))</f>
        <v>Pass</v>
      </c>
      <c r="K122" s="328"/>
      <c r="L122" s="328"/>
      <c r="Q122" s="272"/>
      <c r="R122" s="320">
        <f t="shared" ref="R122:R135" si="8">IF(H122="Info",G122,IF(J122="Info",G122,-1000000))</f>
        <v>-1000000</v>
      </c>
      <c r="S122" s="320">
        <f t="shared" ref="S122:S135" si="9">IF(H122="Info",I122,IF(J122="Info",I122,1000000))</f>
        <v>1000000</v>
      </c>
      <c r="T122" s="320" t="str">
        <f>IF(VLOOKUP(A122,Test_Limits,7,FALSE)&lt;&gt;"",VLOOKUP(A122,Test_Limits,7,FALSE),"")</f>
        <v/>
      </c>
      <c r="U122" s="320">
        <f>IF(F122="",0,VLOOKUP(A122,Test_Limits,8,FALSE))</f>
        <v>5</v>
      </c>
      <c r="V122" s="320">
        <f t="shared" ref="V122:V135" si="10">IF(H122="Pass",IF(J122="Pass",U122,0),0)</f>
        <v>5</v>
      </c>
      <c r="W122" s="321">
        <f>VLOOKUP(A122,Test_Limits,6,FALSE)</f>
        <v>1</v>
      </c>
      <c r="X122" s="272"/>
    </row>
    <row r="123" spans="1:24" ht="13.8" x14ac:dyDescent="0.3">
      <c r="A123" s="9" t="s">
        <v>195</v>
      </c>
      <c r="B123" s="21">
        <v>62.4</v>
      </c>
      <c r="C123" s="65" t="s">
        <v>688</v>
      </c>
      <c r="D123" s="106">
        <f>IF(C123="","",MIN(B123:B123))</f>
        <v>62.4</v>
      </c>
      <c r="E123" s="103">
        <f>IF(C123="","",MAX(B123:B123))</f>
        <v>62.4</v>
      </c>
      <c r="F123" s="64">
        <f>IF(C123="","",IF(C123="    N/A","",IF(COUNTIF(B123:B123,"&gt;-1")&gt;0,ROUND((SUM(B123:B123)+COUNTIF(B123:B123,-1))/COUNTIF(B123:B123,"&gt;-1"),W123),ROUND(AVERAGE(B123:B123),W123))))</f>
        <v>62.4</v>
      </c>
      <c r="G123" s="106">
        <f>IF(F123="","",IF(VLOOKUP(A123,Test_Limits,2,FALSE)="","",VLOOKUP(A123,Test_Limits,2,FALSE)))</f>
        <v>10</v>
      </c>
      <c r="H123" s="77" t="str">
        <f>IF(G123="","",IF(AND(D123&lt;G123,D123&lt;&gt;T123),IF(VLOOKUP(A123,Test_Limits,5,FALSE)="PF","Fail","Info"),"Pass"))</f>
        <v>Pass</v>
      </c>
      <c r="I123" s="103">
        <f>IF(F123="","",IF(VLOOKUP(A123,Test_Limits,3,FALSE)="","",VLOOKUP(A123,Test_Limits,3,FALSE)))</f>
        <v>9999</v>
      </c>
      <c r="J123" s="77" t="str">
        <f>IF(I123="","",IF(AND(E123&gt;I123,E123&lt;&gt;T123),IF(VLOOKUP(A123,Test_Limits,5,FALSE)="PF","Fail","Info"),"Pass"))</f>
        <v>Pass</v>
      </c>
      <c r="K123" s="328"/>
      <c r="L123" s="328"/>
      <c r="Q123" s="272"/>
      <c r="R123" s="320">
        <f t="shared" si="8"/>
        <v>-1000000</v>
      </c>
      <c r="S123" s="320">
        <f t="shared" si="9"/>
        <v>1000000</v>
      </c>
      <c r="T123" s="320" t="str">
        <f>IF(VLOOKUP(A123,Test_Limits,7,FALSE)&lt;&gt;"",VLOOKUP(A123,Test_Limits,7,FALSE),"")</f>
        <v/>
      </c>
      <c r="U123" s="320">
        <f>IF(F123="",0,VLOOKUP(A123,Test_Limits,8,FALSE))</f>
        <v>1</v>
      </c>
      <c r="V123" s="320">
        <f t="shared" si="10"/>
        <v>1</v>
      </c>
      <c r="W123" s="321">
        <f>VLOOKUP(A123,Test_Limits,6,FALSE)</f>
        <v>1</v>
      </c>
      <c r="X123" s="272"/>
    </row>
    <row r="124" spans="1:24" ht="13.8" x14ac:dyDescent="0.3">
      <c r="A124" s="9" t="s">
        <v>196</v>
      </c>
      <c r="B124" s="21">
        <v>-1</v>
      </c>
      <c r="C124" s="65" t="s">
        <v>685</v>
      </c>
      <c r="D124" s="106">
        <f>IF(C124="","",MIN(B124:B124))</f>
        <v>-1</v>
      </c>
      <c r="E124" s="103">
        <f>IF(C124="","",MAX(B124:B124))</f>
        <v>-1</v>
      </c>
      <c r="F124" s="64">
        <f>IF(C124="","",IF(C124="    N/A","",IF(COUNTIF(B124:B124,"&gt;-1")&gt;0,ROUND((SUM(B124:B124)+COUNTIF(B124:B124,-1))/COUNTIF(B124:B124,"&gt;-1"),W124),ROUND(AVERAGE(B124:B124),W124))))</f>
        <v>-1</v>
      </c>
      <c r="G124" s="106">
        <f>IF(F124="","",IF(VLOOKUP(A124,Test_Limits,2,FALSE)="","",VLOOKUP(A124,Test_Limits,2,FALSE)))</f>
        <v>-1</v>
      </c>
      <c r="H124" s="77" t="str">
        <f>IF(G124="","",IF(AND(D124&lt;G124,D124&lt;&gt;T124),IF(VLOOKUP(A124,Test_Limits,5,FALSE)="PF","Fail","Info"),"Pass"))</f>
        <v>Pass</v>
      </c>
      <c r="I124" s="103">
        <f>IF(F124="","",IF(VLOOKUP(A124,Test_Limits,3,FALSE)="","",VLOOKUP(A124,Test_Limits,3,FALSE)))</f>
        <v>683</v>
      </c>
      <c r="J124" s="77" t="str">
        <f>IF(I124="","",IF(AND(E124&gt;I124,E124&lt;&gt;T124),IF(VLOOKUP(A124,Test_Limits,5,FALSE)="PF","Fail","Info"),"Pass"))</f>
        <v>Pass</v>
      </c>
      <c r="K124" s="328"/>
      <c r="L124" s="328"/>
      <c r="Q124" s="272"/>
      <c r="R124" s="320">
        <f t="shared" si="8"/>
        <v>-1000000</v>
      </c>
      <c r="S124" s="320">
        <f t="shared" si="9"/>
        <v>1000000</v>
      </c>
      <c r="T124" s="320" t="str">
        <f>IF(VLOOKUP(A124,Test_Limits,7,FALSE)&lt;&gt;"",VLOOKUP(A124,Test_Limits,7,FALSE),"")</f>
        <v/>
      </c>
      <c r="U124" s="320">
        <f>IF(F124="",0,VLOOKUP(A124,Test_Limits,8,FALSE))</f>
        <v>5</v>
      </c>
      <c r="V124" s="320">
        <f t="shared" si="10"/>
        <v>5</v>
      </c>
      <c r="W124" s="321">
        <f>VLOOKUP(A124,Test_Limits,6,FALSE)</f>
        <v>1</v>
      </c>
      <c r="X124" s="272"/>
    </row>
    <row r="125" spans="1:24" ht="13.8" x14ac:dyDescent="0.3">
      <c r="A125" s="9" t="s">
        <v>197</v>
      </c>
      <c r="B125" s="21">
        <v>-1</v>
      </c>
      <c r="C125" s="65" t="s">
        <v>688</v>
      </c>
      <c r="D125" s="106">
        <f>IF(C125="","",MIN(B125:B125))</f>
        <v>-1</v>
      </c>
      <c r="E125" s="103">
        <f>IF(C125="","",MAX(B125:B125))</f>
        <v>-1</v>
      </c>
      <c r="F125" s="64">
        <f>IF(C125="","",IF(C125="    N/A","",IF(COUNTIF(B125:B125,"&gt;-1")&gt;0,ROUND((SUM(B125:B125)+COUNTIF(B125:B125,-1))/COUNTIF(B125:B125,"&gt;-1"),W125),ROUND(AVERAGE(B125:B125),W125))))</f>
        <v>-1</v>
      </c>
      <c r="G125" s="106">
        <f>IF(F125="","",IF(VLOOKUP(A125,Test_Limits,2,FALSE)="","",VLOOKUP(A125,Test_Limits,2,FALSE)))</f>
        <v>-1</v>
      </c>
      <c r="H125" s="77" t="str">
        <f>IF(G125="","",IF(AND(D125&lt;G125,D125&lt;&gt;T125),IF(VLOOKUP(A125,Test_Limits,5,FALSE)="PF","Fail","Info"),"Pass"))</f>
        <v>Pass</v>
      </c>
      <c r="I125" s="103">
        <f>IF(F125="","",IF(VLOOKUP(A125,Test_Limits,3,FALSE)="","",VLOOKUP(A125,Test_Limits,3,FALSE)))</f>
        <v>2000</v>
      </c>
      <c r="J125" s="77" t="str">
        <f>IF(I125="","",IF(AND(E125&gt;I125,E125&lt;&gt;T125),IF(VLOOKUP(A125,Test_Limits,5,FALSE)="PF","Fail","Info"),"Pass"))</f>
        <v>Pass</v>
      </c>
      <c r="K125" s="328"/>
      <c r="L125" s="328"/>
      <c r="Q125" s="272"/>
      <c r="R125" s="320">
        <f t="shared" si="8"/>
        <v>-1000000</v>
      </c>
      <c r="S125" s="320">
        <f t="shared" si="9"/>
        <v>1000000</v>
      </c>
      <c r="T125" s="320" t="str">
        <f>IF(VLOOKUP(A125,Test_Limits,7,FALSE)&lt;&gt;"",VLOOKUP(A125,Test_Limits,7,FALSE),"")</f>
        <v/>
      </c>
      <c r="U125" s="320">
        <f>IF(F125="",0,VLOOKUP(A125,Test_Limits,8,FALSE))</f>
        <v>1</v>
      </c>
      <c r="V125" s="320">
        <f t="shared" si="10"/>
        <v>1</v>
      </c>
      <c r="W125" s="321">
        <f>VLOOKUP(A125,Test_Limits,6,FALSE)</f>
        <v>1</v>
      </c>
      <c r="X125" s="272"/>
    </row>
    <row r="126" spans="1:24" ht="13.8" x14ac:dyDescent="0.3">
      <c r="A126" s="9" t="s">
        <v>675</v>
      </c>
      <c r="B126" s="21"/>
      <c r="C126" s="65"/>
      <c r="D126" s="106" t="str">
        <f>IF(C126="","",MIN(B126:B126))</f>
        <v/>
      </c>
      <c r="E126" s="103" t="str">
        <f>IF(C126="","",MAX(B126:B126))</f>
        <v/>
      </c>
      <c r="F126" s="64" t="str">
        <f>IF(C126="","",IF(C126="    N/A","",IF(COUNTIF(B126:B126,"&gt;-1")&gt;0,ROUND((SUM(B126:B126)+COUNTIF(B126:B126,-1))/COUNTIF(B126:B126,"&gt;-1"),W126),ROUND(AVERAGE(B126:B126),W126))))</f>
        <v/>
      </c>
      <c r="G126" s="106" t="str">
        <f>IF(F126="","",IF(VLOOKUP(A126,Test_Limits,2,FALSE)="","",VLOOKUP(A126,Test_Limits,2,FALSE)))</f>
        <v/>
      </c>
      <c r="H126" s="77" t="str">
        <f>IF(G126="","",IF(AND(D126&lt;G126,D126&lt;&gt;T126),IF(VLOOKUP(A126,Test_Limits,5,FALSE)="PF","Fail","Info"),"Pass"))</f>
        <v/>
      </c>
      <c r="I126" s="103" t="str">
        <f>IF(F126="","",IF(VLOOKUP(A126,Test_Limits,3,FALSE)="","",VLOOKUP(A126,Test_Limits,3,FALSE)))</f>
        <v/>
      </c>
      <c r="J126" s="77" t="str">
        <f>IF(I126="","",IF(AND(E126&gt;I126,E126&lt;&gt;T126),IF(VLOOKUP(A126,Test_Limits,5,FALSE)="PF","Fail","Info"),"Pass"))</f>
        <v/>
      </c>
      <c r="K126" s="328"/>
      <c r="L126" s="328"/>
      <c r="Q126" s="272"/>
      <c r="R126" s="320">
        <f t="shared" si="8"/>
        <v>-1000000</v>
      </c>
      <c r="S126" s="320">
        <f t="shared" si="9"/>
        <v>1000000</v>
      </c>
      <c r="T126" s="320" t="e">
        <f>IF(VLOOKUP(A126,Test_Limits,7,FALSE)&lt;&gt;"",VLOOKUP(A126,Test_Limits,7,FALSE),"")</f>
        <v>#N/A</v>
      </c>
      <c r="U126" s="320">
        <f>IF(F126="",0,VLOOKUP(A126,Test_Limits,8,FALSE))</f>
        <v>0</v>
      </c>
      <c r="V126" s="320">
        <f t="shared" si="10"/>
        <v>0</v>
      </c>
      <c r="W126" s="321" t="e">
        <f>VLOOKUP(A126,Test_Limits,6,FALSE)</f>
        <v>#N/A</v>
      </c>
      <c r="X126" s="272"/>
    </row>
    <row r="127" spans="1:24" ht="13.8" x14ac:dyDescent="0.3">
      <c r="A127" s="9" t="s">
        <v>306</v>
      </c>
      <c r="B127" s="21">
        <v>16.3</v>
      </c>
      <c r="C127" s="65" t="s">
        <v>688</v>
      </c>
      <c r="D127" s="106">
        <f>IF(C127="","",MIN(B127:B127))</f>
        <v>16.3</v>
      </c>
      <c r="E127" s="103">
        <f>IF(C127="","",MAX(B127:B127))</f>
        <v>16.3</v>
      </c>
      <c r="F127" s="64">
        <f>IF(C127="","",IF(C127="    N/A","",IF(COUNTIF(B127:B127,"&gt;-1")&gt;0,ROUND((SUM(B127:B127)+COUNTIF(B127:B127,-1))/COUNTIF(B127:B127,"&gt;-1"),W127),ROUND(AVERAGE(B127:B127),W127))))</f>
        <v>16.3</v>
      </c>
      <c r="G127" s="106">
        <f>IF(F127="","",IF(VLOOKUP(A127,Test_Limits,2,FALSE)="","",VLOOKUP(A127,Test_Limits,2,FALSE)))</f>
        <v>0</v>
      </c>
      <c r="H127" s="77" t="str">
        <f>IF(G127="","",IF(AND(D127&lt;G127,D127&lt;&gt;T127),IF(VLOOKUP(A127,Test_Limits,5,FALSE)="PF","Fail","Info"),"Pass"))</f>
        <v>Pass</v>
      </c>
      <c r="I127" s="103">
        <f>IF(F127="","",IF(VLOOKUP(A127,Test_Limits,3,FALSE)="","",VLOOKUP(A127,Test_Limits,3,FALSE)))</f>
        <v>500</v>
      </c>
      <c r="J127" s="77" t="str">
        <f>IF(I127="","",IF(AND(E127&gt;I127,E127&lt;&gt;T127),IF(VLOOKUP(A127,Test_Limits,5,FALSE)="PF","Fail","Info"),"Pass"))</f>
        <v>Pass</v>
      </c>
      <c r="K127" s="328"/>
      <c r="L127" s="328"/>
      <c r="Q127" s="272"/>
      <c r="R127" s="320">
        <f t="shared" si="8"/>
        <v>-1000000</v>
      </c>
      <c r="S127" s="320">
        <f t="shared" si="9"/>
        <v>1000000</v>
      </c>
      <c r="T127" s="320" t="str">
        <f>IF(VLOOKUP(A127,Test_Limits,7,FALSE)&lt;&gt;"",VLOOKUP(A127,Test_Limits,7,FALSE),"")</f>
        <v/>
      </c>
      <c r="U127" s="320">
        <f>IF(F127="",0,VLOOKUP(A127,Test_Limits,8,FALSE))</f>
        <v>1</v>
      </c>
      <c r="V127" s="320">
        <f t="shared" si="10"/>
        <v>1</v>
      </c>
      <c r="W127" s="321">
        <f>VLOOKUP(A127,Test_Limits,6,FALSE)</f>
        <v>1</v>
      </c>
      <c r="X127" s="272"/>
    </row>
    <row r="128" spans="1:24" ht="13.8" x14ac:dyDescent="0.3">
      <c r="A128" s="9" t="s">
        <v>318</v>
      </c>
      <c r="B128" s="21">
        <v>6.0999999999999999E-2</v>
      </c>
      <c r="C128" s="65" t="s">
        <v>687</v>
      </c>
      <c r="D128" s="106">
        <f>IF(C128="","",MIN(B128:B128))</f>
        <v>6.0999999999999999E-2</v>
      </c>
      <c r="E128" s="103">
        <f>IF(C128="","",MAX(B128:B128))</f>
        <v>6.0999999999999999E-2</v>
      </c>
      <c r="F128" s="64">
        <f>IF(C128="","",IF(C128="    N/A","",IF(COUNTIF(B128:B128,"&gt;-1")&gt;0,ROUND((SUM(B128:B128)+COUNTIF(B128:B128,-1))/COUNTIF(B128:B128,"&gt;-1"),W128),ROUND(AVERAGE(B128:B128),W128))))</f>
        <v>0.06</v>
      </c>
      <c r="G128" s="106">
        <f>IF(F128="","",IF(VLOOKUP(A128,Test_Limits,2,FALSE)="","",VLOOKUP(A128,Test_Limits,2,FALSE)))</f>
        <v>-1</v>
      </c>
      <c r="H128" s="77" t="str">
        <f>IF(G128="","",IF(AND(D128&lt;G128,D128&lt;&gt;T128),IF(VLOOKUP(A128,Test_Limits,5,FALSE)="PF","Fail","Info"),"Pass"))</f>
        <v>Pass</v>
      </c>
      <c r="I128" s="103">
        <f>IF(F128="","",IF(VLOOKUP(A128,Test_Limits,3,FALSE)="","",VLOOKUP(A128,Test_Limits,3,FALSE)))</f>
        <v>0.52</v>
      </c>
      <c r="J128" s="77" t="str">
        <f>IF(I128="","",IF(AND(E128&gt;I128,E128&lt;&gt;T128),IF(VLOOKUP(A128,Test_Limits,5,FALSE)="PF","Fail","Info"),"Pass"))</f>
        <v>Pass</v>
      </c>
      <c r="K128" s="328"/>
      <c r="L128" s="328"/>
      <c r="Q128" s="272"/>
      <c r="R128" s="320">
        <f t="shared" si="8"/>
        <v>-1000000</v>
      </c>
      <c r="S128" s="320">
        <f t="shared" si="9"/>
        <v>1000000</v>
      </c>
      <c r="T128" s="320" t="str">
        <f>IF(VLOOKUP(A128,Test_Limits,7,FALSE)&lt;&gt;"",VLOOKUP(A128,Test_Limits,7,FALSE),"")</f>
        <v/>
      </c>
      <c r="U128" s="320">
        <f>IF(F128="",0,VLOOKUP(A128,Test_Limits,8,FALSE))</f>
        <v>1</v>
      </c>
      <c r="V128" s="320">
        <f t="shared" si="10"/>
        <v>1</v>
      </c>
      <c r="W128" s="321">
        <f>VLOOKUP(A128,Test_Limits,6,FALSE)</f>
        <v>2</v>
      </c>
      <c r="X128" s="272"/>
    </row>
    <row r="129" spans="1:24" ht="13.8" x14ac:dyDescent="0.3">
      <c r="A129" s="9" t="s">
        <v>319</v>
      </c>
      <c r="B129" s="21">
        <v>131.19999999999999</v>
      </c>
      <c r="C129" s="65" t="s">
        <v>686</v>
      </c>
      <c r="D129" s="106">
        <f>IF(C129="","",MIN(B129:B129))</f>
        <v>131.19999999999999</v>
      </c>
      <c r="E129" s="103">
        <f>IF(C129="","",MAX(B129:B129))</f>
        <v>131.19999999999999</v>
      </c>
      <c r="F129" s="64">
        <f>IF(C129="","",IF(C129="    N/A","",IF(COUNTIF(B129:B129,"&gt;-1")&gt;0,ROUND((SUM(B129:B129)+COUNTIF(B129:B129,-1))/COUNTIF(B129:B129,"&gt;-1"),W129),ROUND(AVERAGE(B129:B129),W129))))</f>
        <v>131</v>
      </c>
      <c r="G129" s="106">
        <f>IF(F129="","",IF(VLOOKUP(A129,Test_Limits,2,FALSE)="","",VLOOKUP(A129,Test_Limits,2,FALSE)))</f>
        <v>45</v>
      </c>
      <c r="H129" s="77" t="str">
        <f>IF(G129="","",IF(AND(D129&lt;G129,D129&lt;&gt;T129),IF(VLOOKUP(A129,Test_Limits,5,FALSE)="PF","Fail","Info"),"Pass"))</f>
        <v>Pass</v>
      </c>
      <c r="I129" s="103">
        <f>IF(F129="","",IF(VLOOKUP(A129,Test_Limits,3,FALSE)="","",VLOOKUP(A129,Test_Limits,3,FALSE)))</f>
        <v>50000</v>
      </c>
      <c r="J129" s="77" t="str">
        <f>IF(I129="","",IF(AND(E129&gt;I129,E129&lt;&gt;T129),IF(VLOOKUP(A129,Test_Limits,5,FALSE)="PF","Fail","Info"),"Pass"))</f>
        <v>Pass</v>
      </c>
      <c r="K129" s="328"/>
      <c r="L129" s="328"/>
      <c r="Q129" s="272"/>
      <c r="R129" s="320">
        <f t="shared" si="8"/>
        <v>-1000000</v>
      </c>
      <c r="S129" s="320">
        <f t="shared" si="9"/>
        <v>1000000</v>
      </c>
      <c r="T129" s="320" t="str">
        <f>IF(VLOOKUP(A129,Test_Limits,7,FALSE)&lt;&gt;"",VLOOKUP(A129,Test_Limits,7,FALSE),"")</f>
        <v/>
      </c>
      <c r="U129" s="320">
        <f>IF(F129="",0,VLOOKUP(A129,Test_Limits,8,FALSE))</f>
        <v>1</v>
      </c>
      <c r="V129" s="320">
        <f t="shared" si="10"/>
        <v>1</v>
      </c>
      <c r="W129" s="321">
        <f>VLOOKUP(A129,Test_Limits,6,FALSE)</f>
        <v>0</v>
      </c>
      <c r="X129" s="272"/>
    </row>
    <row r="130" spans="1:24" ht="13.8" x14ac:dyDescent="0.3">
      <c r="A130" s="9" t="s">
        <v>676</v>
      </c>
      <c r="B130" s="21"/>
      <c r="C130" s="65"/>
      <c r="D130" s="106" t="str">
        <f>IF(C130="","",MIN(B130:B130))</f>
        <v/>
      </c>
      <c r="E130" s="103" t="str">
        <f>IF(C130="","",MAX(B130:B130))</f>
        <v/>
      </c>
      <c r="F130" s="64" t="str">
        <f>IF(C130="","",IF(C130="    N/A","",IF(COUNTIF(B130:B130,"&gt;-1")&gt;0,ROUND((SUM(B130:B130)+COUNTIF(B130:B130,-1))/COUNTIF(B130:B130,"&gt;-1"),W130),ROUND(AVERAGE(B130:B130),W130))))</f>
        <v/>
      </c>
      <c r="G130" s="106" t="str">
        <f>IF(F130="","",IF(VLOOKUP(A130,Test_Limits,2,FALSE)="","",VLOOKUP(A130,Test_Limits,2,FALSE)))</f>
        <v/>
      </c>
      <c r="H130" s="77" t="str">
        <f>IF(G130="","",IF(AND(D130&lt;G130,D130&lt;&gt;T130),IF(VLOOKUP(A130,Test_Limits,5,FALSE)="PF","Fail","Info"),"Pass"))</f>
        <v/>
      </c>
      <c r="I130" s="103" t="str">
        <f>IF(F130="","",IF(VLOOKUP(A130,Test_Limits,3,FALSE)="","",VLOOKUP(A130,Test_Limits,3,FALSE)))</f>
        <v/>
      </c>
      <c r="J130" s="77" t="str">
        <f>IF(I130="","",IF(AND(E130&gt;I130,E130&lt;&gt;T130),IF(VLOOKUP(A130,Test_Limits,5,FALSE)="PF","Fail","Info"),"Pass"))</f>
        <v/>
      </c>
      <c r="K130" s="328"/>
      <c r="L130" s="328"/>
      <c r="Q130" s="272"/>
      <c r="R130" s="320">
        <f t="shared" si="8"/>
        <v>-1000000</v>
      </c>
      <c r="S130" s="320">
        <f t="shared" si="9"/>
        <v>1000000</v>
      </c>
      <c r="T130" s="320" t="e">
        <f>IF(VLOOKUP(A130,Test_Limits,7,FALSE)&lt;&gt;"",VLOOKUP(A130,Test_Limits,7,FALSE),"")</f>
        <v>#N/A</v>
      </c>
      <c r="U130" s="320">
        <f>IF(F130="",0,VLOOKUP(A130,Test_Limits,8,FALSE))</f>
        <v>0</v>
      </c>
      <c r="V130" s="320">
        <f t="shared" si="10"/>
        <v>0</v>
      </c>
      <c r="W130" s="321" t="e">
        <f>VLOOKUP(A130,Test_Limits,6,FALSE)</f>
        <v>#N/A</v>
      </c>
      <c r="X130" s="272"/>
    </row>
    <row r="131" spans="1:24" ht="13.8" x14ac:dyDescent="0.3">
      <c r="A131" s="9" t="s">
        <v>316</v>
      </c>
      <c r="B131" s="21">
        <v>0.1</v>
      </c>
      <c r="C131" s="65" t="s">
        <v>681</v>
      </c>
      <c r="D131" s="106">
        <f>IF(C131="","",MIN(B131:B131))</f>
        <v>0.1</v>
      </c>
      <c r="E131" s="103">
        <f>IF(C131="","",MAX(B131:B131))</f>
        <v>0.1</v>
      </c>
      <c r="F131" s="64">
        <f>IF(C131="","",IF(C131="    N/A","",IF(COUNTIF(B131:B131,"&gt;-1")&gt;0,ROUND((SUM(B131:B131)+COUNTIF(B131:B131,-1))/COUNTIF(B131:B131,"&gt;-1"),W131),ROUND(AVERAGE(B131:B131),W131))))</f>
        <v>0.1</v>
      </c>
      <c r="G131" s="106">
        <f>IF(F131="","",IF(VLOOKUP(A131,Test_Limits,2,FALSE)="","",VLOOKUP(A131,Test_Limits,2,FALSE)))</f>
        <v>0</v>
      </c>
      <c r="H131" s="77" t="str">
        <f>IF(G131="","",IF(AND(D131&lt;G131,D131&lt;&gt;T131),IF(VLOOKUP(A131,Test_Limits,5,FALSE)="PF","Fail","Info"),"Pass"))</f>
        <v>Pass</v>
      </c>
      <c r="I131" s="103">
        <f>IF(F131="","",IF(VLOOKUP(A131,Test_Limits,3,FALSE)="","",VLOOKUP(A131,Test_Limits,3,FALSE)))</f>
        <v>2.8</v>
      </c>
      <c r="J131" s="77" t="str">
        <f>IF(I131="","",IF(AND(E131&gt;I131,E131&lt;&gt;T131),IF(VLOOKUP(A131,Test_Limits,5,FALSE)="PF","Fail","Info"),"Pass"))</f>
        <v>Pass</v>
      </c>
      <c r="K131" s="328"/>
      <c r="L131" s="328"/>
      <c r="Q131" s="272"/>
      <c r="R131" s="320">
        <f t="shared" si="8"/>
        <v>-1000000</v>
      </c>
      <c r="S131" s="320">
        <f t="shared" si="9"/>
        <v>1000000</v>
      </c>
      <c r="T131" s="320" t="str">
        <f>IF(VLOOKUP(A131,Test_Limits,7,FALSE)&lt;&gt;"",VLOOKUP(A131,Test_Limits,7,FALSE),"")</f>
        <v/>
      </c>
      <c r="U131" s="320">
        <f>IF(F131="",0,VLOOKUP(A131,Test_Limits,8,FALSE))</f>
        <v>1</v>
      </c>
      <c r="V131" s="320">
        <f t="shared" si="10"/>
        <v>1</v>
      </c>
      <c r="W131" s="321">
        <f>VLOOKUP(A131,Test_Limits,6,FALSE)</f>
        <v>1</v>
      </c>
      <c r="X131" s="272"/>
    </row>
    <row r="132" spans="1:24" ht="13.8" x14ac:dyDescent="0.3">
      <c r="A132" s="9" t="s">
        <v>315</v>
      </c>
      <c r="B132" s="21">
        <v>1367.2</v>
      </c>
      <c r="C132" s="65" t="s">
        <v>688</v>
      </c>
      <c r="D132" s="106">
        <f>IF(C132="","",MIN(B132:B132))</f>
        <v>1367.2</v>
      </c>
      <c r="E132" s="103">
        <f>IF(C132="","",MAX(B132:B132))</f>
        <v>1367.2</v>
      </c>
      <c r="F132" s="64">
        <f>IF(C132="","",IF(C132="    N/A","",IF(COUNTIF(B132:B132,"&gt;-1")&gt;0,ROUND((SUM(B132:B132)+COUNTIF(B132:B132,-1))/COUNTIF(B132:B132,"&gt;-1"),W132),ROUND(AVERAGE(B132:B132),W132))))</f>
        <v>1367</v>
      </c>
      <c r="G132" s="106">
        <f>IF(F132="","",IF(VLOOKUP(A132,Test_Limits,2,FALSE)="","",VLOOKUP(A132,Test_Limits,2,FALSE)))</f>
        <v>750</v>
      </c>
      <c r="H132" s="77" t="str">
        <f>IF(G132="","",IF(AND(D132&lt;G132,D132&lt;&gt;T132),IF(VLOOKUP(A132,Test_Limits,5,FALSE)="PF","Fail","Info"),"Pass"))</f>
        <v>Pass</v>
      </c>
      <c r="I132" s="103">
        <f>IF(F132="","",IF(VLOOKUP(A132,Test_Limits,3,FALSE)="","",VLOOKUP(A132,Test_Limits,3,FALSE)))</f>
        <v>10000</v>
      </c>
      <c r="J132" s="77" t="str">
        <f>IF(I132="","",IF(AND(E132&gt;I132,E132&lt;&gt;T132),IF(VLOOKUP(A132,Test_Limits,5,FALSE)="PF","Fail","Info"),"Pass"))</f>
        <v>Pass</v>
      </c>
      <c r="K132" s="328"/>
      <c r="L132" s="328"/>
      <c r="Q132" s="272"/>
      <c r="R132" s="320">
        <f t="shared" si="8"/>
        <v>-1000000</v>
      </c>
      <c r="S132" s="320">
        <f t="shared" si="9"/>
        <v>1000000</v>
      </c>
      <c r="T132" s="320" t="str">
        <f>IF(VLOOKUP(A132,Test_Limits,7,FALSE)&lt;&gt;"",VLOOKUP(A132,Test_Limits,7,FALSE),"")</f>
        <v/>
      </c>
      <c r="U132" s="320">
        <f>IF(F132="",0,VLOOKUP(A132,Test_Limits,8,FALSE))</f>
        <v>0</v>
      </c>
      <c r="V132" s="320">
        <f t="shared" si="10"/>
        <v>0</v>
      </c>
      <c r="W132" s="321">
        <f>VLOOKUP(A132,Test_Limits,6,FALSE)</f>
        <v>0</v>
      </c>
      <c r="X132" s="272"/>
    </row>
    <row r="133" spans="1:24" ht="13.8" x14ac:dyDescent="0.3">
      <c r="A133" s="9" t="s">
        <v>317</v>
      </c>
      <c r="B133" s="21">
        <v>0.4</v>
      </c>
      <c r="C133" s="65" t="s">
        <v>681</v>
      </c>
      <c r="D133" s="106">
        <f>IF(C133="","",MIN(B133:B133))</f>
        <v>0.4</v>
      </c>
      <c r="E133" s="103">
        <f>IF(C133="","",MAX(B133:B133))</f>
        <v>0.4</v>
      </c>
      <c r="F133" s="64">
        <f>IF(C133="","",IF(C133="    N/A","",IF(COUNTIF(B133:B133,"&gt;-1")&gt;0,ROUND((SUM(B133:B133)+COUNTIF(B133:B133,-1))/COUNTIF(B133:B133,"&gt;-1"),W133),ROUND(AVERAGE(B133:B133),W133))))</f>
        <v>0.4</v>
      </c>
      <c r="G133" s="106">
        <f>IF(F133="","",IF(VLOOKUP(A133,Test_Limits,2,FALSE)="","",VLOOKUP(A133,Test_Limits,2,FALSE)))</f>
        <v>0</v>
      </c>
      <c r="H133" s="77" t="str">
        <f>IF(G133="","",IF(AND(D133&lt;G133,D133&lt;&gt;T133),IF(VLOOKUP(A133,Test_Limits,5,FALSE)="PF","Fail","Info"),"Pass"))</f>
        <v>Pass</v>
      </c>
      <c r="I133" s="103">
        <f>IF(F133="","",IF(VLOOKUP(A133,Test_Limits,3,FALSE)="","",VLOOKUP(A133,Test_Limits,3,FALSE)))</f>
        <v>20.5</v>
      </c>
      <c r="J133" s="77" t="str">
        <f>IF(I133="","",IF(AND(E133&gt;I133,E133&lt;&gt;T133),IF(VLOOKUP(A133,Test_Limits,5,FALSE)="PF","Fail","Info"),"Pass"))</f>
        <v>Pass</v>
      </c>
      <c r="K133" s="328"/>
      <c r="L133" s="328"/>
      <c r="Q133" s="272"/>
      <c r="R133" s="320">
        <f t="shared" si="8"/>
        <v>-1000000</v>
      </c>
      <c r="S133" s="320">
        <f t="shared" si="9"/>
        <v>1000000</v>
      </c>
      <c r="T133" s="320" t="str">
        <f>IF(VLOOKUP(A133,Test_Limits,7,FALSE)&lt;&gt;"",VLOOKUP(A133,Test_Limits,7,FALSE),"")</f>
        <v/>
      </c>
      <c r="U133" s="320">
        <f>IF(F133="",0,VLOOKUP(A133,Test_Limits,8,FALSE))</f>
        <v>1</v>
      </c>
      <c r="V133" s="320">
        <f t="shared" si="10"/>
        <v>1</v>
      </c>
      <c r="W133" s="321">
        <f>VLOOKUP(A133,Test_Limits,6,FALSE)</f>
        <v>1</v>
      </c>
      <c r="X133" s="272"/>
    </row>
    <row r="134" spans="1:24" x14ac:dyDescent="0.25">
      <c r="A134" s="450" t="s">
        <v>677</v>
      </c>
      <c r="B134" s="451">
        <v>3202</v>
      </c>
      <c r="C134" s="65"/>
      <c r="D134" s="106" t="str">
        <f>IF(C134="","",MIN(B134:B134))</f>
        <v/>
      </c>
      <c r="E134" s="103" t="str">
        <f>IF(C134="","",MAX(B134:B134))</f>
        <v/>
      </c>
      <c r="F134" s="64" t="str">
        <f>IF(C134="","",IF(C134="    N/A","",IF(COUNTIF(B134:B134,"&gt;-1")&gt;0,ROUND((SUM(B134:B134)+COUNTIF(B134:B134,-1))/COUNTIF(B134:B134,"&gt;-1"),W134),ROUND(AVERAGE(B134:B134),W134))))</f>
        <v/>
      </c>
      <c r="G134" s="106" t="str">
        <f>IF(F134="","",IF(VLOOKUP(A134,Test_Limits,2,FALSE)="","",VLOOKUP(A134,Test_Limits,2,FALSE)))</f>
        <v/>
      </c>
      <c r="H134" s="77" t="str">
        <f>IF(G134="","",IF(AND(D134&lt;G134,D134&lt;&gt;T134),IF(VLOOKUP(A134,Test_Limits,5,FALSE)="PF","Fail","Info"),"Pass"))</f>
        <v/>
      </c>
      <c r="I134" s="103" t="str">
        <f>IF(F134="","",IF(VLOOKUP(A134,Test_Limits,3,FALSE)="","",VLOOKUP(A134,Test_Limits,3,FALSE)))</f>
        <v/>
      </c>
      <c r="J134" s="77" t="str">
        <f>IF(I134="","",IF(AND(E134&gt;I134,E134&lt;&gt;T134),IF(VLOOKUP(A134,Test_Limits,5,FALSE)="PF","Fail","Info"),"Pass"))</f>
        <v/>
      </c>
      <c r="K134" s="328"/>
      <c r="L134" s="328"/>
      <c r="Q134" s="272"/>
      <c r="R134" s="320">
        <f t="shared" si="8"/>
        <v>-1000000</v>
      </c>
      <c r="S134" s="320">
        <f t="shared" si="9"/>
        <v>1000000</v>
      </c>
      <c r="T134" s="320" t="e">
        <f>IF(VLOOKUP(A134,Test_Limits,7,FALSE)&lt;&gt;"",VLOOKUP(A134,Test_Limits,7,FALSE),"")</f>
        <v>#N/A</v>
      </c>
      <c r="U134" s="320">
        <f>IF(F134="",0,VLOOKUP(A134,Test_Limits,8,FALSE))</f>
        <v>0</v>
      </c>
      <c r="V134" s="320">
        <f t="shared" si="10"/>
        <v>0</v>
      </c>
      <c r="W134" s="321" t="e">
        <f>VLOOKUP(A134,Test_Limits,6,FALSE)</f>
        <v>#N/A</v>
      </c>
      <c r="X134" s="272"/>
    </row>
    <row r="135" spans="1:24" x14ac:dyDescent="0.25">
      <c r="A135" s="450" t="s">
        <v>678</v>
      </c>
      <c r="B135" s="451">
        <v>11</v>
      </c>
      <c r="C135" s="65"/>
      <c r="D135" s="106" t="str">
        <f>IF(C135="","",MIN(B135:B135))</f>
        <v/>
      </c>
      <c r="E135" s="103" t="str">
        <f>IF(C135="","",MAX(B135:B135))</f>
        <v/>
      </c>
      <c r="F135" s="64" t="str">
        <f>IF(C135="","",IF(C135="    N/A","",IF(COUNTIF(B135:B135,"&gt;-1")&gt;0,ROUND((SUM(B135:B135)+COUNTIF(B135:B135,-1))/COUNTIF(B135:B135,"&gt;-1"),W135),ROUND(AVERAGE(B135:B135),W135))))</f>
        <v/>
      </c>
      <c r="G135" s="106" t="str">
        <f>IF(F135="","",IF(VLOOKUP(A135,Test_Limits,2,FALSE)="","",VLOOKUP(A135,Test_Limits,2,FALSE)))</f>
        <v/>
      </c>
      <c r="H135" s="77" t="str">
        <f>IF(G135="","",IF(AND(D135&lt;G135,D135&lt;&gt;T135),IF(VLOOKUP(A135,Test_Limits,5,FALSE)="PF","Fail","Info"),"Pass"))</f>
        <v/>
      </c>
      <c r="I135" s="103" t="str">
        <f>IF(F135="","",IF(VLOOKUP(A135,Test_Limits,3,FALSE)="","",VLOOKUP(A135,Test_Limits,3,FALSE)))</f>
        <v/>
      </c>
      <c r="J135" s="77" t="str">
        <f>IF(I135="","",IF(AND(E135&gt;I135,E135&lt;&gt;T135),IF(VLOOKUP(A135,Test_Limits,5,FALSE)="PF","Fail","Info"),"Pass"))</f>
        <v/>
      </c>
      <c r="K135" s="328"/>
      <c r="L135" s="328"/>
      <c r="Q135" s="272"/>
      <c r="R135" s="320">
        <f t="shared" si="8"/>
        <v>-1000000</v>
      </c>
      <c r="S135" s="320">
        <f t="shared" si="9"/>
        <v>1000000</v>
      </c>
      <c r="T135" s="320" t="e">
        <f>IF(VLOOKUP(A135,Test_Limits,7,FALSE)&lt;&gt;"",VLOOKUP(A135,Test_Limits,7,FALSE),"")</f>
        <v>#N/A</v>
      </c>
      <c r="U135" s="320">
        <f>IF(F135="",0,VLOOKUP(A135,Test_Limits,8,FALSE))</f>
        <v>0</v>
      </c>
      <c r="V135" s="320">
        <f t="shared" si="10"/>
        <v>0</v>
      </c>
      <c r="W135" s="321" t="e">
        <f>VLOOKUP(A135,Test_Limits,6,FALSE)</f>
        <v>#N/A</v>
      </c>
      <c r="X135" s="272"/>
    </row>
    <row r="136" spans="1:24" x14ac:dyDescent="0.25">
      <c r="A136" s="450" t="s">
        <v>679</v>
      </c>
      <c r="B136" s="452" t="s">
        <v>693</v>
      </c>
      <c r="C136" s="65"/>
      <c r="D136" s="106" t="str">
        <f>IF(C136="","",MIN(B136:B136))</f>
        <v/>
      </c>
      <c r="E136" s="103" t="str">
        <f>IF(C136="","",MAX(B136:B136))</f>
        <v/>
      </c>
      <c r="F136" s="64" t="str">
        <f>IF(C136="","",IF(C136="    N/A","",IF(COUNTIF(B136:B136,"&gt;-1")&gt;0,ROUND((SUM(B136:B136)+COUNTIF(B136:B136,-1))/COUNTIF(B136:B136,"&gt;-1"),W136),ROUND(AVERAGE(B136:B136),W136))))</f>
        <v/>
      </c>
      <c r="G136" s="106" t="str">
        <f>IF(F136="","",IF(VLOOKUP(A136,Test_Limits,2,FALSE)="","",VLOOKUP(A136,Test_Limits,2,FALSE)))</f>
        <v/>
      </c>
      <c r="H136" s="77" t="str">
        <f>IF(G136="","",IF(AND(D136&lt;G136,D136&lt;&gt;T136),IF(VLOOKUP(A136,Test_Limits,5,FALSE)="PF","Fail","Info"),"Pass"))</f>
        <v/>
      </c>
      <c r="I136" s="103" t="str">
        <f>IF(F136="","",IF(VLOOKUP(A136,Test_Limits,3,FALSE)="","",VLOOKUP(A136,Test_Limits,3,FALSE)))</f>
        <v/>
      </c>
      <c r="J136" s="77" t="str">
        <f>IF(I136="","",IF(AND(E136&gt;I136,E136&lt;&gt;T136),IF(VLOOKUP(A136,Test_Limits,5,FALSE)="PF","Fail","Info"),"Pass"))</f>
        <v/>
      </c>
      <c r="K136" s="328"/>
      <c r="L136" s="328"/>
      <c r="Q136" s="272"/>
      <c r="R136" s="320">
        <f>IF(H136="Info",G136,IF(J136="Info",G136,-1000000))</f>
        <v>-1000000</v>
      </c>
      <c r="S136" s="320">
        <f>IF(H136="Info",I136,IF(J136="Info",I136,1000000))</f>
        <v>1000000</v>
      </c>
      <c r="T136" s="320" t="e">
        <f>IF(VLOOKUP(A136,Test_Limits,7,FALSE)&lt;&gt;"",VLOOKUP(A136,Test_Limits,7,FALSE),"")</f>
        <v>#N/A</v>
      </c>
      <c r="U136" s="320">
        <f>IF(F136="",0,VLOOKUP(A136,Test_Limits,8,FALSE))</f>
        <v>0</v>
      </c>
      <c r="V136" s="320">
        <f>IF(H136="Pass",IF(J136="Pass",U136,0),0)</f>
        <v>0</v>
      </c>
      <c r="W136" s="321" t="e">
        <f>VLOOKUP(A136,Test_Limits,6,FALSE)</f>
        <v>#N/A</v>
      </c>
      <c r="X136" s="272"/>
    </row>
    <row r="137" spans="1:24" ht="13.8" x14ac:dyDescent="0.3">
      <c r="A137" s="9"/>
      <c r="B137" s="21"/>
      <c r="C137" s="65"/>
      <c r="D137" s="106" t="str">
        <f>IF(C137="","",MIN(B137:B137))</f>
        <v/>
      </c>
      <c r="E137" s="103" t="str">
        <f>IF(C137="","",MAX(B137:B137))</f>
        <v/>
      </c>
      <c r="F137" s="64" t="str">
        <f>IF(C137="","",IF(C137="    N/A","",IF(COUNTIF(B137:B137,"&gt;-1")&gt;0,ROUND((SUM(B137:B137)+COUNTIF(B137:B137,-1))/COUNTIF(B137:B137,"&gt;-1"),W137),ROUND(AVERAGE(B137:B137),W137))))</f>
        <v/>
      </c>
      <c r="G137" s="106" t="str">
        <f>IF(F137="","",IF(VLOOKUP(A137,Test_Limits,2,FALSE)="","",VLOOKUP(A137,Test_Limits,2,FALSE)))</f>
        <v/>
      </c>
      <c r="H137" s="77" t="str">
        <f>IF(G137="","",IF(AND(D137&lt;G137,D137&lt;&gt;T137),IF(VLOOKUP(A137,Test_Limits,5,FALSE)="PF","Fail","Info"),"Pass"))</f>
        <v/>
      </c>
      <c r="I137" s="103" t="str">
        <f>IF(F137="","",IF(VLOOKUP(A137,Test_Limits,3,FALSE)="","",VLOOKUP(A137,Test_Limits,3,FALSE)))</f>
        <v/>
      </c>
      <c r="J137" s="77" t="str">
        <f>IF(I137="","",IF(AND(E137&gt;I137,E137&lt;&gt;T137),IF(VLOOKUP(A137,Test_Limits,5,FALSE)="PF","Fail","Info"),"Pass"))</f>
        <v/>
      </c>
      <c r="K137" s="328"/>
      <c r="L137" s="328"/>
      <c r="Q137" s="272"/>
      <c r="R137" s="320">
        <f t="shared" si="6"/>
        <v>-1000000</v>
      </c>
      <c r="S137" s="320">
        <f t="shared" si="7"/>
        <v>1000000</v>
      </c>
      <c r="T137" s="320" t="e">
        <f>IF(VLOOKUP(A137,Test_Limits,7,FALSE)&lt;&gt;"",VLOOKUP(A137,Test_Limits,7,FALSE),"")</f>
        <v>#N/A</v>
      </c>
      <c r="U137" s="320">
        <f>IF(F137="",0,VLOOKUP(A137,Test_Limits,8,FALSE))</f>
        <v>0</v>
      </c>
      <c r="V137" s="320">
        <f t="shared" si="5"/>
        <v>0</v>
      </c>
      <c r="W137" s="321" t="e">
        <f>VLOOKUP(A137,Test_Limits,6,FALSE)</f>
        <v>#N/A</v>
      </c>
      <c r="X137" s="272"/>
    </row>
    <row r="138" spans="1:24" ht="13.8" x14ac:dyDescent="0.3">
      <c r="A138" s="9"/>
      <c r="B138" s="21"/>
      <c r="C138" s="65"/>
      <c r="D138" s="106" t="str">
        <f>IF(C138="","",MIN(B138:B138))</f>
        <v/>
      </c>
      <c r="E138" s="103" t="str">
        <f>IF(C138="","",MAX(B138:B138))</f>
        <v/>
      </c>
      <c r="F138" s="64" t="str">
        <f>IF(C138="","",IF(C138="    N/A","",IF(COUNTIF(B138:B138,"&gt;-1")&gt;0,ROUND((SUM(B138:B138)+COUNTIF(B138:B138,-1))/COUNTIF(B138:B138,"&gt;-1"),W138),ROUND(AVERAGE(B138:B138),W138))))</f>
        <v/>
      </c>
      <c r="G138" s="106" t="str">
        <f>IF(F138="","",IF(VLOOKUP(A138,Test_Limits,2,FALSE)="","",VLOOKUP(A138,Test_Limits,2,FALSE)))</f>
        <v/>
      </c>
      <c r="H138" s="77" t="str">
        <f>IF(G138="","",IF(AND(D138&lt;G138,D138&lt;&gt;T138),IF(VLOOKUP(A138,Test_Limits,5,FALSE)="PF","Fail","Info"),"Pass"))</f>
        <v/>
      </c>
      <c r="I138" s="103" t="str">
        <f>IF(F138="","",IF(VLOOKUP(A138,Test_Limits,3,FALSE)="","",VLOOKUP(A138,Test_Limits,3,FALSE)))</f>
        <v/>
      </c>
      <c r="J138" s="77" t="str">
        <f>IF(I138="","",IF(AND(E138&gt;I138,E138&lt;&gt;T138),IF(VLOOKUP(A138,Test_Limits,5,FALSE)="PF","Fail","Info"),"Pass"))</f>
        <v/>
      </c>
      <c r="K138" s="328"/>
      <c r="L138" s="328"/>
      <c r="Q138" s="272"/>
      <c r="R138" s="320">
        <f t="shared" ref="R138:R161" si="11">IF(H138="Info",G138,IF(J138="Info",G138,-1000000))</f>
        <v>-1000000</v>
      </c>
      <c r="S138" s="320">
        <f t="shared" ref="S138:S161" si="12">IF(H138="Info",I138,IF(J138="Info",I138,1000000))</f>
        <v>1000000</v>
      </c>
      <c r="T138" s="320" t="e">
        <f>IF(VLOOKUP(A138,Test_Limits,7,FALSE)&lt;&gt;"",VLOOKUP(A138,Test_Limits,7,FALSE),"")</f>
        <v>#N/A</v>
      </c>
      <c r="U138" s="320">
        <f>IF(F138="",0,VLOOKUP(A138,Test_Limits,8,FALSE))</f>
        <v>0</v>
      </c>
      <c r="V138" s="320">
        <f t="shared" ref="V138:V161" si="13">IF(H138="Pass",IF(J138="Pass",U138,0),0)</f>
        <v>0</v>
      </c>
      <c r="W138" s="321" t="e">
        <f>VLOOKUP(A138,Test_Limits,6,FALSE)</f>
        <v>#N/A</v>
      </c>
      <c r="X138" s="272"/>
    </row>
    <row r="139" spans="1:24" ht="13.8" x14ac:dyDescent="0.3">
      <c r="A139" s="9"/>
      <c r="B139" s="21"/>
      <c r="C139" s="65"/>
      <c r="D139" s="106" t="str">
        <f>IF(C139="","",MIN(B139:B139))</f>
        <v/>
      </c>
      <c r="E139" s="103" t="str">
        <f>IF(C139="","",MAX(B139:B139))</f>
        <v/>
      </c>
      <c r="F139" s="64" t="str">
        <f>IF(C139="","",IF(C139="    N/A","",IF(COUNTIF(B139:B139,"&gt;-1")&gt;0,ROUND((SUM(B139:B139)+COUNTIF(B139:B139,-1))/COUNTIF(B139:B139,"&gt;-1"),W139),ROUND(AVERAGE(B139:B139),W139))))</f>
        <v/>
      </c>
      <c r="G139" s="106" t="str">
        <f>IF(F139="","",IF(VLOOKUP(A139,Test_Limits,2,FALSE)="","",VLOOKUP(A139,Test_Limits,2,FALSE)))</f>
        <v/>
      </c>
      <c r="H139" s="77" t="str">
        <f>IF(G139="","",IF(AND(D139&lt;G139,D139&lt;&gt;T139),IF(VLOOKUP(A139,Test_Limits,5,FALSE)="PF","Fail","Info"),"Pass"))</f>
        <v/>
      </c>
      <c r="I139" s="103" t="str">
        <f>IF(F139="","",IF(VLOOKUP(A139,Test_Limits,3,FALSE)="","",VLOOKUP(A139,Test_Limits,3,FALSE)))</f>
        <v/>
      </c>
      <c r="J139" s="77" t="str">
        <f>IF(I139="","",IF(AND(E139&gt;I139,E139&lt;&gt;T139),IF(VLOOKUP(A139,Test_Limits,5,FALSE)="PF","Fail","Info"),"Pass"))</f>
        <v/>
      </c>
      <c r="K139" s="328"/>
      <c r="L139" s="328"/>
      <c r="Q139" s="272"/>
      <c r="R139" s="320">
        <f t="shared" si="11"/>
        <v>-1000000</v>
      </c>
      <c r="S139" s="320">
        <f t="shared" si="12"/>
        <v>1000000</v>
      </c>
      <c r="T139" s="320" t="e">
        <f>IF(VLOOKUP(A139,Test_Limits,7,FALSE)&lt;&gt;"",VLOOKUP(A139,Test_Limits,7,FALSE),"")</f>
        <v>#N/A</v>
      </c>
      <c r="U139" s="320">
        <f>IF(F139="",0,VLOOKUP(A139,Test_Limits,8,FALSE))</f>
        <v>0</v>
      </c>
      <c r="V139" s="320">
        <f t="shared" si="13"/>
        <v>0</v>
      </c>
      <c r="W139" s="321" t="e">
        <f>VLOOKUP(A139,Test_Limits,6,FALSE)</f>
        <v>#N/A</v>
      </c>
      <c r="X139" s="272"/>
    </row>
    <row r="140" spans="1:24" ht="13.8" x14ac:dyDescent="0.3">
      <c r="A140" s="9"/>
      <c r="B140" s="21"/>
      <c r="C140" s="65"/>
      <c r="D140" s="106" t="str">
        <f>IF(C140="","",MIN(B140:B140))</f>
        <v/>
      </c>
      <c r="E140" s="103" t="str">
        <f>IF(C140="","",MAX(B140:B140))</f>
        <v/>
      </c>
      <c r="F140" s="64" t="str">
        <f>IF(C140="","",IF(C140="    N/A","",IF(COUNTIF(B140:B140,"&gt;-1")&gt;0,ROUND((SUM(B140:B140)+COUNTIF(B140:B140,-1))/COUNTIF(B140:B140,"&gt;-1"),W140),ROUND(AVERAGE(B140:B140),W140))))</f>
        <v/>
      </c>
      <c r="G140" s="106" t="str">
        <f>IF(F140="","",IF(VLOOKUP(A140,Test_Limits,2,FALSE)="","",VLOOKUP(A140,Test_Limits,2,FALSE)))</f>
        <v/>
      </c>
      <c r="H140" s="77" t="str">
        <f>IF(G140="","",IF(AND(D140&lt;G140,D140&lt;&gt;T140),IF(VLOOKUP(A140,Test_Limits,5,FALSE)="PF","Fail","Info"),"Pass"))</f>
        <v/>
      </c>
      <c r="I140" s="103" t="str">
        <f>IF(F140="","",IF(VLOOKUP(A140,Test_Limits,3,FALSE)="","",VLOOKUP(A140,Test_Limits,3,FALSE)))</f>
        <v/>
      </c>
      <c r="J140" s="77" t="str">
        <f>IF(I140="","",IF(AND(E140&gt;I140,E140&lt;&gt;T140),IF(VLOOKUP(A140,Test_Limits,5,FALSE)="PF","Fail","Info"),"Pass"))</f>
        <v/>
      </c>
      <c r="K140" s="328"/>
      <c r="L140" s="328"/>
      <c r="Q140" s="272"/>
      <c r="R140" s="320">
        <f t="shared" ref="R140:R151" si="14">IF(H140="Info",G140,IF(J140="Info",G140,-1000000))</f>
        <v>-1000000</v>
      </c>
      <c r="S140" s="320">
        <f t="shared" ref="S140:S151" si="15">IF(H140="Info",I140,IF(J140="Info",I140,1000000))</f>
        <v>1000000</v>
      </c>
      <c r="T140" s="320" t="e">
        <f>IF(VLOOKUP(A140,Test_Limits,7,FALSE)&lt;&gt;"",VLOOKUP(A140,Test_Limits,7,FALSE),"")</f>
        <v>#N/A</v>
      </c>
      <c r="U140" s="320">
        <f>IF(F140="",0,VLOOKUP(A140,Test_Limits,8,FALSE))</f>
        <v>0</v>
      </c>
      <c r="V140" s="320">
        <f t="shared" ref="V140:V151" si="16">IF(H140="Pass",IF(J140="Pass",U140,0),0)</f>
        <v>0</v>
      </c>
      <c r="W140" s="321" t="e">
        <f>VLOOKUP(A140,Test_Limits,6,FALSE)</f>
        <v>#N/A</v>
      </c>
      <c r="X140" s="272"/>
    </row>
    <row r="141" spans="1:24" ht="13.8" x14ac:dyDescent="0.3">
      <c r="A141" s="9"/>
      <c r="B141" s="21"/>
      <c r="C141" s="65"/>
      <c r="D141" s="106" t="str">
        <f>IF(C141="","",MIN(B141:B141))</f>
        <v/>
      </c>
      <c r="E141" s="103" t="str">
        <f>IF(C141="","",MAX(B141:B141))</f>
        <v/>
      </c>
      <c r="F141" s="64" t="str">
        <f>IF(C141="","",IF(C141="    N/A","",IF(COUNTIF(B141:B141,"&gt;-1")&gt;0,ROUND((SUM(B141:B141)+COUNTIF(B141:B141,-1))/COUNTIF(B141:B141,"&gt;-1"),W141),ROUND(AVERAGE(B141:B141),W141))))</f>
        <v/>
      </c>
      <c r="G141" s="106" t="str">
        <f>IF(F141="","",IF(VLOOKUP(A141,Test_Limits,2,FALSE)="","",VLOOKUP(A141,Test_Limits,2,FALSE)))</f>
        <v/>
      </c>
      <c r="H141" s="77" t="str">
        <f>IF(G141="","",IF(AND(D141&lt;G141,D141&lt;&gt;T141),IF(VLOOKUP(A141,Test_Limits,5,FALSE)="PF","Fail","Info"),"Pass"))</f>
        <v/>
      </c>
      <c r="I141" s="103" t="str">
        <f>IF(F141="","",IF(VLOOKUP(A141,Test_Limits,3,FALSE)="","",VLOOKUP(A141,Test_Limits,3,FALSE)))</f>
        <v/>
      </c>
      <c r="J141" s="77" t="str">
        <f>IF(I141="","",IF(AND(E141&gt;I141,E141&lt;&gt;T141),IF(VLOOKUP(A141,Test_Limits,5,FALSE)="PF","Fail","Info"),"Pass"))</f>
        <v/>
      </c>
      <c r="K141" s="328"/>
      <c r="L141" s="328"/>
      <c r="Q141" s="272"/>
      <c r="R141" s="320">
        <f t="shared" si="14"/>
        <v>-1000000</v>
      </c>
      <c r="S141" s="320">
        <f t="shared" si="15"/>
        <v>1000000</v>
      </c>
      <c r="T141" s="320" t="e">
        <f>IF(VLOOKUP(A141,Test_Limits,7,FALSE)&lt;&gt;"",VLOOKUP(A141,Test_Limits,7,FALSE),"")</f>
        <v>#N/A</v>
      </c>
      <c r="U141" s="320">
        <f>IF(F141="",0,VLOOKUP(A141,Test_Limits,8,FALSE))</f>
        <v>0</v>
      </c>
      <c r="V141" s="320">
        <f t="shared" si="16"/>
        <v>0</v>
      </c>
      <c r="W141" s="321" t="e">
        <f>VLOOKUP(A141,Test_Limits,6,FALSE)</f>
        <v>#N/A</v>
      </c>
      <c r="X141" s="272"/>
    </row>
    <row r="142" spans="1:24" ht="13.8" x14ac:dyDescent="0.3">
      <c r="A142" s="9"/>
      <c r="B142" s="21"/>
      <c r="C142" s="65"/>
      <c r="D142" s="106" t="str">
        <f>IF(C142="","",MIN(B142:B142))</f>
        <v/>
      </c>
      <c r="E142" s="103" t="str">
        <f>IF(C142="","",MAX(B142:B142))</f>
        <v/>
      </c>
      <c r="F142" s="64" t="str">
        <f>IF(C142="","",IF(C142="    N/A","",IF(COUNTIF(B142:B142,"&gt;-1")&gt;0,ROUND((SUM(B142:B142)+COUNTIF(B142:B142,-1))/COUNTIF(B142:B142,"&gt;-1"),W142),ROUND(AVERAGE(B142:B142),W142))))</f>
        <v/>
      </c>
      <c r="G142" s="106" t="str">
        <f>IF(F142="","",IF(VLOOKUP(A142,Test_Limits,2,FALSE)="","",VLOOKUP(A142,Test_Limits,2,FALSE)))</f>
        <v/>
      </c>
      <c r="H142" s="77" t="str">
        <f>IF(G142="","",IF(AND(D142&lt;G142,D142&lt;&gt;T142),IF(VLOOKUP(A142,Test_Limits,5,FALSE)="PF","Fail","Info"),"Pass"))</f>
        <v/>
      </c>
      <c r="I142" s="103" t="str">
        <f>IF(F142="","",IF(VLOOKUP(A142,Test_Limits,3,FALSE)="","",VLOOKUP(A142,Test_Limits,3,FALSE)))</f>
        <v/>
      </c>
      <c r="J142" s="77" t="str">
        <f>IF(I142="","",IF(AND(E142&gt;I142,E142&lt;&gt;T142),IF(VLOOKUP(A142,Test_Limits,5,FALSE)="PF","Fail","Info"),"Pass"))</f>
        <v/>
      </c>
      <c r="K142" s="328"/>
      <c r="L142" s="328"/>
      <c r="Q142" s="272"/>
      <c r="R142" s="320">
        <f t="shared" si="14"/>
        <v>-1000000</v>
      </c>
      <c r="S142" s="320">
        <f t="shared" si="15"/>
        <v>1000000</v>
      </c>
      <c r="T142" s="320" t="e">
        <f>IF(VLOOKUP(A142,Test_Limits,7,FALSE)&lt;&gt;"",VLOOKUP(A142,Test_Limits,7,FALSE),"")</f>
        <v>#N/A</v>
      </c>
      <c r="U142" s="320">
        <f>IF(F142="",0,VLOOKUP(A142,Test_Limits,8,FALSE))</f>
        <v>0</v>
      </c>
      <c r="V142" s="320">
        <f t="shared" si="16"/>
        <v>0</v>
      </c>
      <c r="W142" s="321" t="e">
        <f>VLOOKUP(A142,Test_Limits,6,FALSE)</f>
        <v>#N/A</v>
      </c>
      <c r="X142" s="272"/>
    </row>
    <row r="143" spans="1:24" ht="13.8" x14ac:dyDescent="0.3">
      <c r="A143" s="9"/>
      <c r="B143" s="21"/>
      <c r="C143" s="65"/>
      <c r="D143" s="106" t="str">
        <f>IF(C143="","",MIN(B143:B143))</f>
        <v/>
      </c>
      <c r="E143" s="103" t="str">
        <f>IF(C143="","",MAX(B143:B143))</f>
        <v/>
      </c>
      <c r="F143" s="64" t="str">
        <f>IF(C143="","",IF(C143="    N/A","",IF(COUNTIF(B143:B143,"&gt;-1")&gt;0,ROUND((SUM(B143:B143)+COUNTIF(B143:B143,-1))/COUNTIF(B143:B143,"&gt;-1"),W143),ROUND(AVERAGE(B143:B143),W143))))</f>
        <v/>
      </c>
      <c r="G143" s="106" t="str">
        <f>IF(F143="","",IF(VLOOKUP(A143,Test_Limits,2,FALSE)="","",VLOOKUP(A143,Test_Limits,2,FALSE)))</f>
        <v/>
      </c>
      <c r="H143" s="77" t="str">
        <f>IF(G143="","",IF(AND(D143&lt;G143,D143&lt;&gt;T143),IF(VLOOKUP(A143,Test_Limits,5,FALSE)="PF","Fail","Info"),"Pass"))</f>
        <v/>
      </c>
      <c r="I143" s="103" t="str">
        <f>IF(F143="","",IF(VLOOKUP(A143,Test_Limits,3,FALSE)="","",VLOOKUP(A143,Test_Limits,3,FALSE)))</f>
        <v/>
      </c>
      <c r="J143" s="77" t="str">
        <f>IF(I143="","",IF(AND(E143&gt;I143,E143&lt;&gt;T143),IF(VLOOKUP(A143,Test_Limits,5,FALSE)="PF","Fail","Info"),"Pass"))</f>
        <v/>
      </c>
      <c r="K143" s="328"/>
      <c r="L143" s="328"/>
      <c r="Q143" s="272"/>
      <c r="R143" s="320">
        <f t="shared" si="14"/>
        <v>-1000000</v>
      </c>
      <c r="S143" s="320">
        <f t="shared" si="15"/>
        <v>1000000</v>
      </c>
      <c r="T143" s="320" t="e">
        <f>IF(VLOOKUP(A143,Test_Limits,7,FALSE)&lt;&gt;"",VLOOKUP(A143,Test_Limits,7,FALSE),"")</f>
        <v>#N/A</v>
      </c>
      <c r="U143" s="320">
        <f>IF(F143="",0,VLOOKUP(A143,Test_Limits,8,FALSE))</f>
        <v>0</v>
      </c>
      <c r="V143" s="320">
        <f t="shared" si="16"/>
        <v>0</v>
      </c>
      <c r="W143" s="321" t="e">
        <f>VLOOKUP(A143,Test_Limits,6,FALSE)</f>
        <v>#N/A</v>
      </c>
      <c r="X143" s="272"/>
    </row>
    <row r="144" spans="1:24" ht="13.8" x14ac:dyDescent="0.3">
      <c r="A144" s="9"/>
      <c r="B144" s="21"/>
      <c r="C144" s="65"/>
      <c r="D144" s="106" t="str">
        <f>IF(C144="","",MIN(B144:B144))</f>
        <v/>
      </c>
      <c r="E144" s="103" t="str">
        <f>IF(C144="","",MAX(B144:B144))</f>
        <v/>
      </c>
      <c r="F144" s="64" t="str">
        <f>IF(C144="","",IF(C144="    N/A","",IF(COUNTIF(B144:B144,"&gt;-1")&gt;0,ROUND((SUM(B144:B144)+COUNTIF(B144:B144,-1))/COUNTIF(B144:B144,"&gt;-1"),W144),ROUND(AVERAGE(B144:B144),W144))))</f>
        <v/>
      </c>
      <c r="G144" s="106" t="str">
        <f>IF(F144="","",IF(VLOOKUP(A144,Test_Limits,2,FALSE)="","",VLOOKUP(A144,Test_Limits,2,FALSE)))</f>
        <v/>
      </c>
      <c r="H144" s="77" t="str">
        <f>IF(G144="","",IF(AND(D144&lt;G144,D144&lt;&gt;T144),IF(VLOOKUP(A144,Test_Limits,5,FALSE)="PF","Fail","Info"),"Pass"))</f>
        <v/>
      </c>
      <c r="I144" s="103" t="str">
        <f>IF(F144="","",IF(VLOOKUP(A144,Test_Limits,3,FALSE)="","",VLOOKUP(A144,Test_Limits,3,FALSE)))</f>
        <v/>
      </c>
      <c r="J144" s="77" t="str">
        <f>IF(I144="","",IF(AND(E144&gt;I144,E144&lt;&gt;T144),IF(VLOOKUP(A144,Test_Limits,5,FALSE)="PF","Fail","Info"),"Pass"))</f>
        <v/>
      </c>
      <c r="K144" s="328"/>
      <c r="L144" s="328"/>
      <c r="Q144" s="272"/>
      <c r="R144" s="320">
        <f t="shared" si="14"/>
        <v>-1000000</v>
      </c>
      <c r="S144" s="320">
        <f t="shared" si="15"/>
        <v>1000000</v>
      </c>
      <c r="T144" s="320" t="e">
        <f>IF(VLOOKUP(A144,Test_Limits,7,FALSE)&lt;&gt;"",VLOOKUP(A144,Test_Limits,7,FALSE),"")</f>
        <v>#N/A</v>
      </c>
      <c r="U144" s="320">
        <f>IF(F144="",0,VLOOKUP(A144,Test_Limits,8,FALSE))</f>
        <v>0</v>
      </c>
      <c r="V144" s="320">
        <f t="shared" si="16"/>
        <v>0</v>
      </c>
      <c r="W144" s="321" t="e">
        <f>VLOOKUP(A144,Test_Limits,6,FALSE)</f>
        <v>#N/A</v>
      </c>
      <c r="X144" s="272"/>
    </row>
    <row r="145" spans="1:24" ht="13.8" x14ac:dyDescent="0.3">
      <c r="A145" s="9"/>
      <c r="B145" s="21"/>
      <c r="C145" s="65"/>
      <c r="D145" s="106" t="str">
        <f>IF(C145="","",MIN(B145:B145))</f>
        <v/>
      </c>
      <c r="E145" s="103" t="str">
        <f>IF(C145="","",MAX(B145:B145))</f>
        <v/>
      </c>
      <c r="F145" s="64" t="str">
        <f>IF(C145="","",IF(C145="    N/A","",IF(COUNTIF(B145:B145,"&gt;-1")&gt;0,ROUND((SUM(B145:B145)+COUNTIF(B145:B145,-1))/COUNTIF(B145:B145,"&gt;-1"),W145),ROUND(AVERAGE(B145:B145),W145))))</f>
        <v/>
      </c>
      <c r="G145" s="106" t="str">
        <f>IF(F145="","",IF(VLOOKUP(A145,Test_Limits,2,FALSE)="","",VLOOKUP(A145,Test_Limits,2,FALSE)))</f>
        <v/>
      </c>
      <c r="H145" s="77" t="str">
        <f>IF(G145="","",IF(AND(D145&lt;G145,D145&lt;&gt;T145),IF(VLOOKUP(A145,Test_Limits,5,FALSE)="PF","Fail","Info"),"Pass"))</f>
        <v/>
      </c>
      <c r="I145" s="103" t="str">
        <f>IF(F145="","",IF(VLOOKUP(A145,Test_Limits,3,FALSE)="","",VLOOKUP(A145,Test_Limits,3,FALSE)))</f>
        <v/>
      </c>
      <c r="J145" s="77" t="str">
        <f>IF(I145="","",IF(AND(E145&gt;I145,E145&lt;&gt;T145),IF(VLOOKUP(A145,Test_Limits,5,FALSE)="PF","Fail","Info"),"Pass"))</f>
        <v/>
      </c>
      <c r="K145" s="328"/>
      <c r="L145" s="328"/>
      <c r="Q145" s="272"/>
      <c r="R145" s="320">
        <f t="shared" si="14"/>
        <v>-1000000</v>
      </c>
      <c r="S145" s="320">
        <f t="shared" si="15"/>
        <v>1000000</v>
      </c>
      <c r="T145" s="320" t="e">
        <f>IF(VLOOKUP(A145,Test_Limits,7,FALSE)&lt;&gt;"",VLOOKUP(A145,Test_Limits,7,FALSE),"")</f>
        <v>#N/A</v>
      </c>
      <c r="U145" s="320">
        <f>IF(F145="",0,VLOOKUP(A145,Test_Limits,8,FALSE))</f>
        <v>0</v>
      </c>
      <c r="V145" s="320">
        <f t="shared" si="16"/>
        <v>0</v>
      </c>
      <c r="W145" s="321" t="e">
        <f>VLOOKUP(A145,Test_Limits,6,FALSE)</f>
        <v>#N/A</v>
      </c>
      <c r="X145" s="272"/>
    </row>
    <row r="146" spans="1:24" ht="13.8" x14ac:dyDescent="0.3">
      <c r="A146" s="9"/>
      <c r="B146" s="21"/>
      <c r="C146" s="65"/>
      <c r="D146" s="106" t="str">
        <f>IF(C146="","",MIN(B146:B146))</f>
        <v/>
      </c>
      <c r="E146" s="103" t="str">
        <f>IF(C146="","",MAX(B146:B146))</f>
        <v/>
      </c>
      <c r="F146" s="64" t="str">
        <f>IF(C146="","",IF(C146="    N/A","",IF(COUNTIF(B146:B146,"&gt;-1")&gt;0,ROUND((SUM(B146:B146)+COUNTIF(B146:B146,-1))/COUNTIF(B146:B146,"&gt;-1"),W146),ROUND(AVERAGE(B146:B146),W146))))</f>
        <v/>
      </c>
      <c r="G146" s="106" t="str">
        <f>IF(F146="","",IF(VLOOKUP(A146,Test_Limits,2,FALSE)="","",VLOOKUP(A146,Test_Limits,2,FALSE)))</f>
        <v/>
      </c>
      <c r="H146" s="77" t="str">
        <f>IF(G146="","",IF(AND(D146&lt;G146,D146&lt;&gt;T146),IF(VLOOKUP(A146,Test_Limits,5,FALSE)="PF","Fail","Info"),"Pass"))</f>
        <v/>
      </c>
      <c r="I146" s="103" t="str">
        <f>IF(F146="","",IF(VLOOKUP(A146,Test_Limits,3,FALSE)="","",VLOOKUP(A146,Test_Limits,3,FALSE)))</f>
        <v/>
      </c>
      <c r="J146" s="77" t="str">
        <f>IF(I146="","",IF(AND(E146&gt;I146,E146&lt;&gt;T146),IF(VLOOKUP(A146,Test_Limits,5,FALSE)="PF","Fail","Info"),"Pass"))</f>
        <v/>
      </c>
      <c r="K146" s="328"/>
      <c r="L146" s="328"/>
      <c r="Q146" s="272"/>
      <c r="R146" s="320">
        <f t="shared" si="14"/>
        <v>-1000000</v>
      </c>
      <c r="S146" s="320">
        <f t="shared" si="15"/>
        <v>1000000</v>
      </c>
      <c r="T146" s="320" t="e">
        <f>IF(VLOOKUP(A146,Test_Limits,7,FALSE)&lt;&gt;"",VLOOKUP(A146,Test_Limits,7,FALSE),"")</f>
        <v>#N/A</v>
      </c>
      <c r="U146" s="320">
        <f>IF(F146="",0,VLOOKUP(A146,Test_Limits,8,FALSE))</f>
        <v>0</v>
      </c>
      <c r="V146" s="320">
        <f t="shared" si="16"/>
        <v>0</v>
      </c>
      <c r="W146" s="321" t="e">
        <f>VLOOKUP(A146,Test_Limits,6,FALSE)</f>
        <v>#N/A</v>
      </c>
      <c r="X146" s="272"/>
    </row>
    <row r="147" spans="1:24" ht="13.8" x14ac:dyDescent="0.3">
      <c r="A147" s="9"/>
      <c r="B147" s="21"/>
      <c r="C147" s="65"/>
      <c r="D147" s="106" t="str">
        <f>IF(C147="","",MIN(B147:B147))</f>
        <v/>
      </c>
      <c r="E147" s="103" t="str">
        <f>IF(C147="","",MAX(B147:B147))</f>
        <v/>
      </c>
      <c r="F147" s="64" t="str">
        <f>IF(C147="","",IF(C147="    N/A","",IF(COUNTIF(B147:B147,"&gt;-1")&gt;0,ROUND((SUM(B147:B147)+COUNTIF(B147:B147,-1))/COUNTIF(B147:B147,"&gt;-1"),W147),ROUND(AVERAGE(B147:B147),W147))))</f>
        <v/>
      </c>
      <c r="G147" s="106" t="str">
        <f>IF(F147="","",IF(VLOOKUP(A147,Test_Limits,2,FALSE)="","",VLOOKUP(A147,Test_Limits,2,FALSE)))</f>
        <v/>
      </c>
      <c r="H147" s="77" t="str">
        <f>IF(G147="","",IF(AND(D147&lt;G147,D147&lt;&gt;T147),IF(VLOOKUP(A147,Test_Limits,5,FALSE)="PF","Fail","Info"),"Pass"))</f>
        <v/>
      </c>
      <c r="I147" s="103" t="str">
        <f>IF(F147="","",IF(VLOOKUP(A147,Test_Limits,3,FALSE)="","",VLOOKUP(A147,Test_Limits,3,FALSE)))</f>
        <v/>
      </c>
      <c r="J147" s="77" t="str">
        <f>IF(I147="","",IF(AND(E147&gt;I147,E147&lt;&gt;T147),IF(VLOOKUP(A147,Test_Limits,5,FALSE)="PF","Fail","Info"),"Pass"))</f>
        <v/>
      </c>
      <c r="K147" s="328"/>
      <c r="L147" s="328"/>
      <c r="Q147" s="272"/>
      <c r="R147" s="320">
        <f t="shared" si="14"/>
        <v>-1000000</v>
      </c>
      <c r="S147" s="320">
        <f t="shared" si="15"/>
        <v>1000000</v>
      </c>
      <c r="T147" s="320" t="e">
        <f>IF(VLOOKUP(A147,Test_Limits,7,FALSE)&lt;&gt;"",VLOOKUP(A147,Test_Limits,7,FALSE),"")</f>
        <v>#N/A</v>
      </c>
      <c r="U147" s="320">
        <f>IF(F147="",0,VLOOKUP(A147,Test_Limits,8,FALSE))</f>
        <v>0</v>
      </c>
      <c r="V147" s="320">
        <f t="shared" si="16"/>
        <v>0</v>
      </c>
      <c r="W147" s="321" t="e">
        <f>VLOOKUP(A147,Test_Limits,6,FALSE)</f>
        <v>#N/A</v>
      </c>
      <c r="X147" s="272"/>
    </row>
    <row r="148" spans="1:24" ht="13.8" x14ac:dyDescent="0.3">
      <c r="A148" s="9"/>
      <c r="B148" s="21"/>
      <c r="C148" s="65"/>
      <c r="D148" s="106" t="str">
        <f>IF(C148="","",MIN(B148:B148))</f>
        <v/>
      </c>
      <c r="E148" s="103" t="str">
        <f>IF(C148="","",MAX(B148:B148))</f>
        <v/>
      </c>
      <c r="F148" s="64" t="str">
        <f>IF(C148="","",IF(C148="    N/A","",IF(COUNTIF(B148:B148,"&gt;-1")&gt;0,ROUND((SUM(B148:B148)+COUNTIF(B148:B148,-1))/COUNTIF(B148:B148,"&gt;-1"),W148),ROUND(AVERAGE(B148:B148),W148))))</f>
        <v/>
      </c>
      <c r="G148" s="106" t="str">
        <f>IF(F148="","",IF(VLOOKUP(A148,Test_Limits,2,FALSE)="","",VLOOKUP(A148,Test_Limits,2,FALSE)))</f>
        <v/>
      </c>
      <c r="H148" s="77" t="str">
        <f>IF(G148="","",IF(AND(D148&lt;G148,D148&lt;&gt;T148),IF(VLOOKUP(A148,Test_Limits,5,FALSE)="PF","Fail","Info"),"Pass"))</f>
        <v/>
      </c>
      <c r="I148" s="103" t="str">
        <f>IF(F148="","",IF(VLOOKUP(A148,Test_Limits,3,FALSE)="","",VLOOKUP(A148,Test_Limits,3,FALSE)))</f>
        <v/>
      </c>
      <c r="J148" s="77" t="str">
        <f>IF(I148="","",IF(AND(E148&gt;I148,E148&lt;&gt;T148),IF(VLOOKUP(A148,Test_Limits,5,FALSE)="PF","Fail","Info"),"Pass"))</f>
        <v/>
      </c>
      <c r="K148" s="328"/>
      <c r="L148" s="328"/>
      <c r="Q148" s="272"/>
      <c r="R148" s="320">
        <f t="shared" si="14"/>
        <v>-1000000</v>
      </c>
      <c r="S148" s="320">
        <f t="shared" si="15"/>
        <v>1000000</v>
      </c>
      <c r="T148" s="320" t="e">
        <f>IF(VLOOKUP(A148,Test_Limits,7,FALSE)&lt;&gt;"",VLOOKUP(A148,Test_Limits,7,FALSE),"")</f>
        <v>#N/A</v>
      </c>
      <c r="U148" s="320">
        <f>IF(F148="",0,VLOOKUP(A148,Test_Limits,8,FALSE))</f>
        <v>0</v>
      </c>
      <c r="V148" s="320">
        <f t="shared" si="16"/>
        <v>0</v>
      </c>
      <c r="W148" s="321" t="e">
        <f>VLOOKUP(A148,Test_Limits,6,FALSE)</f>
        <v>#N/A</v>
      </c>
      <c r="X148" s="272"/>
    </row>
    <row r="149" spans="1:24" ht="13.8" x14ac:dyDescent="0.3">
      <c r="A149" s="9"/>
      <c r="B149" s="21"/>
      <c r="C149" s="65"/>
      <c r="D149" s="106" t="str">
        <f>IF(C149="","",MIN(B149:B149))</f>
        <v/>
      </c>
      <c r="E149" s="103" t="str">
        <f>IF(C149="","",MAX(B149:B149))</f>
        <v/>
      </c>
      <c r="F149" s="64" t="str">
        <f>IF(C149="","",IF(C149="    N/A","",IF(COUNTIF(B149:B149,"&gt;-1")&gt;0,ROUND((SUM(B149:B149)+COUNTIF(B149:B149,-1))/COUNTIF(B149:B149,"&gt;-1"),W149),ROUND(AVERAGE(B149:B149),W149))))</f>
        <v/>
      </c>
      <c r="G149" s="106" t="str">
        <f>IF(F149="","",IF(VLOOKUP(A149,Test_Limits,2,FALSE)="","",VLOOKUP(A149,Test_Limits,2,FALSE)))</f>
        <v/>
      </c>
      <c r="H149" s="77" t="str">
        <f>IF(G149="","",IF(AND(D149&lt;G149,D149&lt;&gt;T149),IF(VLOOKUP(A149,Test_Limits,5,FALSE)="PF","Fail","Info"),"Pass"))</f>
        <v/>
      </c>
      <c r="I149" s="103" t="str">
        <f>IF(F149="","",IF(VLOOKUP(A149,Test_Limits,3,FALSE)="","",VLOOKUP(A149,Test_Limits,3,FALSE)))</f>
        <v/>
      </c>
      <c r="J149" s="77" t="str">
        <f>IF(I149="","",IF(AND(E149&gt;I149,E149&lt;&gt;T149),IF(VLOOKUP(A149,Test_Limits,5,FALSE)="PF","Fail","Info"),"Pass"))</f>
        <v/>
      </c>
      <c r="K149" s="328"/>
      <c r="L149" s="328"/>
      <c r="Q149" s="272"/>
      <c r="R149" s="320">
        <f t="shared" si="14"/>
        <v>-1000000</v>
      </c>
      <c r="S149" s="320">
        <f t="shared" si="15"/>
        <v>1000000</v>
      </c>
      <c r="T149" s="320" t="e">
        <f>IF(VLOOKUP(A149,Test_Limits,7,FALSE)&lt;&gt;"",VLOOKUP(A149,Test_Limits,7,FALSE),"")</f>
        <v>#N/A</v>
      </c>
      <c r="U149" s="320">
        <f>IF(F149="",0,VLOOKUP(A149,Test_Limits,8,FALSE))</f>
        <v>0</v>
      </c>
      <c r="V149" s="320">
        <f t="shared" si="16"/>
        <v>0</v>
      </c>
      <c r="W149" s="321" t="e">
        <f>VLOOKUP(A149,Test_Limits,6,FALSE)</f>
        <v>#N/A</v>
      </c>
      <c r="X149" s="272"/>
    </row>
    <row r="150" spans="1:24" ht="13.8" x14ac:dyDescent="0.3">
      <c r="A150" s="9"/>
      <c r="B150" s="21"/>
      <c r="C150" s="65"/>
      <c r="D150" s="106" t="str">
        <f>IF(C150="","",MIN(B150:B150))</f>
        <v/>
      </c>
      <c r="E150" s="103" t="str">
        <f>IF(C150="","",MAX(B150:B150))</f>
        <v/>
      </c>
      <c r="F150" s="64" t="str">
        <f>IF(C150="","",IF(C150="    N/A","",IF(COUNTIF(B150:B150,"&gt;-1")&gt;0,ROUND((SUM(B150:B150)+COUNTIF(B150:B150,-1))/COUNTIF(B150:B150,"&gt;-1"),W150),ROUND(AVERAGE(B150:B150),W150))))</f>
        <v/>
      </c>
      <c r="G150" s="106" t="str">
        <f>IF(F150="","",IF(VLOOKUP(A150,Test_Limits,2,FALSE)="","",VLOOKUP(A150,Test_Limits,2,FALSE)))</f>
        <v/>
      </c>
      <c r="H150" s="77" t="str">
        <f>IF(G150="","",IF(AND(D150&lt;G150,D150&lt;&gt;T150),IF(VLOOKUP(A150,Test_Limits,5,FALSE)="PF","Fail","Info"),"Pass"))</f>
        <v/>
      </c>
      <c r="I150" s="103" t="str">
        <f>IF(F150="","",IF(VLOOKUP(A150,Test_Limits,3,FALSE)="","",VLOOKUP(A150,Test_Limits,3,FALSE)))</f>
        <v/>
      </c>
      <c r="J150" s="77" t="str">
        <f>IF(I150="","",IF(AND(E150&gt;I150,E150&lt;&gt;T150),IF(VLOOKUP(A150,Test_Limits,5,FALSE)="PF","Fail","Info"),"Pass"))</f>
        <v/>
      </c>
      <c r="K150" s="328"/>
      <c r="L150" s="328"/>
      <c r="Q150" s="272"/>
      <c r="R150" s="320">
        <f t="shared" si="14"/>
        <v>-1000000</v>
      </c>
      <c r="S150" s="320">
        <f t="shared" si="15"/>
        <v>1000000</v>
      </c>
      <c r="T150" s="320" t="e">
        <f>IF(VLOOKUP(A150,Test_Limits,7,FALSE)&lt;&gt;"",VLOOKUP(A150,Test_Limits,7,FALSE),"")</f>
        <v>#N/A</v>
      </c>
      <c r="U150" s="320">
        <f>IF(F150="",0,VLOOKUP(A150,Test_Limits,8,FALSE))</f>
        <v>0</v>
      </c>
      <c r="V150" s="320">
        <f t="shared" si="16"/>
        <v>0</v>
      </c>
      <c r="W150" s="321" t="e">
        <f>VLOOKUP(A150,Test_Limits,6,FALSE)</f>
        <v>#N/A</v>
      </c>
      <c r="X150" s="272"/>
    </row>
    <row r="151" spans="1:24" ht="13.8" x14ac:dyDescent="0.3">
      <c r="A151" s="9"/>
      <c r="B151" s="21"/>
      <c r="C151" s="65"/>
      <c r="D151" s="106" t="str">
        <f>IF(C151="","",MIN(B151:B151))</f>
        <v/>
      </c>
      <c r="E151" s="103" t="str">
        <f>IF(C151="","",MAX(B151:B151))</f>
        <v/>
      </c>
      <c r="F151" s="64" t="str">
        <f>IF(C151="","",IF(C151="    N/A","",IF(COUNTIF(B151:B151,"&gt;-1")&gt;0,ROUND((SUM(B151:B151)+COUNTIF(B151:B151,-1))/COUNTIF(B151:B151,"&gt;-1"),W151),ROUND(AVERAGE(B151:B151),W151))))</f>
        <v/>
      </c>
      <c r="G151" s="106" t="str">
        <f>IF(F151="","",IF(VLOOKUP(A151,Test_Limits,2,FALSE)="","",VLOOKUP(A151,Test_Limits,2,FALSE)))</f>
        <v/>
      </c>
      <c r="H151" s="77" t="str">
        <f>IF(G151="","",IF(AND(D151&lt;G151,D151&lt;&gt;T151),IF(VLOOKUP(A151,Test_Limits,5,FALSE)="PF","Fail","Info"),"Pass"))</f>
        <v/>
      </c>
      <c r="I151" s="103" t="str">
        <f>IF(F151="","",IF(VLOOKUP(A151,Test_Limits,3,FALSE)="","",VLOOKUP(A151,Test_Limits,3,FALSE)))</f>
        <v/>
      </c>
      <c r="J151" s="77" t="str">
        <f>IF(I151="","",IF(AND(E151&gt;I151,E151&lt;&gt;T151),IF(VLOOKUP(A151,Test_Limits,5,FALSE)="PF","Fail","Info"),"Pass"))</f>
        <v/>
      </c>
      <c r="K151" s="328"/>
      <c r="L151" s="328"/>
      <c r="Q151" s="272"/>
      <c r="R151" s="320">
        <f t="shared" si="14"/>
        <v>-1000000</v>
      </c>
      <c r="S151" s="320">
        <f t="shared" si="15"/>
        <v>1000000</v>
      </c>
      <c r="T151" s="320" t="e">
        <f>IF(VLOOKUP(A151,Test_Limits,7,FALSE)&lt;&gt;"",VLOOKUP(A151,Test_Limits,7,FALSE),"")</f>
        <v>#N/A</v>
      </c>
      <c r="U151" s="320">
        <f>IF(F151="",0,VLOOKUP(A151,Test_Limits,8,FALSE))</f>
        <v>0</v>
      </c>
      <c r="V151" s="320">
        <f t="shared" si="16"/>
        <v>0</v>
      </c>
      <c r="W151" s="321" t="e">
        <f>VLOOKUP(A151,Test_Limits,6,FALSE)</f>
        <v>#N/A</v>
      </c>
      <c r="X151" s="272"/>
    </row>
    <row r="152" spans="1:24" ht="13.8" x14ac:dyDescent="0.3">
      <c r="A152" s="9"/>
      <c r="B152" s="21"/>
      <c r="C152" s="65"/>
      <c r="D152" s="106" t="str">
        <f>IF(C152="","",MIN(B152:B152))</f>
        <v/>
      </c>
      <c r="E152" s="103" t="str">
        <f>IF(C152="","",MAX(B152:B152))</f>
        <v/>
      </c>
      <c r="F152" s="64" t="str">
        <f>IF(C152="","",IF(C152="    N/A","",IF(COUNTIF(B152:B152,"&gt;-1")&gt;0,ROUND((SUM(B152:B152)+COUNTIF(B152:B152,-1))/COUNTIF(B152:B152,"&gt;-1"),W152),ROUND(AVERAGE(B152:B152),W152))))</f>
        <v/>
      </c>
      <c r="G152" s="106" t="str">
        <f>IF(F152="","",IF(VLOOKUP(A152,Test_Limits,2,FALSE)="","",VLOOKUP(A152,Test_Limits,2,FALSE)))</f>
        <v/>
      </c>
      <c r="H152" s="77" t="str">
        <f>IF(G152="","",IF(AND(D152&lt;G152,D152&lt;&gt;T152),IF(VLOOKUP(A152,Test_Limits,5,FALSE)="PF","Fail","Info"),"Pass"))</f>
        <v/>
      </c>
      <c r="I152" s="103" t="str">
        <f>IF(F152="","",IF(VLOOKUP(A152,Test_Limits,3,FALSE)="","",VLOOKUP(A152,Test_Limits,3,FALSE)))</f>
        <v/>
      </c>
      <c r="J152" s="77" t="str">
        <f>IF(I152="","",IF(AND(E152&gt;I152,E152&lt;&gt;T152),IF(VLOOKUP(A152,Test_Limits,5,FALSE)="PF","Fail","Info"),"Pass"))</f>
        <v/>
      </c>
      <c r="K152" s="328"/>
      <c r="L152" s="328"/>
      <c r="Q152" s="272"/>
      <c r="R152" s="320">
        <f t="shared" si="11"/>
        <v>-1000000</v>
      </c>
      <c r="S152" s="320">
        <f t="shared" si="12"/>
        <v>1000000</v>
      </c>
      <c r="T152" s="320" t="e">
        <f>IF(VLOOKUP(A152,Test_Limits,7,FALSE)&lt;&gt;"",VLOOKUP(A152,Test_Limits,7,FALSE),"")</f>
        <v>#N/A</v>
      </c>
      <c r="U152" s="320">
        <f>IF(F152="",0,VLOOKUP(A152,Test_Limits,8,FALSE))</f>
        <v>0</v>
      </c>
      <c r="V152" s="320">
        <f t="shared" si="13"/>
        <v>0</v>
      </c>
      <c r="W152" s="321" t="e">
        <f>VLOOKUP(A152,Test_Limits,6,FALSE)</f>
        <v>#N/A</v>
      </c>
      <c r="X152" s="272"/>
    </row>
    <row r="153" spans="1:24" ht="13.8" x14ac:dyDescent="0.3">
      <c r="A153" s="9"/>
      <c r="B153" s="21"/>
      <c r="C153" s="65"/>
      <c r="D153" s="106" t="str">
        <f>IF(C153="","",MIN(B153:B153))</f>
        <v/>
      </c>
      <c r="E153" s="103" t="str">
        <f>IF(C153="","",MAX(B153:B153))</f>
        <v/>
      </c>
      <c r="F153" s="64" t="str">
        <f>IF(C153="","",IF(C153="    N/A","",IF(COUNTIF(B153:B153,"&gt;-1")&gt;0,ROUND((SUM(B153:B153)+COUNTIF(B153:B153,-1))/COUNTIF(B153:B153,"&gt;-1"),W153),ROUND(AVERAGE(B153:B153),W153))))</f>
        <v/>
      </c>
      <c r="G153" s="106" t="str">
        <f>IF(F153="","",IF(VLOOKUP(A153,Test_Limits,2,FALSE)="","",VLOOKUP(A153,Test_Limits,2,FALSE)))</f>
        <v/>
      </c>
      <c r="H153" s="77" t="str">
        <f>IF(G153="","",IF(AND(D153&lt;G153,D153&lt;&gt;T153),IF(VLOOKUP(A153,Test_Limits,5,FALSE)="PF","Fail","Info"),"Pass"))</f>
        <v/>
      </c>
      <c r="I153" s="103" t="str">
        <f>IF(F153="","",IF(VLOOKUP(A153,Test_Limits,3,FALSE)="","",VLOOKUP(A153,Test_Limits,3,FALSE)))</f>
        <v/>
      </c>
      <c r="J153" s="77" t="str">
        <f>IF(I153="","",IF(AND(E153&gt;I153,E153&lt;&gt;T153),IF(VLOOKUP(A153,Test_Limits,5,FALSE)="PF","Fail","Info"),"Pass"))</f>
        <v/>
      </c>
      <c r="K153" s="328"/>
      <c r="L153" s="328"/>
      <c r="Q153" s="272"/>
      <c r="R153" s="320">
        <f t="shared" si="11"/>
        <v>-1000000</v>
      </c>
      <c r="S153" s="320">
        <f t="shared" si="12"/>
        <v>1000000</v>
      </c>
      <c r="T153" s="320" t="e">
        <f>IF(VLOOKUP(A153,Test_Limits,7,FALSE)&lt;&gt;"",VLOOKUP(A153,Test_Limits,7,FALSE),"")</f>
        <v>#N/A</v>
      </c>
      <c r="U153" s="320">
        <f>IF(F153="",0,VLOOKUP(A153,Test_Limits,8,FALSE))</f>
        <v>0</v>
      </c>
      <c r="V153" s="320">
        <f t="shared" si="13"/>
        <v>0</v>
      </c>
      <c r="W153" s="321" t="e">
        <f>VLOOKUP(A153,Test_Limits,6,FALSE)</f>
        <v>#N/A</v>
      </c>
      <c r="X153" s="272"/>
    </row>
    <row r="154" spans="1:24" ht="13.8" x14ac:dyDescent="0.3">
      <c r="A154" s="9"/>
      <c r="B154" s="21"/>
      <c r="C154" s="65"/>
      <c r="D154" s="106" t="str">
        <f>IF(C154="","",MIN(B154:B154))</f>
        <v/>
      </c>
      <c r="E154" s="103" t="str">
        <f>IF(C154="","",MAX(B154:B154))</f>
        <v/>
      </c>
      <c r="F154" s="64" t="str">
        <f>IF(C154="","",IF(C154="    N/A","",IF(COUNTIF(B154:B154,"&gt;-1")&gt;0,ROUND((SUM(B154:B154)+COUNTIF(B154:B154,-1))/COUNTIF(B154:B154,"&gt;-1"),W154),ROUND(AVERAGE(B154:B154),W154))))</f>
        <v/>
      </c>
      <c r="G154" s="106" t="str">
        <f>IF(F154="","",IF(VLOOKUP(A154,Test_Limits,2,FALSE)="","",VLOOKUP(A154,Test_Limits,2,FALSE)))</f>
        <v/>
      </c>
      <c r="H154" s="77" t="str">
        <f>IF(G154="","",IF(AND(D154&lt;G154,D154&lt;&gt;T154),IF(VLOOKUP(A154,Test_Limits,5,FALSE)="PF","Fail","Info"),"Pass"))</f>
        <v/>
      </c>
      <c r="I154" s="103" t="str">
        <f>IF(F154="","",IF(VLOOKUP(A154,Test_Limits,3,FALSE)="","",VLOOKUP(A154,Test_Limits,3,FALSE)))</f>
        <v/>
      </c>
      <c r="J154" s="77" t="str">
        <f>IF(I154="","",IF(AND(E154&gt;I154,E154&lt;&gt;T154),IF(VLOOKUP(A154,Test_Limits,5,FALSE)="PF","Fail","Info"),"Pass"))</f>
        <v/>
      </c>
      <c r="K154" s="328"/>
      <c r="L154" s="328"/>
      <c r="Q154" s="272"/>
      <c r="R154" s="320">
        <f t="shared" si="11"/>
        <v>-1000000</v>
      </c>
      <c r="S154" s="320">
        <f t="shared" si="12"/>
        <v>1000000</v>
      </c>
      <c r="T154" s="320" t="e">
        <f>IF(VLOOKUP(A154,Test_Limits,7,FALSE)&lt;&gt;"",VLOOKUP(A154,Test_Limits,7,FALSE),"")</f>
        <v>#N/A</v>
      </c>
      <c r="U154" s="320">
        <f>IF(F154="",0,VLOOKUP(A154,Test_Limits,8,FALSE))</f>
        <v>0</v>
      </c>
      <c r="V154" s="320">
        <f t="shared" si="13"/>
        <v>0</v>
      </c>
      <c r="W154" s="321" t="e">
        <f>VLOOKUP(A154,Test_Limits,6,FALSE)</f>
        <v>#N/A</v>
      </c>
      <c r="X154" s="272"/>
    </row>
    <row r="155" spans="1:24" ht="13.8" x14ac:dyDescent="0.3">
      <c r="A155" s="9"/>
      <c r="B155" s="21"/>
      <c r="C155" s="65"/>
      <c r="D155" s="106" t="str">
        <f>IF(C155="","",MIN(B155:B155))</f>
        <v/>
      </c>
      <c r="E155" s="103" t="str">
        <f>IF(C155="","",MAX(B155:B155))</f>
        <v/>
      </c>
      <c r="F155" s="64" t="str">
        <f>IF(C155="","",IF(C155="    N/A","",IF(COUNTIF(B155:B155,"&gt;-1")&gt;0,ROUND((SUM(B155:B155)+COUNTIF(B155:B155,-1))/COUNTIF(B155:B155,"&gt;-1"),W155),ROUND(AVERAGE(B155:B155),W155))))</f>
        <v/>
      </c>
      <c r="G155" s="106" t="str">
        <f>IF(F155="","",IF(VLOOKUP(A155,Test_Limits,2,FALSE)="","",VLOOKUP(A155,Test_Limits,2,FALSE)))</f>
        <v/>
      </c>
      <c r="H155" s="77" t="str">
        <f>IF(G155="","",IF(AND(D155&lt;G155,D155&lt;&gt;T155),IF(VLOOKUP(A155,Test_Limits,5,FALSE)="PF","Fail","Info"),"Pass"))</f>
        <v/>
      </c>
      <c r="I155" s="103" t="str">
        <f>IF(F155="","",IF(VLOOKUP(A155,Test_Limits,3,FALSE)="","",VLOOKUP(A155,Test_Limits,3,FALSE)))</f>
        <v/>
      </c>
      <c r="J155" s="77" t="str">
        <f>IF(I155="","",IF(AND(E155&gt;I155,E155&lt;&gt;T155),IF(VLOOKUP(A155,Test_Limits,5,FALSE)="PF","Fail","Info"),"Pass"))</f>
        <v/>
      </c>
      <c r="K155" s="328"/>
      <c r="L155" s="328"/>
      <c r="Q155" s="272"/>
      <c r="R155" s="320">
        <f t="shared" si="11"/>
        <v>-1000000</v>
      </c>
      <c r="S155" s="320">
        <f t="shared" si="12"/>
        <v>1000000</v>
      </c>
      <c r="T155" s="320" t="e">
        <f>IF(VLOOKUP(A155,Test_Limits,7,FALSE)&lt;&gt;"",VLOOKUP(A155,Test_Limits,7,FALSE),"")</f>
        <v>#N/A</v>
      </c>
      <c r="U155" s="320">
        <f>IF(F155="",0,VLOOKUP(A155,Test_Limits,8,FALSE))</f>
        <v>0</v>
      </c>
      <c r="V155" s="320">
        <f t="shared" si="13"/>
        <v>0</v>
      </c>
      <c r="W155" s="321" t="e">
        <f>VLOOKUP(A155,Test_Limits,6,FALSE)</f>
        <v>#N/A</v>
      </c>
      <c r="X155" s="272"/>
    </row>
    <row r="156" spans="1:24" ht="13.8" x14ac:dyDescent="0.3">
      <c r="A156" s="9"/>
      <c r="B156" s="21"/>
      <c r="C156" s="65"/>
      <c r="D156" s="106" t="str">
        <f>IF(C156="","",MIN(B156:B156))</f>
        <v/>
      </c>
      <c r="E156" s="103" t="str">
        <f>IF(C156="","",MAX(B156:B156))</f>
        <v/>
      </c>
      <c r="F156" s="64" t="str">
        <f>IF(C156="","",IF(C156="    N/A","",IF(COUNTIF(B156:B156,"&gt;-1")&gt;0,ROUND((SUM(B156:B156)+COUNTIF(B156:B156,-1))/COUNTIF(B156:B156,"&gt;-1"),W156),ROUND(AVERAGE(B156:B156),W156))))</f>
        <v/>
      </c>
      <c r="G156" s="106" t="str">
        <f>IF(F156="","",IF(VLOOKUP(A156,Test_Limits,2,FALSE)="","",VLOOKUP(A156,Test_Limits,2,FALSE)))</f>
        <v/>
      </c>
      <c r="H156" s="77" t="str">
        <f>IF(G156="","",IF(AND(D156&lt;G156,D156&lt;&gt;T156),IF(VLOOKUP(A156,Test_Limits,5,FALSE)="PF","Fail","Info"),"Pass"))</f>
        <v/>
      </c>
      <c r="I156" s="103" t="str">
        <f>IF(F156="","",IF(VLOOKUP(A156,Test_Limits,3,FALSE)="","",VLOOKUP(A156,Test_Limits,3,FALSE)))</f>
        <v/>
      </c>
      <c r="J156" s="77" t="str">
        <f>IF(I156="","",IF(AND(E156&gt;I156,E156&lt;&gt;T156),IF(VLOOKUP(A156,Test_Limits,5,FALSE)="PF","Fail","Info"),"Pass"))</f>
        <v/>
      </c>
      <c r="K156" s="328"/>
      <c r="L156" s="328"/>
      <c r="Q156" s="272"/>
      <c r="R156" s="320">
        <f t="shared" ref="R156:R158" si="17">IF(H156="Info",G156,IF(J156="Info",G156,-1000000))</f>
        <v>-1000000</v>
      </c>
      <c r="S156" s="320">
        <f t="shared" ref="S156:S158" si="18">IF(H156="Info",I156,IF(J156="Info",I156,1000000))</f>
        <v>1000000</v>
      </c>
      <c r="T156" s="320" t="e">
        <f>IF(VLOOKUP(A156,Test_Limits,7,FALSE)&lt;&gt;"",VLOOKUP(A156,Test_Limits,7,FALSE),"")</f>
        <v>#N/A</v>
      </c>
      <c r="U156" s="320">
        <f>IF(F156="",0,VLOOKUP(A156,Test_Limits,8,FALSE))</f>
        <v>0</v>
      </c>
      <c r="V156" s="320">
        <f t="shared" ref="V156:V158" si="19">IF(H156="Pass",IF(J156="Pass",U156,0),0)</f>
        <v>0</v>
      </c>
      <c r="W156" s="321" t="e">
        <f>VLOOKUP(A156,Test_Limits,6,FALSE)</f>
        <v>#N/A</v>
      </c>
      <c r="X156" s="272"/>
    </row>
    <row r="157" spans="1:24" ht="13.8" x14ac:dyDescent="0.3">
      <c r="A157" s="9"/>
      <c r="B157" s="21"/>
      <c r="C157" s="65"/>
      <c r="D157" s="106" t="str">
        <f>IF(C157="","",MIN(B157:B157))</f>
        <v/>
      </c>
      <c r="E157" s="103" t="str">
        <f>IF(C157="","",MAX(B157:B157))</f>
        <v/>
      </c>
      <c r="F157" s="64" t="str">
        <f>IF(C157="","",IF(C157="    N/A","",IF(COUNTIF(B157:B157,"&gt;-1")&gt;0,ROUND((SUM(B157:B157)+COUNTIF(B157:B157,-1))/COUNTIF(B157:B157,"&gt;-1"),W157),ROUND(AVERAGE(B157:B157),W157))))</f>
        <v/>
      </c>
      <c r="G157" s="106" t="str">
        <f>IF(F157="","",IF(VLOOKUP(A157,Test_Limits,2,FALSE)="","",VLOOKUP(A157,Test_Limits,2,FALSE)))</f>
        <v/>
      </c>
      <c r="H157" s="77" t="str">
        <f>IF(G157="","",IF(AND(D157&lt;G157,D157&lt;&gt;T157),IF(VLOOKUP(A157,Test_Limits,5,FALSE)="PF","Fail","Info"),"Pass"))</f>
        <v/>
      </c>
      <c r="I157" s="103" t="str">
        <f>IF(F157="","",IF(VLOOKUP(A157,Test_Limits,3,FALSE)="","",VLOOKUP(A157,Test_Limits,3,FALSE)))</f>
        <v/>
      </c>
      <c r="J157" s="77" t="str">
        <f>IF(I157="","",IF(AND(E157&gt;I157,E157&lt;&gt;T157),IF(VLOOKUP(A157,Test_Limits,5,FALSE)="PF","Fail","Info"),"Pass"))</f>
        <v/>
      </c>
      <c r="K157" s="328"/>
      <c r="L157" s="328"/>
      <c r="Q157" s="272"/>
      <c r="R157" s="320">
        <f t="shared" si="17"/>
        <v>-1000000</v>
      </c>
      <c r="S157" s="320">
        <f t="shared" si="18"/>
        <v>1000000</v>
      </c>
      <c r="T157" s="320" t="e">
        <f>IF(VLOOKUP(A157,Test_Limits,7,FALSE)&lt;&gt;"",VLOOKUP(A157,Test_Limits,7,FALSE),"")</f>
        <v>#N/A</v>
      </c>
      <c r="U157" s="320">
        <f>IF(F157="",0,VLOOKUP(A157,Test_Limits,8,FALSE))</f>
        <v>0</v>
      </c>
      <c r="V157" s="320">
        <f t="shared" si="19"/>
        <v>0</v>
      </c>
      <c r="W157" s="321" t="e">
        <f>VLOOKUP(A157,Test_Limits,6,FALSE)</f>
        <v>#N/A</v>
      </c>
      <c r="X157" s="272"/>
    </row>
    <row r="158" spans="1:24" ht="13.8" x14ac:dyDescent="0.3">
      <c r="A158" s="9"/>
      <c r="B158" s="21"/>
      <c r="C158" s="65"/>
      <c r="D158" s="106" t="str">
        <f>IF(C158="","",MIN(B158:B158))</f>
        <v/>
      </c>
      <c r="E158" s="103" t="str">
        <f>IF(C158="","",MAX(B158:B158))</f>
        <v/>
      </c>
      <c r="F158" s="64" t="str">
        <f>IF(C158="","",IF(C158="    N/A","",IF(COUNTIF(B158:B158,"&gt;-1")&gt;0,ROUND((SUM(B158:B158)+COUNTIF(B158:B158,-1))/COUNTIF(B158:B158,"&gt;-1"),W158),ROUND(AVERAGE(B158:B158),W158))))</f>
        <v/>
      </c>
      <c r="G158" s="106" t="str">
        <f>IF(F158="","",IF(VLOOKUP(A158,Test_Limits,2,FALSE)="","",VLOOKUP(A158,Test_Limits,2,FALSE)))</f>
        <v/>
      </c>
      <c r="H158" s="77" t="str">
        <f>IF(G158="","",IF(AND(D158&lt;G158,D158&lt;&gt;T158),IF(VLOOKUP(A158,Test_Limits,5,FALSE)="PF","Fail","Info"),"Pass"))</f>
        <v/>
      </c>
      <c r="I158" s="103" t="str">
        <f>IF(F158="","",IF(VLOOKUP(A158,Test_Limits,3,FALSE)="","",VLOOKUP(A158,Test_Limits,3,FALSE)))</f>
        <v/>
      </c>
      <c r="J158" s="77" t="str">
        <f>IF(I158="","",IF(AND(E158&gt;I158,E158&lt;&gt;T158),IF(VLOOKUP(A158,Test_Limits,5,FALSE)="PF","Fail","Info"),"Pass"))</f>
        <v/>
      </c>
      <c r="K158" s="328"/>
      <c r="L158" s="328"/>
      <c r="Q158" s="272"/>
      <c r="R158" s="320">
        <f t="shared" si="17"/>
        <v>-1000000</v>
      </c>
      <c r="S158" s="320">
        <f t="shared" si="18"/>
        <v>1000000</v>
      </c>
      <c r="T158" s="320" t="e">
        <f>IF(VLOOKUP(A158,Test_Limits,7,FALSE)&lt;&gt;"",VLOOKUP(A158,Test_Limits,7,FALSE),"")</f>
        <v>#N/A</v>
      </c>
      <c r="U158" s="320">
        <f>IF(F158="",0,VLOOKUP(A158,Test_Limits,8,FALSE))</f>
        <v>0</v>
      </c>
      <c r="V158" s="320">
        <f t="shared" si="19"/>
        <v>0</v>
      </c>
      <c r="W158" s="321" t="e">
        <f>VLOOKUP(A158,Test_Limits,6,FALSE)</f>
        <v>#N/A</v>
      </c>
      <c r="X158" s="272"/>
    </row>
    <row r="159" spans="1:24" ht="13.8" x14ac:dyDescent="0.3">
      <c r="A159" s="9"/>
      <c r="B159" s="21"/>
      <c r="C159" s="65"/>
      <c r="D159" s="106" t="str">
        <f>IF(C159="","",MIN(B159:B159))</f>
        <v/>
      </c>
      <c r="E159" s="103" t="str">
        <f>IF(C159="","",MAX(B159:B159))</f>
        <v/>
      </c>
      <c r="F159" s="64" t="str">
        <f>IF(C159="","",IF(C159="    N/A","",IF(COUNTIF(B159:B159,"&gt;-1")&gt;0,ROUND((SUM(B159:B159)+COUNTIF(B159:B159,-1))/COUNTIF(B159:B159,"&gt;-1"),W159),ROUND(AVERAGE(B159:B159),W159))))</f>
        <v/>
      </c>
      <c r="G159" s="106" t="str">
        <f>IF(F159="","",IF(VLOOKUP(A159,Test_Limits,2,FALSE)="","",VLOOKUP(A159,Test_Limits,2,FALSE)))</f>
        <v/>
      </c>
      <c r="H159" s="77" t="str">
        <f>IF(G159="","",IF(AND(D159&lt;G159,D159&lt;&gt;T159),IF(VLOOKUP(A159,Test_Limits,5,FALSE)="PF","Fail","Info"),"Pass"))</f>
        <v/>
      </c>
      <c r="I159" s="103" t="str">
        <f>IF(F159="","",IF(VLOOKUP(A159,Test_Limits,3,FALSE)="","",VLOOKUP(A159,Test_Limits,3,FALSE)))</f>
        <v/>
      </c>
      <c r="J159" s="77" t="str">
        <f>IF(I159="","",IF(AND(E159&gt;I159,E159&lt;&gt;T159),IF(VLOOKUP(A159,Test_Limits,5,FALSE)="PF","Fail","Info"),"Pass"))</f>
        <v/>
      </c>
      <c r="K159" s="328"/>
      <c r="L159" s="328"/>
      <c r="P159" s="272"/>
      <c r="Q159" s="272"/>
      <c r="R159" s="320">
        <f>IF(H159="Info",G159,IF(J159="Info",G159,-1000000))</f>
        <v>-1000000</v>
      </c>
      <c r="S159" s="320">
        <f>IF(H159="Info",I159,IF(J159="Info",I159,1000000))</f>
        <v>1000000</v>
      </c>
      <c r="T159" s="320" t="e">
        <f>IF(VLOOKUP(A159,Test_Limits,7,FALSE)&lt;&gt;"",VLOOKUP(A159,Test_Limits,7,FALSE),"")</f>
        <v>#N/A</v>
      </c>
      <c r="U159" s="320">
        <f>IF(F159="",0,VLOOKUP(A159,Test_Limits,8,FALSE))</f>
        <v>0</v>
      </c>
      <c r="V159" s="320">
        <f>IF(H159="Pass",IF(J159="Pass",U159,0),0)</f>
        <v>0</v>
      </c>
      <c r="W159" s="321" t="e">
        <f>VLOOKUP(A159,Test_Limits,6,FALSE)</f>
        <v>#N/A</v>
      </c>
      <c r="X159" s="272"/>
    </row>
    <row r="160" spans="1:24" ht="13.8" x14ac:dyDescent="0.3">
      <c r="A160" s="9"/>
      <c r="B160" s="21"/>
      <c r="C160" s="65"/>
      <c r="D160" s="106" t="str">
        <f>IF(C160="","",MIN(B160:B160))</f>
        <v/>
      </c>
      <c r="E160" s="103" t="str">
        <f>IF(C160="","",MAX(B160:B160))</f>
        <v/>
      </c>
      <c r="F160" s="64" t="str">
        <f>IF(C160="","",IF(C160="    N/A","",IF(COUNTIF(B160:B160,"&gt;-1")&gt;0,ROUND((SUM(B160:B160)+COUNTIF(B160:B160,-1))/COUNTIF(B160:B160,"&gt;-1"),W160),ROUND(AVERAGE(B160:B160),W160))))</f>
        <v/>
      </c>
      <c r="G160" s="106" t="str">
        <f>IF(F160="","",IF(VLOOKUP(A160,Test_Limits,2,FALSE)="","",VLOOKUP(A160,Test_Limits,2,FALSE)))</f>
        <v/>
      </c>
      <c r="H160" s="77" t="str">
        <f>IF(G160="","",IF(AND(D160&lt;G160,D160&lt;&gt;T160),IF(VLOOKUP(A160,Test_Limits,5,FALSE)="PF","Fail","Info"),"Pass"))</f>
        <v/>
      </c>
      <c r="I160" s="103" t="str">
        <f>IF(F160="","",IF(VLOOKUP(A160,Test_Limits,3,FALSE)="","",VLOOKUP(A160,Test_Limits,3,FALSE)))</f>
        <v/>
      </c>
      <c r="J160" s="77" t="str">
        <f>IF(I160="","",IF(AND(E160&gt;I160,E160&lt;&gt;T160),IF(VLOOKUP(A160,Test_Limits,5,FALSE)="PF","Fail","Info"),"Pass"))</f>
        <v/>
      </c>
      <c r="K160" s="328"/>
      <c r="L160" s="328"/>
      <c r="P160" s="272"/>
      <c r="Q160" s="272"/>
      <c r="R160" s="320">
        <f>IF(H160="Info",G160,IF(J160="Info",G160,-1000000))</f>
        <v>-1000000</v>
      </c>
      <c r="S160" s="320">
        <f>IF(H160="Info",I160,IF(J160="Info",I160,1000000))</f>
        <v>1000000</v>
      </c>
      <c r="T160" s="320" t="e">
        <f>IF(VLOOKUP(A160,Test_Limits,7,FALSE)&lt;&gt;"",VLOOKUP(A160,Test_Limits,7,FALSE),"")</f>
        <v>#N/A</v>
      </c>
      <c r="U160" s="320">
        <f>IF(F160="",0,VLOOKUP(A160,Test_Limits,8,FALSE))</f>
        <v>0</v>
      </c>
      <c r="V160" s="320">
        <f>IF(H160="Pass",IF(J160="Pass",U160,0),0)</f>
        <v>0</v>
      </c>
      <c r="W160" s="321" t="e">
        <f>VLOOKUP(A160,Test_Limits,6,FALSE)</f>
        <v>#N/A</v>
      </c>
      <c r="X160" s="272"/>
    </row>
    <row r="161" spans="1:24" ht="13.8" x14ac:dyDescent="0.3">
      <c r="A161" s="9"/>
      <c r="B161" s="21"/>
      <c r="C161" s="65"/>
      <c r="D161" s="106" t="str">
        <f>IF(C161="","",MIN(B161:B161))</f>
        <v/>
      </c>
      <c r="E161" s="103" t="str">
        <f>IF(C161="","",MAX(B161:B161))</f>
        <v/>
      </c>
      <c r="F161" s="64" t="str">
        <f>IF(C161="","",IF(C161="    N/A","",IF(COUNTIF(B161:B161,"&gt;-1")&gt;0,ROUND((SUM(B161:B161)+COUNTIF(B161:B161,-1))/COUNTIF(B161:B161,"&gt;-1"),W161),ROUND(AVERAGE(B161:B161),W161))))</f>
        <v/>
      </c>
      <c r="G161" s="106" t="str">
        <f>IF(F161="","",IF(VLOOKUP(A161,Test_Limits,2,FALSE)="","",VLOOKUP(A161,Test_Limits,2,FALSE)))</f>
        <v/>
      </c>
      <c r="H161" s="77" t="str">
        <f>IF(G161="","",IF(AND(D161&lt;G161,D161&lt;&gt;T161),IF(VLOOKUP(A161,Test_Limits,5,FALSE)="PF","Fail","Info"),"Pass"))</f>
        <v/>
      </c>
      <c r="I161" s="103" t="str">
        <f>IF(F161="","",IF(VLOOKUP(A161,Test_Limits,3,FALSE)="","",VLOOKUP(A161,Test_Limits,3,FALSE)))</f>
        <v/>
      </c>
      <c r="J161" s="77" t="str">
        <f>IF(I161="","",IF(AND(E161&gt;I161,E161&lt;&gt;T161),IF(VLOOKUP(A161,Test_Limits,5,FALSE)="PF","Fail","Info"),"Pass"))</f>
        <v/>
      </c>
      <c r="K161" s="328"/>
      <c r="L161" s="328"/>
      <c r="P161" s="272"/>
      <c r="Q161" s="272"/>
      <c r="R161" s="320">
        <f t="shared" si="11"/>
        <v>-1000000</v>
      </c>
      <c r="S161" s="320">
        <f t="shared" si="12"/>
        <v>1000000</v>
      </c>
      <c r="T161" s="320" t="e">
        <f>IF(VLOOKUP(A161,Test_Limits,7,FALSE)&lt;&gt;"",VLOOKUP(A161,Test_Limits,7,FALSE),"")</f>
        <v>#N/A</v>
      </c>
      <c r="U161" s="320">
        <f>IF(F161="",0,VLOOKUP(A161,Test_Limits,8,FALSE))</f>
        <v>0</v>
      </c>
      <c r="V161" s="320">
        <f t="shared" si="13"/>
        <v>0</v>
      </c>
      <c r="W161" s="321" t="e">
        <f>VLOOKUP(A161,Test_Limits,6,FALSE)</f>
        <v>#N/A</v>
      </c>
      <c r="X161" s="272"/>
    </row>
    <row r="162" spans="1:24" ht="13.8" x14ac:dyDescent="0.3">
      <c r="A162" s="9"/>
      <c r="B162" s="21"/>
      <c r="C162" s="65"/>
      <c r="D162" s="106" t="str">
        <f>IF(C162="","",MIN(B162:B162))</f>
        <v/>
      </c>
      <c r="E162" s="103" t="str">
        <f>IF(C162="","",MAX(B162:B162))</f>
        <v/>
      </c>
      <c r="F162" s="64" t="str">
        <f>IF(C162="","",IF(C162="    N/A","",IF(COUNTIF(B162:B162,"&gt;-1")&gt;0,ROUND((SUM(B162:B162)+COUNTIF(B162:B162,-1))/COUNTIF(B162:B162,"&gt;-1"),W162),ROUND(AVERAGE(B162:B162),W162))))</f>
        <v/>
      </c>
      <c r="G162" s="106" t="str">
        <f>IF(F162="","",IF(VLOOKUP(A162,Test_Limits,2,FALSE)="","",VLOOKUP(A162,Test_Limits,2,FALSE)))</f>
        <v/>
      </c>
      <c r="H162" s="77" t="str">
        <f>IF(G162="","",IF(AND(D162&lt;G162,D162&lt;&gt;T162),IF(VLOOKUP(A162,Test_Limits,5,FALSE)="PF","Fail","Info"),"Pass"))</f>
        <v/>
      </c>
      <c r="I162" s="103" t="str">
        <f>IF(F162="","",IF(VLOOKUP(A162,Test_Limits,3,FALSE)="","",VLOOKUP(A162,Test_Limits,3,FALSE)))</f>
        <v/>
      </c>
      <c r="J162" s="77" t="str">
        <f>IF(I162="","",IF(AND(E162&gt;I162,E162&lt;&gt;T162),IF(VLOOKUP(A162,Test_Limits,5,FALSE)="PF","Fail","Info"),"Pass"))</f>
        <v/>
      </c>
      <c r="K162" s="328"/>
      <c r="L162" s="328"/>
      <c r="P162" s="272"/>
      <c r="Q162" s="272"/>
      <c r="R162" s="320">
        <f>IF(H162="Info",G162,IF(J162="Info",G162,-1000000))</f>
        <v>-1000000</v>
      </c>
      <c r="S162" s="320">
        <f>IF(H162="Info",I162,IF(J162="Info",I162,1000000))</f>
        <v>1000000</v>
      </c>
      <c r="T162" s="320" t="e">
        <f>IF(VLOOKUP(A162,Test_Limits,7,FALSE)&lt;&gt;"",VLOOKUP(A162,Test_Limits,7,FALSE),"")</f>
        <v>#N/A</v>
      </c>
      <c r="U162" s="320">
        <f>IF(F162="",0,VLOOKUP(A162,Test_Limits,8,FALSE))</f>
        <v>0</v>
      </c>
      <c r="V162" s="320">
        <f>IF(H162="Pass",IF(J162="Pass",U162,0),0)</f>
        <v>0</v>
      </c>
      <c r="W162" s="321" t="e">
        <f>VLOOKUP(A162,Test_Limits,6,FALSE)</f>
        <v>#N/A</v>
      </c>
      <c r="X162" s="272"/>
    </row>
    <row r="163" spans="1:24" ht="13.8" x14ac:dyDescent="0.3">
      <c r="A163" s="9"/>
      <c r="B163" s="21"/>
      <c r="C163" s="65"/>
      <c r="D163" s="106" t="str">
        <f>IF(C163="","",MIN(B163:B163))</f>
        <v/>
      </c>
      <c r="E163" s="103" t="str">
        <f>IF(C163="","",MAX(B163:B163))</f>
        <v/>
      </c>
      <c r="F163" s="64" t="str">
        <f>IF(C163="","",IF(C163="    N/A","",IF(COUNTIF(B163:B163,"&gt;-1")&gt;0,ROUND((SUM(B163:B163)+COUNTIF(B163:B163,-1))/COUNTIF(B163:B163,"&gt;-1"),W163),ROUND(AVERAGE(B163:B163),W163))))</f>
        <v/>
      </c>
      <c r="G163" s="106" t="str">
        <f>IF(F163="","",IF(VLOOKUP(A163,Test_Limits,2,FALSE)="","",VLOOKUP(A163,Test_Limits,2,FALSE)))</f>
        <v/>
      </c>
      <c r="H163" s="77" t="str">
        <f>IF(G163="","",IF(AND(D163&lt;G163,D163&lt;&gt;T163),IF(VLOOKUP(A163,Test_Limits,5,FALSE)="PF","Fail","Info"),"Pass"))</f>
        <v/>
      </c>
      <c r="I163" s="103" t="str">
        <f>IF(F163="","",IF(VLOOKUP(A163,Test_Limits,3,FALSE)="","",VLOOKUP(A163,Test_Limits,3,FALSE)))</f>
        <v/>
      </c>
      <c r="J163" s="77" t="str">
        <f>IF(I163="","",IF(AND(E163&gt;I163,E163&lt;&gt;T163),IF(VLOOKUP(A163,Test_Limits,5,FALSE)="PF","Fail","Info"),"Pass"))</f>
        <v/>
      </c>
      <c r="K163" s="328"/>
      <c r="L163" s="328"/>
      <c r="P163" s="272"/>
      <c r="Q163" s="272"/>
      <c r="R163" s="320">
        <f t="shared" si="6"/>
        <v>-1000000</v>
      </c>
      <c r="S163" s="320">
        <f t="shared" si="7"/>
        <v>1000000</v>
      </c>
      <c r="T163" s="320" t="e">
        <f>IF(VLOOKUP(A163,Test_Limits,7,FALSE)&lt;&gt;"",VLOOKUP(A163,Test_Limits,7,FALSE),"")</f>
        <v>#N/A</v>
      </c>
      <c r="U163" s="320">
        <f>IF(F163="",0,VLOOKUP(A163,Test_Limits,8,FALSE))</f>
        <v>0</v>
      </c>
      <c r="V163" s="320">
        <f t="shared" si="5"/>
        <v>0</v>
      </c>
      <c r="W163" s="321" t="e">
        <f>VLOOKUP(A163,Test_Limits,6,FALSE)</f>
        <v>#N/A</v>
      </c>
      <c r="X163" s="272"/>
    </row>
    <row r="164" spans="1:24" ht="13.8" x14ac:dyDescent="0.3">
      <c r="A164" s="9"/>
      <c r="B164" s="21"/>
      <c r="C164" s="65"/>
      <c r="D164" s="106" t="str">
        <f>IF(C164="","",MIN(B164:B164))</f>
        <v/>
      </c>
      <c r="E164" s="103" t="str">
        <f>IF(C164="","",MAX(B164:B164))</f>
        <v/>
      </c>
      <c r="F164" s="64" t="str">
        <f>IF(C164="","",IF(C164="    N/A","",IF(COUNTIF(B164:B164,"&gt;-1")&gt;0,ROUND((SUM(B164:B164)+COUNTIF(B164:B164,-1))/COUNTIF(B164:B164,"&gt;-1"),W164),ROUND(AVERAGE(B164:B164),W164))))</f>
        <v/>
      </c>
      <c r="G164" s="106" t="str">
        <f>IF(F164="","",IF(VLOOKUP(A164,Test_Limits,2,FALSE)="","",VLOOKUP(A164,Test_Limits,2,FALSE)))</f>
        <v/>
      </c>
      <c r="H164" s="77" t="str">
        <f>IF(G164="","",IF(AND(D164&lt;G164,D164&lt;&gt;T164),IF(VLOOKUP(A164,Test_Limits,5,FALSE)="PF","Fail","Info"),"Pass"))</f>
        <v/>
      </c>
      <c r="I164" s="103" t="str">
        <f>IF(F164="","",IF(VLOOKUP(A164,Test_Limits,3,FALSE)="","",VLOOKUP(A164,Test_Limits,3,FALSE)))</f>
        <v/>
      </c>
      <c r="J164" s="77" t="str">
        <f>IF(I164="","",IF(AND(E164&gt;I164,E164&lt;&gt;T164),IF(VLOOKUP(A164,Test_Limits,5,FALSE)="PF","Fail","Info"),"Pass"))</f>
        <v/>
      </c>
      <c r="K164" s="328"/>
      <c r="L164" s="328"/>
      <c r="P164" s="272"/>
      <c r="Q164" s="272"/>
      <c r="R164" s="320">
        <f t="shared" si="6"/>
        <v>-1000000</v>
      </c>
      <c r="S164" s="320">
        <f t="shared" si="7"/>
        <v>1000000</v>
      </c>
      <c r="T164" s="320" t="e">
        <f>IF(VLOOKUP(A164,Test_Limits,7,FALSE)&lt;&gt;"",VLOOKUP(A164,Test_Limits,7,FALSE),"")</f>
        <v>#N/A</v>
      </c>
      <c r="U164" s="320">
        <f>IF(F164="",0,VLOOKUP(A164,Test_Limits,8,FALSE))</f>
        <v>0</v>
      </c>
      <c r="V164" s="320">
        <f t="shared" si="5"/>
        <v>0</v>
      </c>
      <c r="W164" s="321" t="e">
        <f>VLOOKUP(A164,Test_Limits,6,FALSE)</f>
        <v>#N/A</v>
      </c>
      <c r="X164" s="272"/>
    </row>
    <row r="165" spans="1:24" ht="13.8" x14ac:dyDescent="0.3">
      <c r="A165" s="9"/>
      <c r="B165" s="21"/>
      <c r="C165" s="65"/>
      <c r="D165" s="106" t="str">
        <f>IF(C165="","",MIN(B165:B165))</f>
        <v/>
      </c>
      <c r="E165" s="103" t="str">
        <f>IF(C165="","",MAX(B165:B165))</f>
        <v/>
      </c>
      <c r="F165" s="64" t="str">
        <f>IF(C165="","",IF(C165="    N/A","",IF(COUNTIF(B165:B165,"&gt;-1")&gt;0,ROUND((SUM(B165:B165)+COUNTIF(B165:B165,-1))/COUNTIF(B165:B165,"&gt;-1"),W165),ROUND(AVERAGE(B165:B165),W165))))</f>
        <v/>
      </c>
      <c r="G165" s="106" t="str">
        <f>IF(F165="","",IF(VLOOKUP(A165,Test_Limits,2,FALSE)="","",VLOOKUP(A165,Test_Limits,2,FALSE)))</f>
        <v/>
      </c>
      <c r="H165" s="77" t="str">
        <f>IF(G165="","",IF(AND(D165&lt;G165,D165&lt;&gt;T165),IF(VLOOKUP(A165,Test_Limits,5,FALSE)="PF","Fail","Info"),"Pass"))</f>
        <v/>
      </c>
      <c r="I165" s="103" t="str">
        <f>IF(F165="","",IF(VLOOKUP(A165,Test_Limits,3,FALSE)="","",VLOOKUP(A165,Test_Limits,3,FALSE)))</f>
        <v/>
      </c>
      <c r="J165" s="77" t="str">
        <f>IF(I165="","",IF(AND(E165&gt;I165,E165&lt;&gt;T165),IF(VLOOKUP(A165,Test_Limits,5,FALSE)="PF","Fail","Info"),"Pass"))</f>
        <v/>
      </c>
      <c r="K165" s="328"/>
      <c r="L165" s="328"/>
      <c r="P165" s="272"/>
      <c r="Q165" s="272"/>
      <c r="R165" s="320">
        <f>IF(H165="Info",G165,IF(J165="Info",G165,-1000000))</f>
        <v>-1000000</v>
      </c>
      <c r="S165" s="320">
        <f>IF(H165="Info",I165,IF(J165="Info",I165,1000000))</f>
        <v>1000000</v>
      </c>
      <c r="T165" s="320" t="e">
        <f>IF(VLOOKUP(A165,Test_Limits,7,FALSE)&lt;&gt;"",VLOOKUP(A165,Test_Limits,7,FALSE),"")</f>
        <v>#N/A</v>
      </c>
      <c r="U165" s="320">
        <f>IF(F165="",0,VLOOKUP(A165,Test_Limits,8,FALSE))</f>
        <v>0</v>
      </c>
      <c r="V165" s="320">
        <f>IF(H165="Pass",IF(J165="Pass",U165,0),0)</f>
        <v>0</v>
      </c>
      <c r="W165" s="321" t="e">
        <f>VLOOKUP(A165,Test_Limits,6,FALSE)</f>
        <v>#N/A</v>
      </c>
      <c r="X165" s="272"/>
    </row>
    <row r="166" spans="1:24" ht="13.8" x14ac:dyDescent="0.3">
      <c r="A166" s="9"/>
      <c r="B166" s="21"/>
      <c r="C166" s="65"/>
      <c r="D166" s="106" t="str">
        <f>IF(C166="","",MIN(B166:B166))</f>
        <v/>
      </c>
      <c r="E166" s="103" t="str">
        <f>IF(C166="","",MAX(B166:B166))</f>
        <v/>
      </c>
      <c r="F166" s="64" t="str">
        <f>IF(C166="","",IF(C166="    N/A","",IF(COUNTIF(B166:B166,"&gt;-1")&gt;0,ROUND((SUM(B166:B166)+COUNTIF(B166:B166,-1))/COUNTIF(B166:B166,"&gt;-1"),W166),ROUND(AVERAGE(B166:B166),W166))))</f>
        <v/>
      </c>
      <c r="G166" s="106" t="str">
        <f>IF(F166="","",IF(VLOOKUP(A166,Test_Limits,2,FALSE)="","",VLOOKUP(A166,Test_Limits,2,FALSE)))</f>
        <v/>
      </c>
      <c r="H166" s="77" t="str">
        <f>IF(G166="","",IF(AND(D166&lt;G166,D166&lt;&gt;T166),IF(VLOOKUP(A166,Test_Limits,5,FALSE)="PF","Fail","Info"),"Pass"))</f>
        <v/>
      </c>
      <c r="I166" s="103" t="str">
        <f>IF(F166="","",IF(VLOOKUP(A166,Test_Limits,3,FALSE)="","",VLOOKUP(A166,Test_Limits,3,FALSE)))</f>
        <v/>
      </c>
      <c r="J166" s="77" t="str">
        <f>IF(I166="","",IF(AND(E166&gt;I166,E166&lt;&gt;T166),IF(VLOOKUP(A166,Test_Limits,5,FALSE)="PF","Fail","Info"),"Pass"))</f>
        <v/>
      </c>
      <c r="K166" s="328"/>
      <c r="L166" s="328"/>
      <c r="P166" s="272"/>
      <c r="Q166" s="272"/>
      <c r="R166" s="320">
        <f>IF(H166="Info",G166,IF(J166="Info",G166,-1000000))</f>
        <v>-1000000</v>
      </c>
      <c r="S166" s="320">
        <f>IF(H166="Info",I166,IF(J166="Info",I166,1000000))</f>
        <v>1000000</v>
      </c>
      <c r="T166" s="320" t="e">
        <f>IF(VLOOKUP(A166,Test_Limits,7,FALSE)&lt;&gt;"",VLOOKUP(A166,Test_Limits,7,FALSE),"")</f>
        <v>#N/A</v>
      </c>
      <c r="U166" s="320">
        <f>IF(F166="",0,VLOOKUP(A166,Test_Limits,8,FALSE))</f>
        <v>0</v>
      </c>
      <c r="V166" s="320">
        <f>IF(H166="Pass",IF(J166="Pass",U166,0),0)</f>
        <v>0</v>
      </c>
      <c r="W166" s="321" t="e">
        <f>VLOOKUP(A166,Test_Limits,6,FALSE)</f>
        <v>#N/A</v>
      </c>
      <c r="X166" s="272"/>
    </row>
    <row r="167" spans="1:24" ht="13.8" x14ac:dyDescent="0.3">
      <c r="A167" s="9"/>
      <c r="B167" s="21"/>
      <c r="C167" s="65"/>
      <c r="D167" s="106" t="str">
        <f>IF(C167="","",MIN(B167:B167))</f>
        <v/>
      </c>
      <c r="E167" s="103" t="str">
        <f>IF(C167="","",MAX(B167:B167))</f>
        <v/>
      </c>
      <c r="F167" s="64" t="str">
        <f>IF(C167="","",IF(C167="    N/A","",IF(COUNTIF(B167:B167,"&gt;-1")&gt;0,ROUND((SUM(B167:B167)+COUNTIF(B167:B167,-1))/COUNTIF(B167:B167,"&gt;-1"),W167),ROUND(AVERAGE(B167:B167),W167))))</f>
        <v/>
      </c>
      <c r="G167" s="106" t="str">
        <f>IF(F167="","",IF(VLOOKUP(A167,Test_Limits,2,FALSE)="","",VLOOKUP(A167,Test_Limits,2,FALSE)))</f>
        <v/>
      </c>
      <c r="H167" s="77" t="str">
        <f>IF(G167="","",IF(AND(D167&lt;G167,D167&lt;&gt;T167),IF(VLOOKUP(A167,Test_Limits,5,FALSE)="PF","Fail","Info"),"Pass"))</f>
        <v/>
      </c>
      <c r="I167" s="103" t="str">
        <f>IF(F167="","",IF(VLOOKUP(A167,Test_Limits,3,FALSE)="","",VLOOKUP(A167,Test_Limits,3,FALSE)))</f>
        <v/>
      </c>
      <c r="J167" s="77" t="str">
        <f>IF(I167="","",IF(AND(E167&gt;I167,E167&lt;&gt;T167),IF(VLOOKUP(A167,Test_Limits,5,FALSE)="PF","Fail","Info"),"Pass"))</f>
        <v/>
      </c>
      <c r="K167" s="328"/>
      <c r="L167" s="328"/>
      <c r="P167" s="272"/>
      <c r="Q167" s="272"/>
      <c r="R167" s="323" t="s">
        <v>403</v>
      </c>
      <c r="S167" s="320"/>
      <c r="T167" s="320"/>
      <c r="U167" s="320">
        <f>SUM(U10:U166)</f>
        <v>331</v>
      </c>
      <c r="V167" s="320">
        <f>SUM(V10:V166)</f>
        <v>330</v>
      </c>
      <c r="W167" s="321" t="e">
        <f>VLOOKUP(A167,Test_Limits,6,FALSE)</f>
        <v>#N/A</v>
      </c>
      <c r="X167" s="272"/>
    </row>
    <row r="168" spans="1:24" ht="13.8" x14ac:dyDescent="0.3">
      <c r="A168" s="9"/>
      <c r="B168" s="21"/>
      <c r="C168" s="65"/>
      <c r="D168" s="106" t="str">
        <f>IF(C168="","",MIN(B168:B168))</f>
        <v/>
      </c>
      <c r="E168" s="103" t="str">
        <f>IF(C168="","",MAX(B168:B168))</f>
        <v/>
      </c>
      <c r="F168" s="64" t="str">
        <f>IF(C168="","",IF(C168="    N/A","",IF(COUNTIF(B168:B168,"&gt;-1")&gt;0,ROUND((SUM(B168:B168)+COUNTIF(B168:B168,-1))/COUNTIF(B168:B168,"&gt;-1"),W168),ROUND(AVERAGE(B168:B168),W168))))</f>
        <v/>
      </c>
      <c r="G168" s="106" t="str">
        <f>IF(F168="","",IF(VLOOKUP(A168,Test_Limits,2,FALSE)="","",VLOOKUP(A168,Test_Limits,2,FALSE)))</f>
        <v/>
      </c>
      <c r="H168" s="77" t="str">
        <f>IF(G168="","",IF(AND(D168&lt;G168,D168&lt;&gt;T168),IF(VLOOKUP(A168,Test_Limits,5,FALSE)="PF","Fail","Info"),"Pass"))</f>
        <v/>
      </c>
      <c r="I168" s="103" t="str">
        <f>IF(F168="","",IF(VLOOKUP(A168,Test_Limits,3,FALSE)="","",VLOOKUP(A168,Test_Limits,3,FALSE)))</f>
        <v/>
      </c>
      <c r="J168" s="77" t="str">
        <f>IF(I168="","",IF(AND(E168&gt;I168,E168&lt;&gt;T168),IF(VLOOKUP(A168,Test_Limits,5,FALSE)="PF","Fail","Info"),"Pass"))</f>
        <v/>
      </c>
      <c r="K168" s="328"/>
      <c r="L168" s="328"/>
      <c r="P168" s="272"/>
      <c r="Q168" s="272"/>
      <c r="R168" s="323" t="s">
        <v>381</v>
      </c>
      <c r="S168" s="320"/>
      <c r="T168" s="320"/>
      <c r="U168" s="320"/>
      <c r="V168" s="320">
        <f>V167/U167</f>
        <v>0.99697885196374625</v>
      </c>
      <c r="W168" s="321"/>
      <c r="X168" s="272"/>
    </row>
    <row r="169" spans="1:24" ht="13.8" x14ac:dyDescent="0.3">
      <c r="A169" s="9"/>
      <c r="B169" s="21"/>
      <c r="C169" s="65"/>
      <c r="D169" s="106" t="str">
        <f>IF(C169="","",MIN(B169:B169))</f>
        <v/>
      </c>
      <c r="E169" s="103" t="str">
        <f>IF(C169="","",MAX(B169:B169))</f>
        <v/>
      </c>
      <c r="F169" s="64" t="str">
        <f>IF(C169="","",IF(C169="    N/A","",IF(COUNTIF(B169:B169,"&gt;-1")&gt;0,ROUND((SUM(B169:B169)+COUNTIF(B169:B169,-1))/COUNTIF(B169:B169,"&gt;-1"),W169),ROUND(AVERAGE(B169:B169),W169))))</f>
        <v/>
      </c>
      <c r="G169" s="106" t="str">
        <f>IF(F169="","",IF(VLOOKUP(A169,Test_Limits,2,FALSE)="","",VLOOKUP(A169,Test_Limits,2,FALSE)))</f>
        <v/>
      </c>
      <c r="H169" s="77" t="str">
        <f>IF(G169="","",IF(AND(D169&lt;G169,D169&lt;&gt;T169),IF(VLOOKUP(A169,Test_Limits,5,FALSE)="PF","Fail","Info"),"Pass"))</f>
        <v/>
      </c>
      <c r="I169" s="103" t="str">
        <f>IF(F169="","",IF(VLOOKUP(A169,Test_Limits,3,FALSE)="","",VLOOKUP(A169,Test_Limits,3,FALSE)))</f>
        <v/>
      </c>
      <c r="J169" s="77" t="str">
        <f>IF(I169="","",IF(AND(E169&gt;I169,E169&lt;&gt;T169),IF(VLOOKUP(A169,Test_Limits,5,FALSE)="PF","Fail","Info"),"Pass"))</f>
        <v/>
      </c>
      <c r="K169" s="328"/>
      <c r="L169" s="328"/>
      <c r="P169" s="272"/>
      <c r="Q169" s="272"/>
      <c r="R169" s="178" t="s">
        <v>401</v>
      </c>
      <c r="S169" s="178"/>
      <c r="T169" s="178"/>
      <c r="U169" s="178"/>
      <c r="V169" s="178">
        <f>COUNTIF(A9:A166,"Test:*")</f>
        <v>19</v>
      </c>
      <c r="W169" s="178"/>
      <c r="X169" s="272"/>
    </row>
    <row r="170" spans="1:24" x14ac:dyDescent="0.25">
      <c r="A170" s="326"/>
      <c r="B170" s="327"/>
      <c r="C170" s="328"/>
      <c r="D170" s="328"/>
      <c r="E170" s="328"/>
      <c r="F170" s="328"/>
      <c r="G170" s="328"/>
      <c r="H170" s="328"/>
      <c r="I170" s="328"/>
      <c r="J170" s="328"/>
      <c r="K170" s="328"/>
      <c r="L170" s="328"/>
      <c r="P170" s="272"/>
      <c r="Q170" s="272"/>
      <c r="R170" s="178" t="s">
        <v>402</v>
      </c>
      <c r="S170" s="178"/>
      <c r="T170" s="178"/>
      <c r="U170" s="178"/>
      <c r="V170" s="178">
        <f>158-COUNTIF(C9:C166,"")</f>
        <v>106</v>
      </c>
      <c r="W170" s="178"/>
      <c r="X170" s="272"/>
    </row>
    <row r="171" spans="1:24" x14ac:dyDescent="0.25">
      <c r="A171" s="329" t="s">
        <v>650</v>
      </c>
      <c r="B171" s="330" t="str">
        <f>IF(Version&lt;Min_AT_Version,IF(PD_Pwr="Type-2",Version,""),IF(TEXT(MinFwVer,"0.00")&lt;MinReqdFwVer,Version,""))</f>
        <v/>
      </c>
      <c r="C171" s="328"/>
      <c r="D171" s="328"/>
      <c r="E171" s="328"/>
      <c r="F171" s="328"/>
      <c r="G171" s="328"/>
      <c r="H171" s="328"/>
      <c r="I171" s="328"/>
      <c r="J171" s="328"/>
      <c r="K171" s="328"/>
      <c r="L171" s="328"/>
      <c r="P171" s="272"/>
      <c r="Q171" s="272"/>
      <c r="R171" s="272"/>
      <c r="S171" s="272"/>
      <c r="T171" s="272"/>
      <c r="U171" s="272"/>
      <c r="V171" s="272"/>
      <c r="W171" s="272"/>
      <c r="X171" s="272"/>
    </row>
    <row r="172" spans="1:24" x14ac:dyDescent="0.25">
      <c r="A172" s="331"/>
      <c r="B172" s="328"/>
      <c r="C172" s="328"/>
      <c r="D172" s="328"/>
      <c r="E172" s="328"/>
      <c r="F172" s="328"/>
      <c r="G172" s="328"/>
      <c r="H172" s="332"/>
      <c r="I172" s="328"/>
      <c r="J172" s="328"/>
      <c r="K172" s="328"/>
      <c r="L172" s="328"/>
      <c r="P172" s="272"/>
      <c r="Q172" s="272"/>
      <c r="R172" s="272"/>
      <c r="S172" s="272"/>
      <c r="T172" s="272"/>
      <c r="U172" s="272"/>
      <c r="V172" s="272"/>
      <c r="W172" s="272"/>
      <c r="X172" s="272"/>
    </row>
    <row r="173" spans="1:24" x14ac:dyDescent="0.25">
      <c r="A173" s="331"/>
      <c r="B173" s="328"/>
      <c r="C173" s="328"/>
      <c r="D173" s="328"/>
      <c r="E173" s="328"/>
      <c r="F173" s="328"/>
      <c r="G173" s="328"/>
      <c r="H173" s="328"/>
      <c r="I173" s="328"/>
      <c r="J173" s="328"/>
      <c r="K173" s="328"/>
      <c r="L173" s="328"/>
      <c r="P173" s="272"/>
      <c r="Q173" s="272"/>
      <c r="R173" s="272"/>
      <c r="S173" s="272"/>
      <c r="T173" s="272"/>
      <c r="U173" s="272"/>
      <c r="V173" s="272"/>
      <c r="W173" s="272"/>
      <c r="X173" s="272"/>
    </row>
    <row r="174" spans="1:24" x14ac:dyDescent="0.25">
      <c r="A174" s="181"/>
      <c r="P174" s="272"/>
      <c r="Q174" s="272"/>
      <c r="R174" s="272"/>
      <c r="S174" s="272"/>
      <c r="T174" s="272"/>
      <c r="U174" s="272"/>
      <c r="V174" s="272"/>
      <c r="W174" s="272"/>
      <c r="X174" s="272"/>
    </row>
    <row r="175" spans="1:24" x14ac:dyDescent="0.25">
      <c r="A175" s="181"/>
      <c r="B175" s="38"/>
    </row>
    <row r="176" spans="1:24" x14ac:dyDescent="0.25">
      <c r="A176" s="181"/>
      <c r="B176" s="38"/>
    </row>
    <row r="177" spans="1:2" x14ac:dyDescent="0.25">
      <c r="A177" s="181"/>
      <c r="B177" s="38"/>
    </row>
    <row r="178" spans="1:2" x14ac:dyDescent="0.25">
      <c r="A178" s="181"/>
      <c r="B178" s="38"/>
    </row>
    <row r="179" spans="1:2" x14ac:dyDescent="0.25">
      <c r="A179" s="181"/>
      <c r="B179" s="38"/>
    </row>
    <row r="180" spans="1:2" x14ac:dyDescent="0.25">
      <c r="A180" s="181"/>
      <c r="B180" s="38"/>
    </row>
    <row r="181" spans="1:2" x14ac:dyDescent="0.25">
      <c r="A181" s="181"/>
      <c r="B181" s="38"/>
    </row>
  </sheetData>
  <mergeCells count="9">
    <mergeCell ref="B7:C7"/>
    <mergeCell ref="A1:B1"/>
    <mergeCell ref="E5:J5"/>
    <mergeCell ref="E3:F3"/>
    <mergeCell ref="G3:H3"/>
    <mergeCell ref="G4:H4"/>
    <mergeCell ref="D4:F4"/>
    <mergeCell ref="A5:B5"/>
    <mergeCell ref="I4:J4"/>
  </mergeCells>
  <phoneticPr fontId="0" type="noConversion"/>
  <conditionalFormatting sqref="A9:A27 A161:A169 A29:A151">
    <cfRule type="cellIs" dxfId="29" priority="1131" stopIfTrue="1" operator="greaterThan">
      <formula>"""Test:"""</formula>
    </cfRule>
  </conditionalFormatting>
  <conditionalFormatting sqref="H9:H169">
    <cfRule type="cellIs" dxfId="28" priority="1117" stopIfTrue="1" operator="equal">
      <formula>"Pass"</formula>
    </cfRule>
    <cfRule type="cellIs" dxfId="27" priority="1118" stopIfTrue="1" operator="equal">
      <formula>"Fail"</formula>
    </cfRule>
    <cfRule type="cellIs" dxfId="26" priority="1119" stopIfTrue="1" operator="equal">
      <formula>"Info"</formula>
    </cfRule>
  </conditionalFormatting>
  <conditionalFormatting sqref="E5:J5">
    <cfRule type="cellIs" dxfId="25" priority="1129" stopIfTrue="1" operator="notEqual">
      <formula>"None"</formula>
    </cfRule>
  </conditionalFormatting>
  <conditionalFormatting sqref="B7:C7">
    <cfRule type="cellIs" dxfId="24" priority="1130" stopIfTrue="1" operator="equal">
      <formula>"PSA-1200 Ports"</formula>
    </cfRule>
  </conditionalFormatting>
  <conditionalFormatting sqref="A9">
    <cfRule type="cellIs" dxfId="23" priority="538" stopIfTrue="1" operator="equal">
      <formula>"Test Port Firmware Version:"</formula>
    </cfRule>
    <cfRule type="cellIs" dxfId="22" priority="539" stopIfTrue="1" operator="equal">
      <formula>"Test Port Hardware Version:"</formula>
    </cfRule>
  </conditionalFormatting>
  <conditionalFormatting sqref="A10">
    <cfRule type="cellIs" dxfId="21" priority="536" stopIfTrue="1" operator="equal">
      <formula>"Test Port Firmware Version:"</formula>
    </cfRule>
    <cfRule type="cellIs" dxfId="20" priority="537" stopIfTrue="1" operator="equal">
      <formula>"Test Port Hardware Version:"</formula>
    </cfRule>
  </conditionalFormatting>
  <conditionalFormatting sqref="A11:A27 A161:A169 A29:A151">
    <cfRule type="cellIs" dxfId="19" priority="534" stopIfTrue="1" operator="equal">
      <formula>"Test Port Model Number:"</formula>
    </cfRule>
  </conditionalFormatting>
  <conditionalFormatting sqref="J9:J169">
    <cfRule type="cellIs" dxfId="18" priority="96" stopIfTrue="1" operator="equal">
      <formula>"Pass"</formula>
    </cfRule>
    <cfRule type="cellIs" dxfId="17" priority="97" stopIfTrue="1" operator="equal">
      <formula>"Fail"</formula>
    </cfRule>
    <cfRule type="cellIs" dxfId="16" priority="98" stopIfTrue="1" operator="equal">
      <formula>"Info"</formula>
    </cfRule>
  </conditionalFormatting>
  <conditionalFormatting sqref="A11:A27 A161:A169 A29:A151">
    <cfRule type="cellIs" dxfId="15" priority="94" stopIfTrue="1" operator="equal">
      <formula>"Test Port Firmware Version:"</formula>
    </cfRule>
    <cfRule type="cellIs" dxfId="14" priority="95" stopIfTrue="1" operator="equal">
      <formula>"Test Port Hardware Version:"</formula>
    </cfRule>
  </conditionalFormatting>
  <conditionalFormatting sqref="I4:J4">
    <cfRule type="expression" dxfId="13" priority="81">
      <formula>RIGHT(A7,15)="000.000.000.000"</formula>
    </cfRule>
  </conditionalFormatting>
  <conditionalFormatting sqref="A152:A160">
    <cfRule type="cellIs" dxfId="12" priority="62" stopIfTrue="1" operator="greaterThan">
      <formula>"""Test:"""</formula>
    </cfRule>
  </conditionalFormatting>
  <conditionalFormatting sqref="A152:A160">
    <cfRule type="cellIs" dxfId="11" priority="52" stopIfTrue="1" operator="equal">
      <formula>"Test Port Model Number:"</formula>
    </cfRule>
  </conditionalFormatting>
  <conditionalFormatting sqref="A152:A160">
    <cfRule type="cellIs" dxfId="10" priority="47" stopIfTrue="1" operator="equal">
      <formula>"Test Port Firmware Version:"</formula>
    </cfRule>
    <cfRule type="cellIs" dxfId="9" priority="48" stopIfTrue="1" operator="equal">
      <formula>"Test Port Hardware Version:"</formula>
    </cfRule>
  </conditionalFormatting>
  <conditionalFormatting sqref="A28">
    <cfRule type="cellIs" dxfId="8" priority="40" stopIfTrue="1" operator="greaterThan">
      <formula>"""Test:"""</formula>
    </cfRule>
  </conditionalFormatting>
  <conditionalFormatting sqref="A28">
    <cfRule type="cellIs" dxfId="7" priority="30" stopIfTrue="1" operator="equal">
      <formula>"Test Port Model Number:"</formula>
    </cfRule>
  </conditionalFormatting>
  <conditionalFormatting sqref="A28">
    <cfRule type="cellIs" dxfId="6" priority="25" stopIfTrue="1" operator="equal">
      <formula>"Test Port Firmware Version:"</formula>
    </cfRule>
    <cfRule type="cellIs" dxfId="5" priority="26" stopIfTrue="1" operator="equal">
      <formula>"Test Port Hardware Version:"</formula>
    </cfRule>
  </conditionalFormatting>
  <conditionalFormatting sqref="B9:B133 B137:B169">
    <cfRule type="cellIs" dxfId="4" priority="34" stopIfTrue="1" operator="equal">
      <formula>"See Log!"</formula>
    </cfRule>
    <cfRule type="expression" dxfId="3" priority="35" stopIfTrue="1">
      <formula>AND($C9&lt;&gt;"",B9&lt;&gt;$T9,OR(B9&lt;$R9,B9&gt;$S9))</formula>
    </cfRule>
    <cfRule type="expression" dxfId="2" priority="36" stopIfTrue="1">
      <formula>AND($C9&lt;&gt;"",B9&lt;&gt;$T9,OR(B9&lt;$G9,B9&gt;$I9))</formula>
    </cfRule>
  </conditionalFormatting>
  <pageMargins left="0.75" right="0.75" top="0.5" bottom="0.5" header="0.5" footer="0.5"/>
  <pageSetup scale="25"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P191"/>
  <sheetViews>
    <sheetView workbookViewId="0"/>
  </sheetViews>
  <sheetFormatPr defaultRowHeight="13.2" x14ac:dyDescent="0.25"/>
  <cols>
    <col min="2" max="2" width="33" customWidth="1"/>
    <col min="3" max="3" width="11.5546875" customWidth="1"/>
    <col min="4" max="4" width="11.44140625" customWidth="1"/>
    <col min="5" max="6" width="9.5546875" customWidth="1"/>
    <col min="7" max="7" width="11.109375" customWidth="1"/>
    <col min="8" max="8" width="9.5546875" customWidth="1"/>
    <col min="9" max="9" width="10.5546875" customWidth="1"/>
    <col min="11" max="11" width="10.88671875" customWidth="1"/>
    <col min="12" max="12" width="9.6640625" customWidth="1"/>
    <col min="13" max="13" width="11" customWidth="1"/>
    <col min="14" max="14" width="9.33203125" customWidth="1"/>
    <col min="15" max="15" width="4.5546875" customWidth="1"/>
    <col min="16" max="16" width="9.109375" customWidth="1"/>
  </cols>
  <sheetData>
    <row r="1" spans="1:16" x14ac:dyDescent="0.25">
      <c r="A1" s="72"/>
      <c r="B1" s="72"/>
      <c r="C1" s="72"/>
      <c r="D1" s="72"/>
      <c r="E1" s="72"/>
      <c r="F1" s="72"/>
      <c r="G1" s="72"/>
      <c r="H1" s="72"/>
      <c r="I1" s="72"/>
      <c r="J1" s="72"/>
      <c r="K1" s="72"/>
      <c r="L1" s="72"/>
      <c r="M1" s="72"/>
      <c r="N1" s="72"/>
      <c r="O1" s="72"/>
    </row>
    <row r="2" spans="1:16" ht="13.8" x14ac:dyDescent="0.25">
      <c r="A2" s="72"/>
      <c r="B2" s="123" t="s">
        <v>448</v>
      </c>
      <c r="C2" s="125" t="s">
        <v>400</v>
      </c>
      <c r="D2" s="126" t="s">
        <v>377</v>
      </c>
      <c r="E2" s="127" t="s">
        <v>399</v>
      </c>
      <c r="F2" s="128" t="s">
        <v>94</v>
      </c>
      <c r="G2" s="129" t="s">
        <v>376</v>
      </c>
      <c r="H2" s="130" t="s">
        <v>90</v>
      </c>
      <c r="I2" s="131" t="s">
        <v>87</v>
      </c>
      <c r="J2" s="124">
        <v>3000</v>
      </c>
      <c r="K2" s="180" t="s">
        <v>383</v>
      </c>
      <c r="L2" s="182" t="s">
        <v>652</v>
      </c>
      <c r="M2" s="198" t="s">
        <v>409</v>
      </c>
      <c r="N2" s="199" t="s">
        <v>436</v>
      </c>
      <c r="O2" s="72"/>
    </row>
    <row r="3" spans="1:16" x14ac:dyDescent="0.25">
      <c r="A3" s="72"/>
      <c r="B3" s="72"/>
      <c r="C3" s="72"/>
      <c r="D3" s="72"/>
      <c r="E3" s="72"/>
      <c r="F3" s="72"/>
      <c r="G3" s="72"/>
      <c r="H3" s="72"/>
      <c r="I3" s="72"/>
      <c r="J3" s="72"/>
      <c r="K3" s="72"/>
      <c r="L3" s="72"/>
      <c r="M3" s="72"/>
      <c r="N3" s="72"/>
      <c r="O3" s="72"/>
    </row>
    <row r="4" spans="1:16" ht="14.4" thickBot="1" x14ac:dyDescent="0.3">
      <c r="A4" s="72"/>
      <c r="B4" s="118" t="s">
        <v>275</v>
      </c>
      <c r="C4" s="118" t="s">
        <v>271</v>
      </c>
      <c r="D4" s="118" t="s">
        <v>272</v>
      </c>
      <c r="E4" s="118" t="s">
        <v>277</v>
      </c>
      <c r="F4" s="118" t="s">
        <v>321</v>
      </c>
      <c r="G4" s="118" t="s">
        <v>396</v>
      </c>
      <c r="H4" s="118" t="s">
        <v>638</v>
      </c>
      <c r="I4" s="118" t="s">
        <v>44</v>
      </c>
      <c r="J4" s="72"/>
      <c r="K4" s="254" t="s">
        <v>92</v>
      </c>
      <c r="L4" s="255"/>
      <c r="M4" s="255"/>
      <c r="N4" s="256"/>
      <c r="O4" s="72"/>
      <c r="P4" s="72"/>
    </row>
    <row r="5" spans="1:16" x14ac:dyDescent="0.25">
      <c r="A5" s="72"/>
      <c r="B5" s="136" t="s">
        <v>256</v>
      </c>
      <c r="C5" s="137"/>
      <c r="D5" s="137"/>
      <c r="E5" s="137"/>
      <c r="F5" s="137"/>
      <c r="G5" s="137"/>
      <c r="H5" s="137"/>
      <c r="I5" s="137"/>
      <c r="J5" s="72"/>
      <c r="K5" s="356" t="s">
        <v>433</v>
      </c>
      <c r="L5" s="357"/>
      <c r="M5" s="119" t="s">
        <v>377</v>
      </c>
      <c r="N5" s="257" t="s">
        <v>378</v>
      </c>
      <c r="O5" s="72"/>
      <c r="P5" s="72"/>
    </row>
    <row r="6" spans="1:16" ht="13.8" x14ac:dyDescent="0.3">
      <c r="A6" s="72"/>
      <c r="B6" s="10" t="s">
        <v>285</v>
      </c>
      <c r="C6" s="1">
        <v>2.8</v>
      </c>
      <c r="D6" s="1">
        <v>30</v>
      </c>
      <c r="E6" s="3" t="s">
        <v>644</v>
      </c>
      <c r="F6" s="3" t="s">
        <v>322</v>
      </c>
      <c r="G6" s="3">
        <v>2</v>
      </c>
      <c r="H6" s="3"/>
      <c r="I6" s="3">
        <v>3</v>
      </c>
      <c r="J6" s="72"/>
      <c r="K6" s="354" t="s">
        <v>434</v>
      </c>
      <c r="L6" s="355"/>
      <c r="M6" s="120" t="s">
        <v>93</v>
      </c>
      <c r="N6" s="121" t="s">
        <v>94</v>
      </c>
      <c r="O6" s="72"/>
      <c r="P6" s="72"/>
    </row>
    <row r="7" spans="1:16" ht="13.8" x14ac:dyDescent="0.3">
      <c r="A7" s="72"/>
      <c r="B7" s="11" t="s">
        <v>286</v>
      </c>
      <c r="C7" s="2">
        <v>3.8</v>
      </c>
      <c r="D7" s="2">
        <v>10</v>
      </c>
      <c r="E7" s="4" t="s">
        <v>644</v>
      </c>
      <c r="F7" s="3" t="s">
        <v>322</v>
      </c>
      <c r="G7" s="3">
        <v>1</v>
      </c>
      <c r="H7" s="3"/>
      <c r="I7" s="3">
        <v>5</v>
      </c>
      <c r="J7" s="72"/>
      <c r="K7" s="376" t="s">
        <v>88</v>
      </c>
      <c r="L7" s="377"/>
      <c r="M7" s="120" t="s">
        <v>89</v>
      </c>
      <c r="N7" s="257" t="s">
        <v>90</v>
      </c>
      <c r="O7" s="72"/>
      <c r="P7" s="72"/>
    </row>
    <row r="8" spans="1:16" ht="13.8" x14ac:dyDescent="0.3">
      <c r="A8" s="72"/>
      <c r="B8" s="11" t="s">
        <v>287</v>
      </c>
      <c r="C8" s="2">
        <v>2.8</v>
      </c>
      <c r="D8" s="2">
        <v>9</v>
      </c>
      <c r="E8" s="4" t="s">
        <v>644</v>
      </c>
      <c r="F8" s="3" t="s">
        <v>322</v>
      </c>
      <c r="G8" s="3">
        <v>1</v>
      </c>
      <c r="H8" s="3"/>
      <c r="I8" s="3">
        <v>5</v>
      </c>
      <c r="J8" s="72"/>
      <c r="K8" s="376"/>
      <c r="L8" s="377"/>
      <c r="M8" s="252" t="s">
        <v>91</v>
      </c>
      <c r="N8" s="258" t="s">
        <v>432</v>
      </c>
      <c r="O8" s="72"/>
      <c r="P8" s="72"/>
    </row>
    <row r="9" spans="1:16" ht="13.8" x14ac:dyDescent="0.3">
      <c r="A9" s="72"/>
      <c r="B9" s="11" t="s">
        <v>288</v>
      </c>
      <c r="C9" s="2">
        <v>1</v>
      </c>
      <c r="D9" s="2">
        <v>7.2</v>
      </c>
      <c r="E9" s="4" t="s">
        <v>644</v>
      </c>
      <c r="F9" s="3" t="s">
        <v>322</v>
      </c>
      <c r="G9" s="3">
        <v>1</v>
      </c>
      <c r="H9" s="3"/>
      <c r="I9" s="3">
        <v>5</v>
      </c>
      <c r="J9" s="72"/>
      <c r="K9" s="378" t="s">
        <v>437</v>
      </c>
      <c r="L9" s="379"/>
      <c r="M9" s="253" t="s">
        <v>435</v>
      </c>
      <c r="N9" s="259" t="s">
        <v>436</v>
      </c>
      <c r="O9" s="72"/>
      <c r="P9" s="72"/>
    </row>
    <row r="10" spans="1:16" ht="13.8" x14ac:dyDescent="0.3">
      <c r="A10" s="72"/>
      <c r="B10" s="11" t="s">
        <v>289</v>
      </c>
      <c r="C10" s="2">
        <v>0</v>
      </c>
      <c r="D10" s="2">
        <v>0.1</v>
      </c>
      <c r="E10" s="4" t="s">
        <v>278</v>
      </c>
      <c r="F10" s="3" t="s">
        <v>322</v>
      </c>
      <c r="G10" s="3">
        <v>4</v>
      </c>
      <c r="H10" s="3"/>
      <c r="I10" s="3">
        <v>1</v>
      </c>
      <c r="J10" s="72"/>
      <c r="K10" s="72"/>
      <c r="L10" s="72"/>
      <c r="M10" s="72"/>
      <c r="N10" s="72"/>
      <c r="O10" s="72"/>
      <c r="P10" s="72"/>
    </row>
    <row r="11" spans="1:16" ht="13.8" x14ac:dyDescent="0.3">
      <c r="A11" s="72"/>
      <c r="B11" s="11" t="s">
        <v>290</v>
      </c>
      <c r="C11" s="2">
        <v>1</v>
      </c>
      <c r="D11" s="2">
        <v>9</v>
      </c>
      <c r="E11" s="4" t="s">
        <v>645</v>
      </c>
      <c r="F11" s="3" t="s">
        <v>322</v>
      </c>
      <c r="G11" s="3">
        <v>1</v>
      </c>
      <c r="H11" s="3"/>
      <c r="I11" s="3">
        <v>5</v>
      </c>
      <c r="J11" s="72"/>
      <c r="K11" s="72"/>
      <c r="L11" s="72"/>
      <c r="M11" s="72"/>
      <c r="N11" s="72"/>
      <c r="O11" s="72"/>
      <c r="P11" s="72"/>
    </row>
    <row r="12" spans="1:16" ht="14.4" thickBot="1" x14ac:dyDescent="0.35">
      <c r="A12" s="72"/>
      <c r="B12" s="11" t="s">
        <v>98</v>
      </c>
      <c r="C12" s="2">
        <v>0</v>
      </c>
      <c r="D12" s="122">
        <f>IF(ALT="Alt-B",2.8,IF(HighPwrGrant="PHY",2.8,9))</f>
        <v>2.8</v>
      </c>
      <c r="E12" s="4" t="s">
        <v>644</v>
      </c>
      <c r="F12" s="3" t="s">
        <v>322</v>
      </c>
      <c r="G12" s="3">
        <v>1</v>
      </c>
      <c r="H12" s="3"/>
      <c r="I12" s="122">
        <f>IF(HighPwrGrant="PHY",5,1)</f>
        <v>5</v>
      </c>
      <c r="J12" s="72"/>
      <c r="K12" s="117" t="s">
        <v>215</v>
      </c>
      <c r="L12" s="72"/>
      <c r="M12" s="72"/>
      <c r="N12" s="72"/>
      <c r="O12" s="72"/>
      <c r="P12" s="72"/>
    </row>
    <row r="13" spans="1:16" ht="13.8" x14ac:dyDescent="0.3">
      <c r="A13" s="72"/>
      <c r="B13" s="11" t="s">
        <v>63</v>
      </c>
      <c r="C13" s="2">
        <v>0</v>
      </c>
      <c r="D13" s="2">
        <v>0</v>
      </c>
      <c r="E13" s="4" t="s">
        <v>62</v>
      </c>
      <c r="F13" s="3" t="s">
        <v>323</v>
      </c>
      <c r="G13" s="3">
        <v>0</v>
      </c>
      <c r="H13" s="3"/>
      <c r="I13" s="3">
        <v>0</v>
      </c>
      <c r="J13" s="72"/>
      <c r="K13" s="358" t="s">
        <v>83</v>
      </c>
      <c r="L13" s="359"/>
      <c r="M13" s="359"/>
      <c r="N13" s="360"/>
      <c r="O13" s="72"/>
      <c r="P13" s="72"/>
    </row>
    <row r="14" spans="1:16" ht="13.8" x14ac:dyDescent="0.3">
      <c r="A14" s="72"/>
      <c r="B14" s="11" t="s">
        <v>61</v>
      </c>
      <c r="C14" s="2">
        <v>0</v>
      </c>
      <c r="D14" s="2">
        <v>2</v>
      </c>
      <c r="E14" s="4" t="s">
        <v>62</v>
      </c>
      <c r="F14" s="3" t="s">
        <v>322</v>
      </c>
      <c r="G14" s="3">
        <v>0</v>
      </c>
      <c r="H14" s="3"/>
      <c r="I14" s="3">
        <v>3</v>
      </c>
      <c r="J14" s="72"/>
      <c r="K14" s="232" t="s">
        <v>379</v>
      </c>
      <c r="L14" s="233"/>
      <c r="M14" s="233"/>
      <c r="N14" s="249"/>
      <c r="O14" s="72"/>
      <c r="P14" s="72"/>
    </row>
    <row r="15" spans="1:16" x14ac:dyDescent="0.25">
      <c r="A15" s="72"/>
      <c r="B15" s="138" t="s">
        <v>257</v>
      </c>
      <c r="C15" s="139"/>
      <c r="D15" s="139"/>
      <c r="E15" s="140"/>
      <c r="F15" s="140"/>
      <c r="G15" s="140"/>
      <c r="H15" s="140"/>
      <c r="I15" s="140"/>
      <c r="J15" s="72"/>
      <c r="K15" s="225" t="s">
        <v>422</v>
      </c>
      <c r="L15" s="218"/>
      <c r="M15" s="218"/>
      <c r="N15" s="250"/>
      <c r="O15" s="72"/>
      <c r="P15" s="72"/>
    </row>
    <row r="16" spans="1:16" ht="13.8" x14ac:dyDescent="0.3">
      <c r="A16" s="72"/>
      <c r="B16" s="10" t="s">
        <v>309</v>
      </c>
      <c r="C16" s="1">
        <v>0</v>
      </c>
      <c r="D16" s="1">
        <v>5</v>
      </c>
      <c r="E16" s="3" t="s">
        <v>279</v>
      </c>
      <c r="F16" s="3" t="s">
        <v>322</v>
      </c>
      <c r="G16" s="3">
        <v>2</v>
      </c>
      <c r="H16" s="3"/>
      <c r="I16" s="3">
        <v>1</v>
      </c>
      <c r="J16" s="72"/>
      <c r="K16" s="229" t="s">
        <v>421</v>
      </c>
      <c r="L16" s="230"/>
      <c r="M16" s="230"/>
      <c r="N16" s="231"/>
      <c r="O16" s="72"/>
      <c r="P16" s="72"/>
    </row>
    <row r="17" spans="1:16" ht="13.8" x14ac:dyDescent="0.3">
      <c r="A17" s="72"/>
      <c r="B17" s="11" t="s">
        <v>291</v>
      </c>
      <c r="C17" s="2">
        <v>0</v>
      </c>
      <c r="D17" s="2">
        <v>5</v>
      </c>
      <c r="E17" s="4" t="s">
        <v>279</v>
      </c>
      <c r="F17" s="3" t="s">
        <v>322</v>
      </c>
      <c r="G17" s="3">
        <v>2</v>
      </c>
      <c r="H17" s="3"/>
      <c r="I17" s="3">
        <v>1</v>
      </c>
      <c r="J17" s="72"/>
      <c r="K17" s="366" t="s">
        <v>431</v>
      </c>
      <c r="L17" s="367"/>
      <c r="M17" s="367"/>
      <c r="N17" s="368"/>
      <c r="O17" s="72"/>
      <c r="P17" s="72"/>
    </row>
    <row r="18" spans="1:16" ht="13.8" thickBot="1" x14ac:dyDescent="0.3">
      <c r="A18" s="72"/>
      <c r="B18" s="138" t="s">
        <v>258</v>
      </c>
      <c r="C18" s="139"/>
      <c r="D18" s="139"/>
      <c r="E18" s="140"/>
      <c r="F18" s="140"/>
      <c r="G18" s="140"/>
      <c r="H18" s="140"/>
      <c r="I18" s="140"/>
      <c r="J18" s="72"/>
      <c r="K18" s="373" t="s">
        <v>430</v>
      </c>
      <c r="L18" s="374"/>
      <c r="M18" s="374"/>
      <c r="N18" s="375"/>
      <c r="O18" s="72"/>
      <c r="P18" s="72"/>
    </row>
    <row r="19" spans="1:16" ht="13.8" x14ac:dyDescent="0.3">
      <c r="A19" s="72"/>
      <c r="B19" s="10" t="s">
        <v>292</v>
      </c>
      <c r="C19" s="1">
        <v>26</v>
      </c>
      <c r="D19" s="1">
        <v>32</v>
      </c>
      <c r="E19" s="3" t="s">
        <v>280</v>
      </c>
      <c r="F19" s="3" t="s">
        <v>322</v>
      </c>
      <c r="G19" s="3">
        <v>1</v>
      </c>
      <c r="H19" s="3"/>
      <c r="I19" s="3">
        <v>5</v>
      </c>
      <c r="J19" s="72"/>
      <c r="K19" s="72"/>
      <c r="L19" s="72"/>
      <c r="M19" s="72"/>
      <c r="N19" s="72"/>
      <c r="O19" s="72"/>
      <c r="P19" s="72"/>
    </row>
    <row r="20" spans="1:16" ht="13.8" x14ac:dyDescent="0.3">
      <c r="A20" s="72"/>
      <c r="B20" s="11" t="s">
        <v>293</v>
      </c>
      <c r="C20" s="2">
        <v>16</v>
      </c>
      <c r="D20" s="2">
        <v>19</v>
      </c>
      <c r="E20" s="4" t="s">
        <v>280</v>
      </c>
      <c r="F20" s="3" t="s">
        <v>322</v>
      </c>
      <c r="G20" s="3">
        <v>1</v>
      </c>
      <c r="H20" s="3"/>
      <c r="I20" s="3">
        <v>5</v>
      </c>
      <c r="J20" s="72"/>
      <c r="K20" s="72"/>
      <c r="L20" s="72"/>
      <c r="M20" s="72"/>
      <c r="N20" s="72"/>
      <c r="O20" s="72"/>
      <c r="P20" s="72"/>
    </row>
    <row r="21" spans="1:16" ht="14.4" thickBot="1" x14ac:dyDescent="0.35">
      <c r="A21" s="72"/>
      <c r="B21" s="11" t="s">
        <v>97</v>
      </c>
      <c r="C21" s="2">
        <v>26</v>
      </c>
      <c r="D21" s="2">
        <v>33</v>
      </c>
      <c r="E21" s="4" t="s">
        <v>280</v>
      </c>
      <c r="F21" s="3" t="s">
        <v>322</v>
      </c>
      <c r="G21" s="3">
        <v>1</v>
      </c>
      <c r="H21" s="3"/>
      <c r="I21" s="3">
        <v>3</v>
      </c>
      <c r="J21" s="72"/>
      <c r="K21" s="372" t="s">
        <v>353</v>
      </c>
      <c r="L21" s="372"/>
      <c r="M21" s="372"/>
      <c r="N21" s="73"/>
      <c r="O21" s="72"/>
      <c r="P21" s="72"/>
    </row>
    <row r="22" spans="1:16" ht="13.8" x14ac:dyDescent="0.3">
      <c r="A22" s="72"/>
      <c r="B22" s="11" t="s">
        <v>294</v>
      </c>
      <c r="C22" s="2">
        <v>0</v>
      </c>
      <c r="D22" s="2">
        <v>10</v>
      </c>
      <c r="E22" s="5" t="s">
        <v>281</v>
      </c>
      <c r="F22" s="3" t="s">
        <v>322</v>
      </c>
      <c r="G22" s="3">
        <v>1</v>
      </c>
      <c r="H22" s="3"/>
      <c r="I22" s="3">
        <v>3</v>
      </c>
      <c r="J22" s="72"/>
      <c r="K22" s="369" t="s">
        <v>423</v>
      </c>
      <c r="L22" s="370"/>
      <c r="M22" s="370"/>
      <c r="N22" s="371"/>
      <c r="O22" s="72"/>
      <c r="P22" s="72"/>
    </row>
    <row r="23" spans="1:16" ht="14.4" thickBot="1" x14ac:dyDescent="0.35">
      <c r="A23" s="72"/>
      <c r="B23" s="11" t="s">
        <v>188</v>
      </c>
      <c r="C23" s="14">
        <v>0</v>
      </c>
      <c r="D23" s="14">
        <v>0</v>
      </c>
      <c r="E23" s="4" t="s">
        <v>62</v>
      </c>
      <c r="F23" s="8" t="s">
        <v>322</v>
      </c>
      <c r="G23" s="8">
        <v>1</v>
      </c>
      <c r="H23" s="8"/>
      <c r="I23" s="8">
        <v>3</v>
      </c>
      <c r="J23" s="72"/>
      <c r="K23" s="361" t="s">
        <v>424</v>
      </c>
      <c r="L23" s="362"/>
      <c r="M23" s="362"/>
      <c r="N23" s="363"/>
      <c r="O23" s="72"/>
      <c r="P23" s="72"/>
    </row>
    <row r="24" spans="1:16" x14ac:dyDescent="0.25">
      <c r="A24" s="72"/>
      <c r="B24" s="138" t="s">
        <v>259</v>
      </c>
      <c r="C24" s="139"/>
      <c r="D24" s="139"/>
      <c r="E24" s="140"/>
      <c r="F24" s="140"/>
      <c r="G24" s="140"/>
      <c r="H24" s="140"/>
      <c r="I24" s="140"/>
      <c r="J24" s="72"/>
      <c r="K24" s="73"/>
      <c r="L24" s="73"/>
      <c r="M24" s="73"/>
      <c r="N24" s="73"/>
      <c r="O24" s="73"/>
      <c r="P24" s="72"/>
    </row>
    <row r="25" spans="1:16" ht="13.8" x14ac:dyDescent="0.3">
      <c r="A25" s="72"/>
      <c r="B25" s="34" t="s">
        <v>295</v>
      </c>
      <c r="C25" s="122">
        <f>IF(ALT="Alt-A",-1,2000)</f>
        <v>-1</v>
      </c>
      <c r="D25" s="122">
        <f>IF(ALT="Alt-A",1500,16000)</f>
        <v>1500</v>
      </c>
      <c r="E25" s="31" t="s">
        <v>282</v>
      </c>
      <c r="F25" s="132" t="str">
        <f>IF(ALT="Alt-A","Warn","PF")</f>
        <v>Warn</v>
      </c>
      <c r="G25" s="31">
        <v>1</v>
      </c>
      <c r="H25" s="31"/>
      <c r="I25" s="31">
        <v>1</v>
      </c>
      <c r="J25" s="72"/>
      <c r="K25" s="73"/>
      <c r="L25" s="73"/>
      <c r="M25" s="73"/>
      <c r="N25" s="73"/>
      <c r="O25" s="73"/>
      <c r="P25" s="72"/>
    </row>
    <row r="26" spans="1:16" ht="13.8" x14ac:dyDescent="0.3">
      <c r="A26" s="72"/>
      <c r="B26" s="34" t="s">
        <v>28</v>
      </c>
      <c r="C26" s="122">
        <f>C25</f>
        <v>-1</v>
      </c>
      <c r="D26" s="122">
        <f>IF(ALT="Alt-A",1500,16000)</f>
        <v>1500</v>
      </c>
      <c r="E26" s="31" t="s">
        <v>282</v>
      </c>
      <c r="F26" s="133" t="str">
        <f>IF(ALT="Alt-A","Warn","PF")</f>
        <v>Warn</v>
      </c>
      <c r="G26" s="177">
        <v>1</v>
      </c>
      <c r="H26" s="177"/>
      <c r="I26" s="31">
        <v>1</v>
      </c>
      <c r="J26" s="72"/>
      <c r="K26" s="73"/>
      <c r="L26" s="73"/>
      <c r="M26" s="73"/>
      <c r="N26" s="73"/>
      <c r="O26" s="73"/>
      <c r="P26" s="73"/>
    </row>
    <row r="27" spans="1:16" ht="13.8" x14ac:dyDescent="0.3">
      <c r="A27" s="72"/>
      <c r="B27" s="34" t="s">
        <v>65</v>
      </c>
      <c r="C27" s="31">
        <v>0</v>
      </c>
      <c r="D27" s="31">
        <v>0</v>
      </c>
      <c r="E27" s="4" t="s">
        <v>62</v>
      </c>
      <c r="F27" s="31" t="s">
        <v>323</v>
      </c>
      <c r="G27" s="31">
        <v>0</v>
      </c>
      <c r="H27" s="31"/>
      <c r="I27" s="31">
        <v>1</v>
      </c>
      <c r="J27" s="72"/>
      <c r="K27" s="73"/>
      <c r="L27" s="73"/>
      <c r="M27" s="73"/>
      <c r="N27" s="73"/>
      <c r="O27" s="73"/>
      <c r="P27" s="73"/>
    </row>
    <row r="28" spans="1:16" ht="13.8" x14ac:dyDescent="0.3">
      <c r="A28" s="72"/>
      <c r="B28" s="11" t="s">
        <v>296</v>
      </c>
      <c r="C28" s="2">
        <v>5</v>
      </c>
      <c r="D28" s="2">
        <v>500</v>
      </c>
      <c r="E28" s="4" t="s">
        <v>282</v>
      </c>
      <c r="F28" s="3" t="s">
        <v>322</v>
      </c>
      <c r="G28" s="3">
        <v>1</v>
      </c>
      <c r="H28" s="3"/>
      <c r="I28" s="3">
        <v>1</v>
      </c>
      <c r="J28" s="72"/>
      <c r="K28" s="73"/>
      <c r="L28" s="73"/>
      <c r="M28" s="73"/>
      <c r="N28" s="73"/>
      <c r="O28" s="73"/>
      <c r="P28" s="73"/>
    </row>
    <row r="29" spans="1:16" ht="13.8" x14ac:dyDescent="0.3">
      <c r="A29" s="72"/>
      <c r="B29" s="11" t="s">
        <v>297</v>
      </c>
      <c r="C29" s="2">
        <v>5</v>
      </c>
      <c r="D29" s="2">
        <v>1000</v>
      </c>
      <c r="E29" s="4" t="s">
        <v>282</v>
      </c>
      <c r="F29" s="3" t="s">
        <v>322</v>
      </c>
      <c r="G29" s="3">
        <v>1</v>
      </c>
      <c r="H29" s="3"/>
      <c r="I29" s="3">
        <v>0</v>
      </c>
      <c r="J29" s="72"/>
      <c r="K29" s="72"/>
      <c r="L29" s="72"/>
      <c r="M29" s="72"/>
      <c r="N29" s="72"/>
      <c r="O29" s="73"/>
      <c r="P29" s="73"/>
    </row>
    <row r="30" spans="1:16" x14ac:dyDescent="0.25">
      <c r="A30" s="72"/>
      <c r="B30" s="138" t="s">
        <v>260</v>
      </c>
      <c r="C30" s="139"/>
      <c r="D30" s="139"/>
      <c r="E30" s="140"/>
      <c r="F30" s="140"/>
      <c r="G30" s="140"/>
      <c r="H30" s="140"/>
      <c r="I30" s="140"/>
      <c r="J30" s="72"/>
      <c r="K30" s="72"/>
      <c r="L30" s="72"/>
      <c r="M30" s="72"/>
      <c r="N30" s="72"/>
      <c r="O30" s="72"/>
      <c r="P30" s="72"/>
    </row>
    <row r="31" spans="1:16" ht="13.8" x14ac:dyDescent="0.3">
      <c r="A31" s="72"/>
      <c r="B31" s="10" t="s">
        <v>613</v>
      </c>
      <c r="C31" s="1">
        <v>0</v>
      </c>
      <c r="D31" s="1">
        <v>1</v>
      </c>
      <c r="E31" s="3" t="s">
        <v>62</v>
      </c>
      <c r="F31" s="3" t="s">
        <v>323</v>
      </c>
      <c r="G31" s="3">
        <v>0</v>
      </c>
      <c r="H31" s="3"/>
      <c r="I31" s="3">
        <v>1</v>
      </c>
      <c r="J31" s="72"/>
      <c r="K31" s="72"/>
      <c r="L31" s="72"/>
      <c r="M31" s="72"/>
      <c r="N31" s="72"/>
      <c r="O31" s="72"/>
      <c r="P31" s="72"/>
    </row>
    <row r="32" spans="1:16" ht="13.8" x14ac:dyDescent="0.3">
      <c r="A32" s="72"/>
      <c r="B32" s="11" t="s">
        <v>298</v>
      </c>
      <c r="C32" s="2">
        <v>45</v>
      </c>
      <c r="D32" s="2">
        <v>2000</v>
      </c>
      <c r="E32" s="325" t="s">
        <v>280</v>
      </c>
      <c r="F32" s="3" t="s">
        <v>323</v>
      </c>
      <c r="G32" s="3">
        <v>1</v>
      </c>
      <c r="H32" s="3">
        <v>0</v>
      </c>
      <c r="I32" s="3">
        <v>1</v>
      </c>
      <c r="J32" s="72"/>
      <c r="K32" s="72"/>
      <c r="L32" s="72"/>
      <c r="M32" s="72"/>
      <c r="N32" s="72"/>
      <c r="O32" s="72"/>
      <c r="P32" s="72"/>
    </row>
    <row r="33" spans="1:16" x14ac:dyDescent="0.25">
      <c r="A33" s="72"/>
      <c r="B33" s="138" t="s">
        <v>261</v>
      </c>
      <c r="C33" s="139"/>
      <c r="D33" s="139"/>
      <c r="E33" s="140"/>
      <c r="F33" s="140"/>
      <c r="G33" s="140"/>
      <c r="H33" s="140"/>
      <c r="I33" s="140"/>
      <c r="J33" s="72"/>
      <c r="K33" s="72"/>
      <c r="L33" s="72"/>
      <c r="M33" s="72"/>
      <c r="N33" s="72"/>
      <c r="O33" s="72"/>
      <c r="P33" s="72"/>
    </row>
    <row r="34" spans="1:16" ht="13.8" x14ac:dyDescent="0.3">
      <c r="A34" s="72"/>
      <c r="B34" s="10" t="s">
        <v>643</v>
      </c>
      <c r="C34" s="1">
        <v>15.5</v>
      </c>
      <c r="D34" s="1">
        <v>20.5</v>
      </c>
      <c r="E34" s="3" t="s">
        <v>644</v>
      </c>
      <c r="F34" s="3" t="s">
        <v>322</v>
      </c>
      <c r="G34" s="3">
        <v>1</v>
      </c>
      <c r="H34" s="3"/>
      <c r="I34" s="3">
        <v>5</v>
      </c>
      <c r="J34" s="72"/>
      <c r="K34" s="72"/>
      <c r="L34" s="72"/>
      <c r="M34" s="72"/>
      <c r="N34" s="72"/>
      <c r="O34" s="72"/>
      <c r="P34" s="72"/>
    </row>
    <row r="35" spans="1:16" ht="13.8" x14ac:dyDescent="0.3">
      <c r="A35" s="72"/>
      <c r="B35" s="10" t="s">
        <v>99</v>
      </c>
      <c r="C35" s="2">
        <v>15.5</v>
      </c>
      <c r="D35" s="2">
        <v>20.5</v>
      </c>
      <c r="E35" s="4" t="s">
        <v>644</v>
      </c>
      <c r="F35" s="3" t="s">
        <v>322</v>
      </c>
      <c r="G35" s="3">
        <v>1</v>
      </c>
      <c r="H35" s="3"/>
      <c r="I35" s="3">
        <v>5</v>
      </c>
      <c r="J35" s="72"/>
      <c r="K35" s="72"/>
      <c r="L35" s="72"/>
      <c r="M35" s="72"/>
      <c r="N35" s="72"/>
      <c r="O35" s="72"/>
      <c r="P35" s="72"/>
    </row>
    <row r="36" spans="1:16" ht="13.8" x14ac:dyDescent="0.3">
      <c r="A36" s="72"/>
      <c r="B36" s="11" t="s">
        <v>75</v>
      </c>
      <c r="C36" s="32">
        <v>7</v>
      </c>
      <c r="D36" s="32">
        <v>10</v>
      </c>
      <c r="E36" s="4" t="s">
        <v>644</v>
      </c>
      <c r="F36" s="3" t="s">
        <v>322</v>
      </c>
      <c r="G36" s="324">
        <v>1</v>
      </c>
      <c r="H36" s="316"/>
      <c r="I36" s="4">
        <v>5</v>
      </c>
      <c r="J36" s="72"/>
      <c r="K36" s="72"/>
      <c r="L36" s="72"/>
      <c r="M36" s="72"/>
      <c r="N36" s="72"/>
      <c r="O36" s="72"/>
      <c r="P36" s="72"/>
    </row>
    <row r="37" spans="1:16" ht="14.4" thickBot="1" x14ac:dyDescent="0.35">
      <c r="A37" s="72"/>
      <c r="B37" s="11" t="s">
        <v>100</v>
      </c>
      <c r="C37" s="32">
        <v>7</v>
      </c>
      <c r="D37" s="32">
        <v>10</v>
      </c>
      <c r="E37" s="4" t="s">
        <v>644</v>
      </c>
      <c r="F37" s="3" t="s">
        <v>322</v>
      </c>
      <c r="G37" s="324">
        <v>1</v>
      </c>
      <c r="H37" s="316"/>
      <c r="I37" s="4">
        <v>5</v>
      </c>
      <c r="J37" s="72"/>
      <c r="K37" s="73"/>
      <c r="L37" s="73"/>
      <c r="M37" s="73"/>
      <c r="N37" s="73"/>
      <c r="O37" s="73"/>
      <c r="P37" s="72"/>
    </row>
    <row r="38" spans="1:16" ht="13.8" x14ac:dyDescent="0.3">
      <c r="A38" s="72"/>
      <c r="B38" s="202" t="s">
        <v>408</v>
      </c>
      <c r="C38" s="204">
        <v>-1</v>
      </c>
      <c r="D38" s="205">
        <v>2.8</v>
      </c>
      <c r="E38" s="15" t="s">
        <v>644</v>
      </c>
      <c r="F38" s="3" t="s">
        <v>322</v>
      </c>
      <c r="G38" s="324">
        <v>1</v>
      </c>
      <c r="H38" s="195"/>
      <c r="I38" s="15">
        <v>5</v>
      </c>
      <c r="J38" s="72"/>
      <c r="K38" s="364" t="s">
        <v>419</v>
      </c>
      <c r="L38" s="365"/>
      <c r="M38" s="364" t="s">
        <v>420</v>
      </c>
      <c r="N38" s="365"/>
      <c r="O38" s="72"/>
      <c r="P38" s="72"/>
    </row>
    <row r="39" spans="1:16" x14ac:dyDescent="0.25">
      <c r="A39" s="72"/>
      <c r="B39" s="138" t="s">
        <v>262</v>
      </c>
      <c r="C39" s="139"/>
      <c r="D39" s="139"/>
      <c r="E39" s="140"/>
      <c r="F39" s="140"/>
      <c r="G39" s="140"/>
      <c r="H39" s="140"/>
      <c r="I39" s="140"/>
      <c r="J39" s="72"/>
      <c r="K39" s="141" t="s">
        <v>271</v>
      </c>
      <c r="L39" s="142" t="s">
        <v>272</v>
      </c>
      <c r="M39" s="141" t="s">
        <v>271</v>
      </c>
      <c r="N39" s="142" t="s">
        <v>272</v>
      </c>
      <c r="O39" s="72"/>
      <c r="P39" s="72"/>
    </row>
    <row r="40" spans="1:16" ht="13.8" x14ac:dyDescent="0.3">
      <c r="A40" s="72"/>
      <c r="B40" s="34" t="s">
        <v>614</v>
      </c>
      <c r="C40" s="308">
        <f>IF(AND(HighPwrGrant="NONE",BT="NO"),0,1)</f>
        <v>1</v>
      </c>
      <c r="D40" s="305">
        <f>IF(AND(OR(HighPwrGrant="PHY",HighPwrGrant="PHY+LLDP"),BT="NO"),2,1)</f>
        <v>2</v>
      </c>
      <c r="E40" s="3" t="s">
        <v>62</v>
      </c>
      <c r="F40" s="3" t="s">
        <v>322</v>
      </c>
      <c r="G40" s="3">
        <v>0</v>
      </c>
      <c r="H40" s="3"/>
      <c r="I40" s="3">
        <v>5</v>
      </c>
      <c r="J40" s="72"/>
      <c r="K40" s="143"/>
      <c r="L40" s="145"/>
      <c r="M40" s="143"/>
      <c r="N40" s="145"/>
      <c r="O40" s="72"/>
      <c r="P40" s="72"/>
    </row>
    <row r="41" spans="1:16" ht="13.8" x14ac:dyDescent="0.3">
      <c r="A41" s="72"/>
      <c r="B41" s="35" t="s">
        <v>615</v>
      </c>
      <c r="C41" s="251">
        <f>IF(AND(HighPwrGrant="NONE",BT="NO"),0,IF(AND(HighPwrGrant="NONE",BT="YES"),1,IF(HighPwrGrant&lt;&gt;"LLDP",2,1)))</f>
        <v>2</v>
      </c>
      <c r="D41" s="251">
        <f>IF(HighPwrGrant="NONE",1,IF(HighPwrGrant="LLDP",1,IF(BT="NO",2,3)))</f>
        <v>2</v>
      </c>
      <c r="E41" s="3" t="s">
        <v>62</v>
      </c>
      <c r="F41" s="4" t="s">
        <v>322</v>
      </c>
      <c r="G41" s="4">
        <v>0</v>
      </c>
      <c r="H41" s="317"/>
      <c r="I41" s="4">
        <v>5</v>
      </c>
      <c r="J41" s="72"/>
      <c r="K41" s="144"/>
      <c r="L41" s="146"/>
      <c r="M41" s="144"/>
      <c r="N41" s="146"/>
      <c r="O41" s="72"/>
      <c r="P41" s="72"/>
    </row>
    <row r="42" spans="1:16" ht="13.8" x14ac:dyDescent="0.3">
      <c r="A42" s="72"/>
      <c r="B42" s="34" t="s">
        <v>299</v>
      </c>
      <c r="C42" s="306">
        <f>IF(BT="YES",M42,K42)</f>
        <v>5.6</v>
      </c>
      <c r="D42" s="306">
        <f>IF(BT="YES",N42,L42)</f>
        <v>75</v>
      </c>
      <c r="E42" s="3" t="s">
        <v>282</v>
      </c>
      <c r="F42" s="3" t="s">
        <v>322</v>
      </c>
      <c r="G42" s="3">
        <v>1</v>
      </c>
      <c r="H42" s="3">
        <v>-1</v>
      </c>
      <c r="I42" s="3">
        <v>5</v>
      </c>
      <c r="J42" s="72"/>
      <c r="K42" s="191">
        <v>5.6</v>
      </c>
      <c r="L42" s="192">
        <v>75</v>
      </c>
      <c r="M42" s="191">
        <v>88</v>
      </c>
      <c r="N42" s="192">
        <v>105</v>
      </c>
      <c r="O42" s="72"/>
      <c r="P42" s="72"/>
    </row>
    <row r="43" spans="1:16" ht="14.4" thickBot="1" x14ac:dyDescent="0.35">
      <c r="A43" s="72"/>
      <c r="B43" s="35" t="s">
        <v>71</v>
      </c>
      <c r="C43" s="41">
        <v>5.6</v>
      </c>
      <c r="D43" s="41">
        <v>30</v>
      </c>
      <c r="E43" s="3" t="s">
        <v>282</v>
      </c>
      <c r="F43" s="4" t="s">
        <v>322</v>
      </c>
      <c r="G43" s="4">
        <v>1</v>
      </c>
      <c r="H43" s="317"/>
      <c r="I43" s="4">
        <v>5</v>
      </c>
      <c r="J43" s="72"/>
      <c r="K43" s="261" t="s">
        <v>428</v>
      </c>
      <c r="L43" s="262"/>
      <c r="M43" s="261" t="s">
        <v>429</v>
      </c>
      <c r="N43" s="262"/>
      <c r="O43" s="72"/>
      <c r="P43" s="72"/>
    </row>
    <row r="44" spans="1:16" ht="13.8" x14ac:dyDescent="0.3">
      <c r="A44" s="72"/>
      <c r="B44" s="203" t="s">
        <v>439</v>
      </c>
      <c r="C44" s="41">
        <v>88</v>
      </c>
      <c r="D44" s="41">
        <v>105</v>
      </c>
      <c r="E44" s="220" t="s">
        <v>282</v>
      </c>
      <c r="F44" s="4" t="s">
        <v>322</v>
      </c>
      <c r="G44" s="4">
        <v>1</v>
      </c>
      <c r="H44" s="317"/>
      <c r="I44" s="4">
        <v>5</v>
      </c>
      <c r="J44" s="72"/>
      <c r="K44" s="73"/>
      <c r="L44" s="73"/>
      <c r="M44" s="73"/>
      <c r="N44" s="73"/>
      <c r="O44" s="72"/>
      <c r="P44" s="72"/>
    </row>
    <row r="45" spans="1:16" ht="13.8" x14ac:dyDescent="0.3">
      <c r="A45" s="72"/>
      <c r="B45" s="219" t="s">
        <v>72</v>
      </c>
      <c r="C45" s="223">
        <v>5.6</v>
      </c>
      <c r="D45" s="307">
        <f>IF(BT="YES",20.4,30)</f>
        <v>30</v>
      </c>
      <c r="E45" s="220" t="s">
        <v>282</v>
      </c>
      <c r="F45" s="4" t="s">
        <v>322</v>
      </c>
      <c r="G45" s="4">
        <v>1</v>
      </c>
      <c r="H45" s="317"/>
      <c r="I45" s="4">
        <v>5</v>
      </c>
      <c r="J45" s="72"/>
      <c r="K45" s="73"/>
      <c r="L45" s="73"/>
      <c r="M45" s="73"/>
      <c r="N45" s="73"/>
      <c r="O45" s="72"/>
      <c r="P45" s="72"/>
    </row>
    <row r="46" spans="1:16" ht="13.8" x14ac:dyDescent="0.3">
      <c r="A46" s="72"/>
      <c r="B46" s="219" t="s">
        <v>73</v>
      </c>
      <c r="C46" s="223">
        <v>5.6</v>
      </c>
      <c r="D46" s="223">
        <v>12.4</v>
      </c>
      <c r="E46" s="220" t="s">
        <v>282</v>
      </c>
      <c r="F46" s="4" t="s">
        <v>322</v>
      </c>
      <c r="G46" s="4">
        <v>1</v>
      </c>
      <c r="H46" s="317"/>
      <c r="I46" s="4">
        <v>5</v>
      </c>
      <c r="J46" s="72"/>
      <c r="K46" s="73"/>
      <c r="L46" s="73"/>
      <c r="M46" s="73"/>
      <c r="N46" s="73"/>
      <c r="O46" s="72"/>
      <c r="P46" s="72"/>
    </row>
    <row r="47" spans="1:16" ht="14.4" thickBot="1" x14ac:dyDescent="0.35">
      <c r="A47" s="72"/>
      <c r="B47" s="219" t="s">
        <v>74</v>
      </c>
      <c r="C47" s="223">
        <v>5.6</v>
      </c>
      <c r="D47" s="223">
        <v>376</v>
      </c>
      <c r="E47" s="220" t="s">
        <v>282</v>
      </c>
      <c r="F47" s="4" t="s">
        <v>322</v>
      </c>
      <c r="G47" s="4">
        <v>1</v>
      </c>
      <c r="H47" s="317"/>
      <c r="I47" s="4">
        <v>5</v>
      </c>
      <c r="J47" s="72"/>
      <c r="K47" s="247" t="s">
        <v>438</v>
      </c>
      <c r="L47" s="73"/>
      <c r="M47" s="73"/>
      <c r="N47" s="73"/>
      <c r="O47" s="72"/>
      <c r="P47" s="72"/>
    </row>
    <row r="48" spans="1:16" ht="13.8" x14ac:dyDescent="0.3">
      <c r="A48" s="72"/>
      <c r="B48" s="203" t="s">
        <v>406</v>
      </c>
      <c r="C48" s="221">
        <v>15</v>
      </c>
      <c r="D48" s="222">
        <v>10000</v>
      </c>
      <c r="E48" s="197" t="s">
        <v>282</v>
      </c>
      <c r="F48" s="196" t="s">
        <v>322</v>
      </c>
      <c r="G48" s="15">
        <v>1</v>
      </c>
      <c r="H48" s="15"/>
      <c r="I48" s="15">
        <v>5</v>
      </c>
      <c r="J48" s="72"/>
      <c r="K48" s="351" t="s">
        <v>419</v>
      </c>
      <c r="L48" s="352"/>
      <c r="M48" s="352"/>
      <c r="N48" s="353"/>
      <c r="O48" s="72"/>
      <c r="P48" s="72"/>
    </row>
    <row r="49" spans="1:16" ht="13.8" x14ac:dyDescent="0.3">
      <c r="A49" s="72"/>
      <c r="B49" s="202" t="s">
        <v>407</v>
      </c>
      <c r="C49" s="204">
        <v>0</v>
      </c>
      <c r="D49" s="205">
        <v>3</v>
      </c>
      <c r="E49" s="197" t="s">
        <v>62</v>
      </c>
      <c r="F49" s="196" t="s">
        <v>322</v>
      </c>
      <c r="G49" s="15">
        <v>1</v>
      </c>
      <c r="H49" s="15"/>
      <c r="I49" s="15">
        <v>5</v>
      </c>
      <c r="J49" s="72"/>
      <c r="K49" s="244" t="s">
        <v>426</v>
      </c>
      <c r="L49" s="245" t="s">
        <v>426</v>
      </c>
      <c r="M49" s="245" t="s">
        <v>93</v>
      </c>
      <c r="N49" s="246" t="s">
        <v>94</v>
      </c>
      <c r="O49" s="72"/>
      <c r="P49" s="72"/>
    </row>
    <row r="50" spans="1:16" x14ac:dyDescent="0.25">
      <c r="A50" s="72"/>
      <c r="B50" s="138" t="s">
        <v>101</v>
      </c>
      <c r="C50" s="139"/>
      <c r="D50" s="139"/>
      <c r="E50" s="140"/>
      <c r="F50" s="140"/>
      <c r="G50" s="140"/>
      <c r="H50" s="140"/>
      <c r="I50" s="140"/>
      <c r="J50" s="72"/>
      <c r="K50" s="238" t="s">
        <v>427</v>
      </c>
      <c r="L50" s="239" t="s">
        <v>427</v>
      </c>
      <c r="M50" s="239" t="s">
        <v>427</v>
      </c>
      <c r="N50" s="240" t="s">
        <v>427</v>
      </c>
      <c r="O50" s="72"/>
      <c r="P50" s="72"/>
    </row>
    <row r="51" spans="1:16" ht="13.8" x14ac:dyDescent="0.3">
      <c r="A51" s="72"/>
      <c r="B51" s="34" t="s">
        <v>102</v>
      </c>
      <c r="C51" s="8">
        <v>51</v>
      </c>
      <c r="D51" s="8">
        <v>100</v>
      </c>
      <c r="E51" s="8" t="s">
        <v>279</v>
      </c>
      <c r="F51" s="8" t="s">
        <v>322</v>
      </c>
      <c r="G51" s="8">
        <v>0</v>
      </c>
      <c r="H51" s="8"/>
      <c r="I51" s="8">
        <v>1</v>
      </c>
      <c r="J51" s="72"/>
      <c r="K51" s="241" t="s">
        <v>89</v>
      </c>
      <c r="L51" s="242" t="s">
        <v>91</v>
      </c>
      <c r="M51" s="242" t="s">
        <v>425</v>
      </c>
      <c r="N51" s="243" t="s">
        <v>425</v>
      </c>
      <c r="O51" s="72"/>
      <c r="P51" s="72"/>
    </row>
    <row r="52" spans="1:16" ht="13.8" x14ac:dyDescent="0.3">
      <c r="A52" s="72"/>
      <c r="B52" s="35" t="s">
        <v>394</v>
      </c>
      <c r="C52" s="15">
        <v>0</v>
      </c>
      <c r="D52" s="228">
        <f>IF(HighPwrGrant="NONE",IF(BT="YES",0,1),0)</f>
        <v>0</v>
      </c>
      <c r="E52" s="4" t="s">
        <v>62</v>
      </c>
      <c r="F52" s="15" t="s">
        <v>322</v>
      </c>
      <c r="G52" s="15">
        <v>1</v>
      </c>
      <c r="H52" s="15"/>
      <c r="I52" s="15">
        <v>1</v>
      </c>
      <c r="J52" s="72"/>
      <c r="K52" s="235" t="s">
        <v>271</v>
      </c>
      <c r="L52" s="234" t="s">
        <v>271</v>
      </c>
      <c r="M52" s="234" t="s">
        <v>271</v>
      </c>
      <c r="N52" s="237" t="s">
        <v>271</v>
      </c>
      <c r="O52" s="72"/>
      <c r="P52" s="72"/>
    </row>
    <row r="53" spans="1:16" ht="13.8" x14ac:dyDescent="0.3">
      <c r="A53" s="72"/>
      <c r="B53" s="35" t="s">
        <v>393</v>
      </c>
      <c r="C53" s="15">
        <v>0</v>
      </c>
      <c r="D53" s="228">
        <f>IF(HighPwrGrant="NONE",IF(BT="YES",0,1),0)</f>
        <v>0</v>
      </c>
      <c r="E53" s="4" t="s">
        <v>62</v>
      </c>
      <c r="F53" s="15" t="s">
        <v>322</v>
      </c>
      <c r="G53" s="15">
        <v>1</v>
      </c>
      <c r="H53" s="15"/>
      <c r="I53" s="15">
        <v>1</v>
      </c>
      <c r="J53" s="72"/>
      <c r="K53" s="191">
        <v>0</v>
      </c>
      <c r="L53" s="223">
        <v>1</v>
      </c>
      <c r="M53" s="223">
        <v>1</v>
      </c>
      <c r="N53" s="192">
        <v>2</v>
      </c>
      <c r="O53" s="72"/>
      <c r="P53" s="72"/>
    </row>
    <row r="54" spans="1:16" ht="13.8" x14ac:dyDescent="0.3">
      <c r="A54" s="72"/>
      <c r="B54" s="35" t="s">
        <v>103</v>
      </c>
      <c r="C54" s="15">
        <v>5</v>
      </c>
      <c r="D54" s="15">
        <v>100</v>
      </c>
      <c r="E54" s="15" t="s">
        <v>279</v>
      </c>
      <c r="F54" s="15" t="s">
        <v>322</v>
      </c>
      <c r="G54" s="15">
        <v>1</v>
      </c>
      <c r="H54" s="15"/>
      <c r="I54" s="15">
        <v>1</v>
      </c>
      <c r="J54" s="72"/>
      <c r="K54" s="235" t="s">
        <v>272</v>
      </c>
      <c r="L54" s="234" t="s">
        <v>272</v>
      </c>
      <c r="M54" s="234" t="s">
        <v>272</v>
      </c>
      <c r="N54" s="237" t="s">
        <v>272</v>
      </c>
      <c r="O54" s="72"/>
      <c r="P54" s="72"/>
    </row>
    <row r="55" spans="1:16" ht="14.4" thickBot="1" x14ac:dyDescent="0.35">
      <c r="A55" s="72"/>
      <c r="B55" s="35" t="s">
        <v>392</v>
      </c>
      <c r="C55" s="15">
        <v>0</v>
      </c>
      <c r="D55" s="15">
        <v>0</v>
      </c>
      <c r="E55" s="4" t="s">
        <v>62</v>
      </c>
      <c r="F55" s="15" t="s">
        <v>322</v>
      </c>
      <c r="G55" s="15">
        <v>1</v>
      </c>
      <c r="H55" s="15"/>
      <c r="I55" s="15">
        <v>3</v>
      </c>
      <c r="J55" s="72"/>
      <c r="K55" s="193">
        <v>1</v>
      </c>
      <c r="L55" s="248">
        <v>1</v>
      </c>
      <c r="M55" s="236">
        <v>2</v>
      </c>
      <c r="N55" s="194">
        <v>2</v>
      </c>
      <c r="O55" s="72"/>
      <c r="P55" s="72"/>
    </row>
    <row r="56" spans="1:16" ht="13.8" x14ac:dyDescent="0.3">
      <c r="A56" s="72"/>
      <c r="B56" s="35" t="s">
        <v>104</v>
      </c>
      <c r="C56" s="15">
        <v>15</v>
      </c>
      <c r="D56" s="15">
        <v>10000</v>
      </c>
      <c r="E56" s="15" t="s">
        <v>282</v>
      </c>
      <c r="F56" s="15" t="s">
        <v>322</v>
      </c>
      <c r="G56" s="15">
        <v>1</v>
      </c>
      <c r="H56" s="15"/>
      <c r="I56" s="15">
        <v>1</v>
      </c>
      <c r="J56" s="72"/>
      <c r="K56" s="351" t="s">
        <v>420</v>
      </c>
      <c r="L56" s="352"/>
      <c r="M56" s="352"/>
      <c r="N56" s="353"/>
      <c r="O56" s="72"/>
      <c r="P56" s="72"/>
    </row>
    <row r="57" spans="1:16" x14ac:dyDescent="0.25">
      <c r="A57" s="72"/>
      <c r="B57" s="138" t="s">
        <v>146</v>
      </c>
      <c r="C57" s="139"/>
      <c r="D57" s="139"/>
      <c r="E57" s="140"/>
      <c r="F57" s="140"/>
      <c r="G57" s="140"/>
      <c r="H57" s="140"/>
      <c r="I57" s="140"/>
      <c r="J57" s="72"/>
      <c r="K57" s="244" t="s">
        <v>426</v>
      </c>
      <c r="L57" s="245" t="s">
        <v>426</v>
      </c>
      <c r="M57" s="245" t="s">
        <v>93</v>
      </c>
      <c r="N57" s="246" t="s">
        <v>94</v>
      </c>
      <c r="O57" s="72"/>
      <c r="P57" s="72"/>
    </row>
    <row r="58" spans="1:16" ht="13.8" x14ac:dyDescent="0.3">
      <c r="A58" s="72"/>
      <c r="B58" s="34" t="s">
        <v>148</v>
      </c>
      <c r="C58" s="1">
        <v>0</v>
      </c>
      <c r="D58" s="1">
        <v>0</v>
      </c>
      <c r="E58" s="3" t="s">
        <v>62</v>
      </c>
      <c r="F58" s="3" t="s">
        <v>322</v>
      </c>
      <c r="G58" s="3">
        <v>0</v>
      </c>
      <c r="H58" s="3"/>
      <c r="I58" s="3">
        <v>3</v>
      </c>
      <c r="J58" s="72"/>
      <c r="K58" s="238" t="s">
        <v>427</v>
      </c>
      <c r="L58" s="239" t="s">
        <v>427</v>
      </c>
      <c r="M58" s="239" t="s">
        <v>427</v>
      </c>
      <c r="N58" s="240" t="s">
        <v>427</v>
      </c>
      <c r="O58" s="72"/>
      <c r="P58" s="72"/>
    </row>
    <row r="59" spans="1:16" ht="13.8" x14ac:dyDescent="0.3">
      <c r="A59" s="72"/>
      <c r="B59" s="226" t="s">
        <v>149</v>
      </c>
      <c r="C59" s="14">
        <v>0</v>
      </c>
      <c r="D59" s="14">
        <v>0</v>
      </c>
      <c r="E59" s="15" t="s">
        <v>62</v>
      </c>
      <c r="F59" s="3" t="s">
        <v>322</v>
      </c>
      <c r="G59" s="3">
        <v>0</v>
      </c>
      <c r="H59" s="3"/>
      <c r="I59" s="3">
        <v>3</v>
      </c>
      <c r="J59" s="72"/>
      <c r="K59" s="241" t="s">
        <v>89</v>
      </c>
      <c r="L59" s="242" t="s">
        <v>91</v>
      </c>
      <c r="M59" s="242" t="s">
        <v>425</v>
      </c>
      <c r="N59" s="243" t="s">
        <v>425</v>
      </c>
      <c r="O59" s="72"/>
      <c r="P59" s="72"/>
    </row>
    <row r="60" spans="1:16" ht="13.8" x14ac:dyDescent="0.3">
      <c r="A60" s="72"/>
      <c r="B60" s="226" t="s">
        <v>156</v>
      </c>
      <c r="C60" s="14">
        <v>0</v>
      </c>
      <c r="D60" s="14">
        <v>30</v>
      </c>
      <c r="E60" s="15" t="s">
        <v>147</v>
      </c>
      <c r="F60" s="3" t="s">
        <v>323</v>
      </c>
      <c r="G60" s="3">
        <v>1</v>
      </c>
      <c r="H60" s="3"/>
      <c r="I60" s="3">
        <v>1</v>
      </c>
      <c r="J60" s="72"/>
      <c r="K60" s="235" t="s">
        <v>271</v>
      </c>
      <c r="L60" s="234" t="s">
        <v>271</v>
      </c>
      <c r="M60" s="234" t="s">
        <v>271</v>
      </c>
      <c r="N60" s="234" t="s">
        <v>271</v>
      </c>
      <c r="O60" s="72"/>
      <c r="P60" s="72"/>
    </row>
    <row r="61" spans="1:16" ht="13.8" x14ac:dyDescent="0.3">
      <c r="A61" s="72"/>
      <c r="B61" s="226" t="s">
        <v>157</v>
      </c>
      <c r="C61" s="14">
        <v>1</v>
      </c>
      <c r="D61" s="14">
        <v>2</v>
      </c>
      <c r="E61" s="15" t="s">
        <v>62</v>
      </c>
      <c r="F61" s="3" t="s">
        <v>322</v>
      </c>
      <c r="G61" s="3">
        <v>0</v>
      </c>
      <c r="H61" s="3"/>
      <c r="I61" s="3">
        <v>5</v>
      </c>
      <c r="J61" s="72"/>
      <c r="K61" s="191">
        <v>1</v>
      </c>
      <c r="L61" s="223">
        <v>1</v>
      </c>
      <c r="M61" s="223">
        <v>1</v>
      </c>
      <c r="N61" s="192">
        <v>2</v>
      </c>
      <c r="O61" s="72"/>
      <c r="P61" s="72"/>
    </row>
    <row r="62" spans="1:16" ht="13.8" x14ac:dyDescent="0.3">
      <c r="A62" s="72"/>
      <c r="B62" s="226" t="s">
        <v>162</v>
      </c>
      <c r="C62" s="14">
        <v>0</v>
      </c>
      <c r="D62" s="14">
        <v>10</v>
      </c>
      <c r="E62" s="15" t="s">
        <v>147</v>
      </c>
      <c r="F62" s="3" t="s">
        <v>322</v>
      </c>
      <c r="G62" s="3">
        <v>1</v>
      </c>
      <c r="H62" s="3"/>
      <c r="I62" s="3">
        <v>5</v>
      </c>
      <c r="J62" s="72"/>
      <c r="K62" s="235" t="s">
        <v>272</v>
      </c>
      <c r="L62" s="234" t="s">
        <v>272</v>
      </c>
      <c r="M62" s="234" t="s">
        <v>272</v>
      </c>
      <c r="N62" s="237" t="s">
        <v>272</v>
      </c>
      <c r="O62" s="72"/>
      <c r="P62" s="72"/>
    </row>
    <row r="63" spans="1:16" ht="14.4" thickBot="1" x14ac:dyDescent="0.35">
      <c r="A63" s="72"/>
      <c r="B63" s="226" t="s">
        <v>158</v>
      </c>
      <c r="C63" s="14">
        <v>8.1</v>
      </c>
      <c r="D63" s="14">
        <v>13</v>
      </c>
      <c r="E63" s="15" t="s">
        <v>646</v>
      </c>
      <c r="F63" s="3" t="s">
        <v>322</v>
      </c>
      <c r="G63" s="3">
        <v>1</v>
      </c>
      <c r="H63" s="3"/>
      <c r="I63" s="3">
        <v>5</v>
      </c>
      <c r="J63" s="72"/>
      <c r="K63" s="193">
        <v>1</v>
      </c>
      <c r="L63" s="248">
        <v>1</v>
      </c>
      <c r="M63" s="236">
        <v>1</v>
      </c>
      <c r="N63" s="194">
        <v>3</v>
      </c>
      <c r="O63" s="72"/>
      <c r="P63" s="72"/>
    </row>
    <row r="64" spans="1:16" ht="13.8" x14ac:dyDescent="0.3">
      <c r="A64" s="72"/>
      <c r="B64" s="226" t="s">
        <v>159</v>
      </c>
      <c r="C64" s="14">
        <v>0</v>
      </c>
      <c r="D64" s="14">
        <v>30</v>
      </c>
      <c r="E64" s="15" t="s">
        <v>147</v>
      </c>
      <c r="F64" s="3" t="s">
        <v>323</v>
      </c>
      <c r="G64" s="3">
        <v>1</v>
      </c>
      <c r="H64" s="3"/>
      <c r="I64" s="3">
        <v>3</v>
      </c>
      <c r="J64" s="72"/>
      <c r="K64" s="73"/>
      <c r="L64" s="73"/>
      <c r="M64" s="73"/>
      <c r="N64" s="73"/>
      <c r="O64" s="72"/>
      <c r="P64" s="72"/>
    </row>
    <row r="65" spans="1:16" ht="13.8" x14ac:dyDescent="0.3">
      <c r="A65" s="72"/>
      <c r="B65" s="226" t="s">
        <v>160</v>
      </c>
      <c r="C65" s="14">
        <v>13</v>
      </c>
      <c r="D65" s="14">
        <v>13</v>
      </c>
      <c r="E65" s="15" t="s">
        <v>646</v>
      </c>
      <c r="F65" s="3" t="s">
        <v>322</v>
      </c>
      <c r="G65" s="3">
        <v>1</v>
      </c>
      <c r="H65" s="3"/>
      <c r="I65" s="3">
        <v>5</v>
      </c>
      <c r="J65" s="72"/>
      <c r="K65" s="73"/>
      <c r="L65" s="73"/>
      <c r="M65" s="73"/>
      <c r="N65" s="73"/>
      <c r="O65" s="72"/>
      <c r="P65" s="72"/>
    </row>
    <row r="66" spans="1:16" ht="13.8" x14ac:dyDescent="0.3">
      <c r="A66" s="72"/>
      <c r="B66" s="226" t="s">
        <v>161</v>
      </c>
      <c r="C66" s="14">
        <v>0</v>
      </c>
      <c r="D66" s="14">
        <v>10</v>
      </c>
      <c r="E66" s="15" t="s">
        <v>147</v>
      </c>
      <c r="F66" s="3" t="s">
        <v>322</v>
      </c>
      <c r="G66" s="3">
        <v>1</v>
      </c>
      <c r="H66" s="3"/>
      <c r="I66" s="3">
        <v>3</v>
      </c>
      <c r="J66" s="72"/>
      <c r="K66" s="73"/>
      <c r="L66" s="73"/>
      <c r="M66" s="73"/>
      <c r="N66" s="73"/>
      <c r="O66" s="72"/>
      <c r="P66" s="72"/>
    </row>
    <row r="67" spans="1:16" ht="13.8" x14ac:dyDescent="0.3">
      <c r="A67" s="72"/>
      <c r="B67" s="226" t="s">
        <v>395</v>
      </c>
      <c r="C67" s="14">
        <v>0</v>
      </c>
      <c r="D67" s="14">
        <v>0</v>
      </c>
      <c r="E67" s="15" t="s">
        <v>62</v>
      </c>
      <c r="F67" s="3" t="s">
        <v>323</v>
      </c>
      <c r="G67" s="3">
        <v>0</v>
      </c>
      <c r="H67" s="3"/>
      <c r="I67" s="3">
        <v>1</v>
      </c>
      <c r="J67" s="72"/>
      <c r="K67" s="73"/>
      <c r="L67" s="73"/>
      <c r="M67" s="73"/>
      <c r="N67" s="73"/>
      <c r="O67" s="72"/>
      <c r="P67" s="72"/>
    </row>
    <row r="68" spans="1:16" ht="13.8" x14ac:dyDescent="0.3">
      <c r="A68" s="72"/>
      <c r="B68" s="226" t="s">
        <v>150</v>
      </c>
      <c r="C68" s="14">
        <v>0</v>
      </c>
      <c r="D68" s="14">
        <v>10</v>
      </c>
      <c r="E68" s="15" t="s">
        <v>147</v>
      </c>
      <c r="F68" s="3" t="s">
        <v>322</v>
      </c>
      <c r="G68" s="3">
        <v>1</v>
      </c>
      <c r="H68" s="3"/>
      <c r="I68" s="3">
        <v>3</v>
      </c>
      <c r="J68" s="72"/>
      <c r="K68" s="73"/>
      <c r="L68" s="73"/>
      <c r="M68" s="73"/>
      <c r="N68" s="73"/>
      <c r="O68" s="72"/>
      <c r="P68" s="72"/>
    </row>
    <row r="69" spans="1:16" ht="13.8" x14ac:dyDescent="0.3">
      <c r="A69" s="72"/>
      <c r="B69" s="226" t="s">
        <v>151</v>
      </c>
      <c r="C69" s="14">
        <v>2</v>
      </c>
      <c r="D69" s="14">
        <v>2</v>
      </c>
      <c r="E69" s="15" t="s">
        <v>62</v>
      </c>
      <c r="F69" s="3" t="s">
        <v>322</v>
      </c>
      <c r="G69" s="3">
        <v>0</v>
      </c>
      <c r="H69" s="3"/>
      <c r="I69" s="3">
        <v>5</v>
      </c>
      <c r="J69" s="72"/>
      <c r="K69" s="73"/>
      <c r="L69" s="73"/>
      <c r="M69" s="73"/>
      <c r="N69" s="73"/>
      <c r="O69" s="72"/>
      <c r="P69" s="72"/>
    </row>
    <row r="70" spans="1:16" ht="13.8" x14ac:dyDescent="0.3">
      <c r="A70" s="72"/>
      <c r="B70" s="226" t="s">
        <v>163</v>
      </c>
      <c r="C70" s="14">
        <v>0</v>
      </c>
      <c r="D70" s="14">
        <v>10</v>
      </c>
      <c r="E70" s="15" t="s">
        <v>147</v>
      </c>
      <c r="F70" s="3" t="s">
        <v>322</v>
      </c>
      <c r="G70" s="3">
        <v>1</v>
      </c>
      <c r="H70" s="3"/>
      <c r="I70" s="3">
        <v>5</v>
      </c>
      <c r="J70" s="72"/>
      <c r="K70" s="73"/>
      <c r="L70" s="73"/>
      <c r="M70" s="73"/>
      <c r="N70" s="73"/>
      <c r="O70" s="72"/>
      <c r="P70" s="72"/>
    </row>
    <row r="71" spans="1:16" ht="13.8" x14ac:dyDescent="0.3">
      <c r="A71" s="72"/>
      <c r="B71" s="226" t="s">
        <v>152</v>
      </c>
      <c r="C71" s="14">
        <v>20.3</v>
      </c>
      <c r="D71" s="14">
        <v>25.5</v>
      </c>
      <c r="E71" s="15" t="s">
        <v>646</v>
      </c>
      <c r="F71" s="3" t="s">
        <v>322</v>
      </c>
      <c r="G71" s="3">
        <v>1</v>
      </c>
      <c r="H71" s="3"/>
      <c r="I71" s="3">
        <v>5</v>
      </c>
      <c r="J71" s="72"/>
      <c r="K71" s="73"/>
      <c r="L71" s="73"/>
      <c r="M71" s="73"/>
      <c r="N71" s="73"/>
      <c r="O71" s="72"/>
      <c r="P71" s="72"/>
    </row>
    <row r="72" spans="1:16" ht="13.8" x14ac:dyDescent="0.3">
      <c r="A72" s="72"/>
      <c r="B72" s="226" t="s">
        <v>153</v>
      </c>
      <c r="C72" s="14">
        <v>0</v>
      </c>
      <c r="D72" s="14">
        <v>30</v>
      </c>
      <c r="E72" s="15" t="s">
        <v>147</v>
      </c>
      <c r="F72" s="3" t="s">
        <v>323</v>
      </c>
      <c r="G72" s="3">
        <v>1</v>
      </c>
      <c r="H72" s="3"/>
      <c r="I72" s="3">
        <v>3</v>
      </c>
      <c r="J72" s="72"/>
      <c r="K72" s="73"/>
      <c r="L72" s="73"/>
      <c r="M72" s="73"/>
      <c r="N72" s="73"/>
      <c r="O72" s="72"/>
      <c r="P72" s="72"/>
    </row>
    <row r="73" spans="1:16" ht="13.8" x14ac:dyDescent="0.3">
      <c r="A73" s="72"/>
      <c r="B73" s="226" t="s">
        <v>154</v>
      </c>
      <c r="C73" s="14">
        <v>25.5</v>
      </c>
      <c r="D73" s="14">
        <v>25.5</v>
      </c>
      <c r="E73" s="15" t="s">
        <v>646</v>
      </c>
      <c r="F73" s="3" t="s">
        <v>322</v>
      </c>
      <c r="G73" s="3">
        <v>1</v>
      </c>
      <c r="H73" s="3"/>
      <c r="I73" s="3">
        <v>5</v>
      </c>
      <c r="J73" s="72"/>
      <c r="K73" s="73"/>
      <c r="L73" s="73"/>
      <c r="M73" s="73"/>
      <c r="N73" s="73"/>
      <c r="O73" s="72"/>
      <c r="P73" s="72"/>
    </row>
    <row r="74" spans="1:16" ht="13.8" x14ac:dyDescent="0.3">
      <c r="A74" s="72"/>
      <c r="B74" s="226" t="s">
        <v>155</v>
      </c>
      <c r="C74" s="14">
        <v>0</v>
      </c>
      <c r="D74" s="14">
        <v>10</v>
      </c>
      <c r="E74" s="15" t="s">
        <v>147</v>
      </c>
      <c r="F74" s="3" t="s">
        <v>322</v>
      </c>
      <c r="G74" s="3">
        <v>1</v>
      </c>
      <c r="H74" s="3"/>
      <c r="I74" s="3">
        <v>3</v>
      </c>
      <c r="J74" s="72"/>
      <c r="K74" s="73"/>
      <c r="L74" s="73"/>
      <c r="M74" s="73"/>
      <c r="N74" s="73"/>
      <c r="O74" s="72"/>
      <c r="P74" s="72"/>
    </row>
    <row r="75" spans="1:16" ht="13.8" x14ac:dyDescent="0.3">
      <c r="A75" s="72"/>
      <c r="B75" s="203" t="s">
        <v>410</v>
      </c>
      <c r="C75" s="14">
        <v>1</v>
      </c>
      <c r="D75" s="14">
        <v>2</v>
      </c>
      <c r="E75" s="15" t="s">
        <v>62</v>
      </c>
      <c r="F75" s="3" t="s">
        <v>322</v>
      </c>
      <c r="G75" s="3">
        <v>0</v>
      </c>
      <c r="H75" s="3"/>
      <c r="I75" s="3">
        <v>1</v>
      </c>
      <c r="J75" s="72"/>
      <c r="K75" s="73"/>
      <c r="L75" s="73"/>
      <c r="M75" s="73"/>
      <c r="N75" s="73"/>
      <c r="O75" s="72"/>
      <c r="P75" s="72"/>
    </row>
    <row r="76" spans="1:16" ht="13.8" x14ac:dyDescent="0.3">
      <c r="A76" s="72"/>
      <c r="B76" s="203" t="s">
        <v>411</v>
      </c>
      <c r="C76" s="14">
        <v>1</v>
      </c>
      <c r="D76" s="14">
        <v>2</v>
      </c>
      <c r="E76" s="15" t="s">
        <v>62</v>
      </c>
      <c r="F76" s="3" t="s">
        <v>322</v>
      </c>
      <c r="G76" s="3">
        <v>0</v>
      </c>
      <c r="H76" s="3"/>
      <c r="I76" s="3">
        <v>1</v>
      </c>
      <c r="J76" s="72"/>
      <c r="K76" s="73"/>
      <c r="L76" s="73"/>
      <c r="M76" s="73"/>
      <c r="N76" s="73"/>
      <c r="O76" s="72"/>
      <c r="P76" s="72"/>
    </row>
    <row r="77" spans="1:16" ht="13.8" x14ac:dyDescent="0.3">
      <c r="A77" s="72"/>
      <c r="B77" s="203" t="s">
        <v>413</v>
      </c>
      <c r="C77" s="14">
        <v>1</v>
      </c>
      <c r="D77" s="14">
        <v>2</v>
      </c>
      <c r="E77" s="15" t="s">
        <v>62</v>
      </c>
      <c r="F77" s="3" t="s">
        <v>322</v>
      </c>
      <c r="G77" s="3">
        <v>0</v>
      </c>
      <c r="H77" s="3"/>
      <c r="I77" s="3">
        <v>1</v>
      </c>
      <c r="J77" s="72"/>
      <c r="K77" s="73"/>
      <c r="L77" s="73"/>
      <c r="M77" s="73"/>
      <c r="N77" s="73"/>
      <c r="O77" s="72"/>
      <c r="P77" s="72"/>
    </row>
    <row r="78" spans="1:16" ht="13.8" x14ac:dyDescent="0.3">
      <c r="A78" s="72"/>
      <c r="B78" s="203" t="s">
        <v>412</v>
      </c>
      <c r="C78" s="14">
        <v>1</v>
      </c>
      <c r="D78" s="14">
        <v>2</v>
      </c>
      <c r="E78" s="15" t="s">
        <v>62</v>
      </c>
      <c r="F78" s="3" t="s">
        <v>322</v>
      </c>
      <c r="G78" s="3">
        <v>0</v>
      </c>
      <c r="H78" s="3"/>
      <c r="I78" s="3">
        <v>1</v>
      </c>
      <c r="J78" s="72"/>
      <c r="K78" s="73"/>
      <c r="L78" s="73"/>
      <c r="M78" s="73"/>
      <c r="N78" s="73"/>
      <c r="O78" s="72"/>
      <c r="P78" s="72"/>
    </row>
    <row r="79" spans="1:16" x14ac:dyDescent="0.25">
      <c r="A79" s="72"/>
      <c r="B79" s="138" t="s">
        <v>263</v>
      </c>
      <c r="C79" s="139"/>
      <c r="D79" s="139"/>
      <c r="E79" s="140"/>
      <c r="F79" s="140"/>
      <c r="G79" s="140"/>
      <c r="H79" s="140"/>
      <c r="I79" s="140"/>
      <c r="J79" s="72"/>
      <c r="K79" s="73"/>
      <c r="L79" s="73"/>
      <c r="M79" s="73"/>
      <c r="N79" s="73"/>
      <c r="O79" s="72"/>
      <c r="P79" s="72"/>
    </row>
    <row r="80" spans="1:16" ht="13.8" x14ac:dyDescent="0.3">
      <c r="A80" s="72"/>
      <c r="B80" s="10" t="s">
        <v>616</v>
      </c>
      <c r="C80" s="1">
        <v>15</v>
      </c>
      <c r="D80" s="1">
        <v>50000</v>
      </c>
      <c r="E80" s="6" t="s">
        <v>283</v>
      </c>
      <c r="F80" s="3" t="s">
        <v>323</v>
      </c>
      <c r="G80" s="3">
        <v>0</v>
      </c>
      <c r="H80" s="3"/>
      <c r="I80" s="3">
        <v>1</v>
      </c>
      <c r="J80" s="72"/>
      <c r="K80" s="73"/>
      <c r="L80" s="73"/>
      <c r="M80" s="73"/>
      <c r="N80" s="73"/>
      <c r="O80" s="72"/>
      <c r="P80" s="72"/>
    </row>
    <row r="81" spans="1:16" ht="13.8" x14ac:dyDescent="0.3">
      <c r="A81" s="72"/>
      <c r="B81" s="10" t="s">
        <v>617</v>
      </c>
      <c r="C81" s="1">
        <v>0</v>
      </c>
      <c r="D81" s="1">
        <v>400</v>
      </c>
      <c r="E81" s="4" t="s">
        <v>282</v>
      </c>
      <c r="F81" s="3" t="s">
        <v>322</v>
      </c>
      <c r="G81" s="3">
        <v>1</v>
      </c>
      <c r="H81" s="3"/>
      <c r="I81" s="3">
        <v>0</v>
      </c>
      <c r="J81" s="72"/>
      <c r="K81" s="73"/>
      <c r="L81" s="73"/>
      <c r="M81" s="73"/>
      <c r="N81" s="73"/>
      <c r="O81" s="72"/>
      <c r="P81" s="72"/>
    </row>
    <row r="82" spans="1:16" ht="13.8" x14ac:dyDescent="0.3">
      <c r="A82" s="72"/>
      <c r="B82" s="10" t="s">
        <v>619</v>
      </c>
      <c r="C82" s="1">
        <v>15</v>
      </c>
      <c r="D82" s="1">
        <v>50000</v>
      </c>
      <c r="E82" s="6" t="s">
        <v>283</v>
      </c>
      <c r="F82" s="3" t="s">
        <v>323</v>
      </c>
      <c r="G82" s="3">
        <v>0</v>
      </c>
      <c r="H82" s="3"/>
      <c r="I82" s="3">
        <v>1</v>
      </c>
      <c r="J82" s="72"/>
      <c r="K82" s="73"/>
      <c r="L82" s="73"/>
      <c r="M82" s="73"/>
      <c r="N82" s="73"/>
      <c r="O82" s="72"/>
      <c r="P82" s="72"/>
    </row>
    <row r="83" spans="1:16" ht="13.8" x14ac:dyDescent="0.3">
      <c r="A83" s="72"/>
      <c r="B83" s="11" t="s">
        <v>618</v>
      </c>
      <c r="C83" s="2">
        <v>0</v>
      </c>
      <c r="D83" s="2">
        <v>400</v>
      </c>
      <c r="E83" s="4" t="s">
        <v>282</v>
      </c>
      <c r="F83" s="3" t="s">
        <v>322</v>
      </c>
      <c r="G83" s="3">
        <v>1</v>
      </c>
      <c r="H83" s="3"/>
      <c r="I83" s="3">
        <v>0</v>
      </c>
      <c r="J83" s="72"/>
      <c r="K83" s="73"/>
      <c r="L83" s="73"/>
      <c r="M83" s="73"/>
      <c r="N83" s="73"/>
      <c r="O83" s="72"/>
      <c r="P83" s="72"/>
    </row>
    <row r="84" spans="1:16" x14ac:dyDescent="0.25">
      <c r="A84" s="72"/>
      <c r="B84" s="138" t="s">
        <v>264</v>
      </c>
      <c r="C84" s="139"/>
      <c r="D84" s="139"/>
      <c r="E84" s="140"/>
      <c r="F84" s="140"/>
      <c r="G84" s="140"/>
      <c r="H84" s="140"/>
      <c r="I84" s="140"/>
      <c r="J84" s="72"/>
      <c r="K84" s="73"/>
      <c r="L84" s="73"/>
      <c r="M84" s="73"/>
      <c r="N84" s="73"/>
      <c r="O84" s="72"/>
      <c r="P84" s="72"/>
    </row>
    <row r="85" spans="1:16" ht="13.8" x14ac:dyDescent="0.3">
      <c r="A85" s="72"/>
      <c r="B85" s="34" t="s">
        <v>300</v>
      </c>
      <c r="C85" s="37">
        <v>400</v>
      </c>
      <c r="D85" s="224">
        <v>450</v>
      </c>
      <c r="E85" s="31" t="s">
        <v>279</v>
      </c>
      <c r="F85" s="31" t="s">
        <v>322</v>
      </c>
      <c r="G85" s="31">
        <v>1</v>
      </c>
      <c r="H85" s="31"/>
      <c r="I85" s="31">
        <v>3</v>
      </c>
      <c r="J85" s="72"/>
      <c r="K85" s="73"/>
      <c r="L85" s="73"/>
      <c r="M85" s="73"/>
      <c r="N85" s="73"/>
      <c r="O85" s="72"/>
      <c r="P85" s="72"/>
    </row>
    <row r="86" spans="1:16" ht="13.8" x14ac:dyDescent="0.3">
      <c r="A86" s="72"/>
      <c r="B86" s="36" t="s">
        <v>117</v>
      </c>
      <c r="C86" s="37">
        <v>400</v>
      </c>
      <c r="D86" s="41">
        <v>450</v>
      </c>
      <c r="E86" s="32" t="s">
        <v>279</v>
      </c>
      <c r="F86" s="31" t="s">
        <v>322</v>
      </c>
      <c r="G86" s="31">
        <v>1</v>
      </c>
      <c r="H86" s="31"/>
      <c r="I86" s="31">
        <v>3</v>
      </c>
      <c r="J86" s="72"/>
      <c r="K86" s="73"/>
      <c r="L86" s="73"/>
      <c r="M86" s="73"/>
      <c r="N86" s="73"/>
      <c r="O86" s="72"/>
      <c r="P86" s="72"/>
    </row>
    <row r="87" spans="1:16" ht="13.8" x14ac:dyDescent="0.3">
      <c r="A87" s="72"/>
      <c r="B87" s="36" t="s">
        <v>118</v>
      </c>
      <c r="C87" s="37">
        <v>400</v>
      </c>
      <c r="D87" s="41">
        <v>450</v>
      </c>
      <c r="E87" s="32" t="s">
        <v>279</v>
      </c>
      <c r="F87" s="31" t="s">
        <v>322</v>
      </c>
      <c r="G87" s="31">
        <v>1</v>
      </c>
      <c r="H87" s="31"/>
      <c r="I87" s="31">
        <v>3</v>
      </c>
      <c r="J87" s="72"/>
      <c r="K87" s="73"/>
      <c r="L87" s="73"/>
      <c r="M87" s="73"/>
      <c r="N87" s="73"/>
      <c r="O87" s="72"/>
      <c r="P87" s="72"/>
    </row>
    <row r="88" spans="1:16" ht="13.8" x14ac:dyDescent="0.3">
      <c r="A88" s="72"/>
      <c r="B88" s="35" t="s">
        <v>314</v>
      </c>
      <c r="C88" s="37">
        <v>400</v>
      </c>
      <c r="D88" s="37">
        <v>450</v>
      </c>
      <c r="E88" s="32" t="s">
        <v>279</v>
      </c>
      <c r="F88" s="31" t="s">
        <v>322</v>
      </c>
      <c r="G88" s="31">
        <v>1</v>
      </c>
      <c r="H88" s="31"/>
      <c r="I88" s="31">
        <v>5</v>
      </c>
      <c r="J88" s="72"/>
      <c r="K88" s="73"/>
      <c r="L88" s="73"/>
      <c r="M88" s="73"/>
      <c r="N88" s="73"/>
      <c r="O88" s="72"/>
      <c r="P88" s="72"/>
    </row>
    <row r="89" spans="1:16" ht="13.8" x14ac:dyDescent="0.3">
      <c r="A89" s="72"/>
      <c r="B89" s="36" t="s">
        <v>105</v>
      </c>
      <c r="C89" s="37">
        <v>50</v>
      </c>
      <c r="D89" s="41">
        <v>75</v>
      </c>
      <c r="E89" s="33" t="s">
        <v>282</v>
      </c>
      <c r="F89" s="31" t="s">
        <v>322</v>
      </c>
      <c r="G89" s="31">
        <v>1</v>
      </c>
      <c r="H89" s="31"/>
      <c r="I89" s="31">
        <v>5</v>
      </c>
      <c r="J89" s="72"/>
      <c r="K89" s="73"/>
      <c r="L89" s="73"/>
      <c r="M89" s="73"/>
      <c r="N89" s="73"/>
      <c r="O89" s="72"/>
      <c r="P89" s="72"/>
    </row>
    <row r="90" spans="1:16" ht="13.8" x14ac:dyDescent="0.3">
      <c r="A90" s="72"/>
      <c r="B90" s="36" t="s">
        <v>106</v>
      </c>
      <c r="C90" s="227">
        <f>IF(HighPwrGrant="NONE",IF(BT="YES",50,44),50)</f>
        <v>50</v>
      </c>
      <c r="D90" s="2">
        <v>57</v>
      </c>
      <c r="E90" s="32" t="s">
        <v>644</v>
      </c>
      <c r="F90" s="32" t="s">
        <v>322</v>
      </c>
      <c r="G90" s="32">
        <v>1</v>
      </c>
      <c r="H90" s="318"/>
      <c r="I90" s="32">
        <v>5</v>
      </c>
      <c r="J90" s="72"/>
      <c r="K90" s="73"/>
      <c r="L90" s="73"/>
      <c r="M90" s="73"/>
      <c r="N90" s="73"/>
      <c r="O90" s="72"/>
      <c r="P90" s="72"/>
    </row>
    <row r="91" spans="1:16" ht="13.8" x14ac:dyDescent="0.3">
      <c r="A91" s="72"/>
      <c r="B91" s="36" t="s">
        <v>22</v>
      </c>
      <c r="C91" s="37">
        <v>30</v>
      </c>
      <c r="D91" s="41">
        <v>57</v>
      </c>
      <c r="E91" s="32" t="s">
        <v>644</v>
      </c>
      <c r="F91" s="32" t="s">
        <v>322</v>
      </c>
      <c r="G91" s="32">
        <v>1</v>
      </c>
      <c r="H91" s="318"/>
      <c r="I91" s="32">
        <v>3</v>
      </c>
      <c r="J91" s="72"/>
      <c r="K91" s="73"/>
      <c r="L91" s="73"/>
      <c r="M91" s="73"/>
      <c r="N91" s="73"/>
      <c r="O91" s="72"/>
      <c r="P91" s="72"/>
    </row>
    <row r="92" spans="1:16" ht="13.8" x14ac:dyDescent="0.3">
      <c r="A92" s="72"/>
      <c r="B92" s="36" t="s">
        <v>362</v>
      </c>
      <c r="C92" s="45">
        <v>0</v>
      </c>
      <c r="D92" s="302">
        <f>IF(BT="YES",0,1)</f>
        <v>1</v>
      </c>
      <c r="E92" s="46" t="s">
        <v>62</v>
      </c>
      <c r="F92" s="303" t="str">
        <f>IF(BT="YES","PF","Warn")</f>
        <v>Warn</v>
      </c>
      <c r="G92" s="31">
        <v>0</v>
      </c>
      <c r="H92" s="31"/>
      <c r="I92" s="45">
        <v>5</v>
      </c>
      <c r="J92" s="72"/>
      <c r="K92" s="73"/>
      <c r="L92" s="73"/>
      <c r="M92" s="73"/>
      <c r="N92" s="73"/>
      <c r="O92" s="73"/>
      <c r="P92" s="72"/>
    </row>
    <row r="93" spans="1:16" ht="13.8" x14ac:dyDescent="0.3">
      <c r="A93" s="72"/>
      <c r="B93" s="36" t="s">
        <v>363</v>
      </c>
      <c r="C93" s="45">
        <v>0</v>
      </c>
      <c r="D93" s="302">
        <f>IF(BT="YES",0,1)</f>
        <v>1</v>
      </c>
      <c r="E93" s="46" t="s">
        <v>62</v>
      </c>
      <c r="F93" s="303" t="str">
        <f>IF(BT="YES","PF","Warn")</f>
        <v>Warn</v>
      </c>
      <c r="G93" s="31">
        <v>0</v>
      </c>
      <c r="H93" s="31"/>
      <c r="I93" s="45">
        <v>1</v>
      </c>
      <c r="J93" s="72"/>
      <c r="K93" s="73"/>
      <c r="L93" s="73"/>
      <c r="M93" s="73"/>
      <c r="N93" s="73"/>
      <c r="O93" s="73"/>
      <c r="P93" s="72"/>
    </row>
    <row r="94" spans="1:16" x14ac:dyDescent="0.25">
      <c r="A94" s="72"/>
      <c r="B94" s="138" t="s">
        <v>189</v>
      </c>
      <c r="C94" s="139"/>
      <c r="D94" s="139"/>
      <c r="E94" s="140"/>
      <c r="F94" s="140"/>
      <c r="G94" s="140"/>
      <c r="H94" s="140"/>
      <c r="I94" s="140"/>
      <c r="J94" s="72"/>
      <c r="K94" s="73"/>
      <c r="L94" s="73"/>
      <c r="M94" s="73"/>
      <c r="N94" s="73"/>
      <c r="O94" s="73"/>
      <c r="P94" s="72"/>
    </row>
    <row r="95" spans="1:16" ht="13.8" x14ac:dyDescent="0.3">
      <c r="A95" s="72"/>
      <c r="B95" s="34" t="s">
        <v>621</v>
      </c>
      <c r="C95" s="227">
        <f>IF(HighPwrGrant="NONE",IF(BT="YES",50,44),50)</f>
        <v>50</v>
      </c>
      <c r="D95" s="1">
        <v>57</v>
      </c>
      <c r="E95" s="3" t="s">
        <v>644</v>
      </c>
      <c r="F95" s="3" t="s">
        <v>322</v>
      </c>
      <c r="G95" s="3">
        <v>1</v>
      </c>
      <c r="H95" s="3"/>
      <c r="I95" s="3">
        <v>5</v>
      </c>
      <c r="J95" s="72"/>
      <c r="K95" s="73"/>
      <c r="L95" s="73"/>
      <c r="M95" s="73"/>
      <c r="N95" s="73"/>
      <c r="O95" s="73"/>
      <c r="P95" s="72"/>
    </row>
    <row r="96" spans="1:16" ht="13.8" x14ac:dyDescent="0.3">
      <c r="A96" s="72"/>
      <c r="B96" s="226" t="s">
        <v>620</v>
      </c>
      <c r="C96" s="227">
        <f>IF(HighPwrGrant="NONE",IF(BT="YES",50,44),50)</f>
        <v>50</v>
      </c>
      <c r="D96" s="14">
        <v>57</v>
      </c>
      <c r="E96" s="3" t="s">
        <v>644</v>
      </c>
      <c r="F96" s="3" t="s">
        <v>322</v>
      </c>
      <c r="G96" s="3">
        <v>1</v>
      </c>
      <c r="H96" s="3"/>
      <c r="I96" s="3">
        <v>5</v>
      </c>
      <c r="J96" s="72"/>
      <c r="K96" s="73"/>
      <c r="L96" s="73"/>
      <c r="M96" s="73"/>
      <c r="N96" s="73"/>
      <c r="O96" s="73"/>
      <c r="P96" s="72"/>
    </row>
    <row r="97" spans="1:16" ht="13.8" x14ac:dyDescent="0.3">
      <c r="A97" s="72"/>
      <c r="B97" s="226" t="s">
        <v>622</v>
      </c>
      <c r="C97" s="14">
        <v>0</v>
      </c>
      <c r="D97" s="14">
        <v>500</v>
      </c>
      <c r="E97" s="15" t="s">
        <v>647</v>
      </c>
      <c r="F97" s="3" t="s">
        <v>322</v>
      </c>
      <c r="G97" s="3">
        <v>1</v>
      </c>
      <c r="H97" s="3"/>
      <c r="I97" s="3">
        <v>3</v>
      </c>
      <c r="J97" s="72"/>
      <c r="K97" s="73"/>
      <c r="L97" s="73"/>
      <c r="M97" s="73"/>
      <c r="N97" s="73"/>
      <c r="O97" s="72"/>
      <c r="P97" s="72"/>
    </row>
    <row r="98" spans="1:16" ht="13.8" x14ac:dyDescent="0.3">
      <c r="A98" s="72"/>
      <c r="B98" s="226" t="s">
        <v>623</v>
      </c>
      <c r="C98" s="2">
        <v>0</v>
      </c>
      <c r="D98" s="2">
        <v>200</v>
      </c>
      <c r="E98" s="15" t="s">
        <v>647</v>
      </c>
      <c r="F98" s="3" t="s">
        <v>322</v>
      </c>
      <c r="G98" s="3">
        <v>1</v>
      </c>
      <c r="H98" s="3"/>
      <c r="I98" s="3">
        <v>3</v>
      </c>
      <c r="J98" s="72"/>
      <c r="K98" s="73"/>
      <c r="L98" s="73"/>
      <c r="M98" s="73"/>
      <c r="N98" s="73"/>
      <c r="O98" s="72"/>
      <c r="P98" s="72"/>
    </row>
    <row r="99" spans="1:16" ht="13.8" x14ac:dyDescent="0.3">
      <c r="A99" s="72"/>
      <c r="B99" s="226" t="s">
        <v>624</v>
      </c>
      <c r="C99" s="227">
        <f>IF(HighPwrGrant="NONE",IF(BT="YES",50,44),50)</f>
        <v>50</v>
      </c>
      <c r="D99" s="2">
        <v>57</v>
      </c>
      <c r="E99" s="4" t="s">
        <v>644</v>
      </c>
      <c r="F99" s="3" t="s">
        <v>322</v>
      </c>
      <c r="G99" s="3">
        <v>1</v>
      </c>
      <c r="H99" s="3"/>
      <c r="I99" s="3">
        <v>5</v>
      </c>
      <c r="J99" s="72"/>
      <c r="K99" s="73"/>
      <c r="L99" s="73"/>
      <c r="M99" s="73"/>
      <c r="N99" s="73"/>
      <c r="O99" s="72"/>
      <c r="P99" s="72"/>
    </row>
    <row r="100" spans="1:16" ht="13.8" x14ac:dyDescent="0.3">
      <c r="A100" s="72"/>
      <c r="B100" s="226" t="s">
        <v>625</v>
      </c>
      <c r="C100" s="227">
        <f>IF(HighPwrGrant="NONE",IF(BT="YES",50,44),50)</f>
        <v>50</v>
      </c>
      <c r="D100" s="2">
        <v>57</v>
      </c>
      <c r="E100" s="4" t="s">
        <v>644</v>
      </c>
      <c r="F100" s="3" t="s">
        <v>322</v>
      </c>
      <c r="G100" s="3">
        <v>1</v>
      </c>
      <c r="H100" s="3"/>
      <c r="I100" s="3">
        <v>3</v>
      </c>
      <c r="J100" s="72"/>
      <c r="K100" s="73"/>
      <c r="L100" s="73"/>
      <c r="M100" s="73"/>
      <c r="N100" s="73"/>
      <c r="O100" s="72"/>
      <c r="P100" s="72"/>
    </row>
    <row r="101" spans="1:16" x14ac:dyDescent="0.25">
      <c r="A101" s="72"/>
      <c r="B101" s="138" t="s">
        <v>107</v>
      </c>
      <c r="C101" s="139"/>
      <c r="D101" s="139"/>
      <c r="E101" s="140"/>
      <c r="F101" s="140"/>
      <c r="G101" s="140"/>
      <c r="H101" s="140"/>
      <c r="I101" s="140"/>
      <c r="J101" s="72"/>
      <c r="K101" s="73"/>
      <c r="L101" s="73"/>
      <c r="M101" s="73"/>
      <c r="N101" s="73"/>
      <c r="O101" s="72"/>
      <c r="P101" s="72"/>
    </row>
    <row r="102" spans="1:16" ht="13.8" x14ac:dyDescent="0.3">
      <c r="A102" s="72"/>
      <c r="B102" s="34" t="s">
        <v>108</v>
      </c>
      <c r="C102" s="1">
        <v>14.2</v>
      </c>
      <c r="D102" s="1">
        <v>22.7</v>
      </c>
      <c r="E102" s="3" t="s">
        <v>646</v>
      </c>
      <c r="F102" s="3" t="s">
        <v>322</v>
      </c>
      <c r="G102" s="3">
        <v>1</v>
      </c>
      <c r="H102" s="3"/>
      <c r="I102" s="3">
        <v>1</v>
      </c>
      <c r="J102" s="72"/>
      <c r="K102" s="73"/>
      <c r="L102" s="73"/>
      <c r="M102" s="73"/>
      <c r="N102" s="73"/>
      <c r="O102" s="72"/>
      <c r="P102" s="72"/>
    </row>
    <row r="103" spans="1:16" ht="13.8" x14ac:dyDescent="0.3">
      <c r="A103" s="72"/>
      <c r="B103" s="35" t="s">
        <v>343</v>
      </c>
      <c r="C103" s="32">
        <v>100</v>
      </c>
      <c r="D103" s="32">
        <v>9999</v>
      </c>
      <c r="E103" s="4" t="s">
        <v>207</v>
      </c>
      <c r="F103" s="3" t="s">
        <v>322</v>
      </c>
      <c r="G103" s="3">
        <v>1</v>
      </c>
      <c r="H103" s="3"/>
      <c r="I103" s="3">
        <v>5</v>
      </c>
      <c r="J103" s="72"/>
      <c r="K103" s="73"/>
      <c r="L103" s="73"/>
      <c r="M103" s="73"/>
      <c r="N103" s="73"/>
      <c r="O103" s="72"/>
      <c r="P103" s="72"/>
    </row>
    <row r="104" spans="1:16" ht="13.8" x14ac:dyDescent="0.3">
      <c r="A104" s="72"/>
      <c r="B104" s="34" t="s">
        <v>112</v>
      </c>
      <c r="C104" s="2">
        <v>3.9</v>
      </c>
      <c r="D104" s="2">
        <v>22.7</v>
      </c>
      <c r="E104" s="3" t="s">
        <v>646</v>
      </c>
      <c r="F104" s="3" t="s">
        <v>322</v>
      </c>
      <c r="G104" s="3">
        <v>1</v>
      </c>
      <c r="H104" s="3"/>
      <c r="I104" s="3">
        <v>1</v>
      </c>
      <c r="J104" s="72"/>
      <c r="K104" s="73"/>
      <c r="L104" s="73"/>
      <c r="M104" s="73"/>
      <c r="N104" s="73"/>
      <c r="O104" s="72"/>
      <c r="P104" s="72"/>
    </row>
    <row r="105" spans="1:16" ht="13.8" x14ac:dyDescent="0.3">
      <c r="A105" s="72"/>
      <c r="B105" s="35" t="s">
        <v>344</v>
      </c>
      <c r="C105" s="32">
        <v>100</v>
      </c>
      <c r="D105" s="32">
        <v>9999</v>
      </c>
      <c r="E105" s="4" t="s">
        <v>207</v>
      </c>
      <c r="F105" s="3" t="s">
        <v>322</v>
      </c>
      <c r="G105" s="3">
        <v>1</v>
      </c>
      <c r="H105" s="3"/>
      <c r="I105" s="3">
        <v>5</v>
      </c>
      <c r="J105" s="72"/>
      <c r="K105" s="73"/>
      <c r="L105" s="73"/>
      <c r="M105" s="73"/>
      <c r="N105" s="73"/>
      <c r="O105" s="72"/>
      <c r="P105" s="72"/>
    </row>
    <row r="106" spans="1:16" ht="13.8" x14ac:dyDescent="0.3">
      <c r="A106" s="72"/>
      <c r="B106" s="34" t="s">
        <v>113</v>
      </c>
      <c r="C106" s="2">
        <v>6.8</v>
      </c>
      <c r="D106" s="2">
        <v>22.7</v>
      </c>
      <c r="E106" s="3" t="s">
        <v>646</v>
      </c>
      <c r="F106" s="3" t="s">
        <v>322</v>
      </c>
      <c r="G106" s="3">
        <v>1</v>
      </c>
      <c r="H106" s="3"/>
      <c r="I106" s="3">
        <v>1</v>
      </c>
      <c r="J106" s="72"/>
      <c r="K106" s="73"/>
      <c r="L106" s="73"/>
      <c r="M106" s="73"/>
      <c r="N106" s="73"/>
      <c r="O106" s="72"/>
      <c r="P106" s="72"/>
    </row>
    <row r="107" spans="1:16" ht="13.8" x14ac:dyDescent="0.3">
      <c r="A107" s="72"/>
      <c r="B107" s="35" t="s">
        <v>345</v>
      </c>
      <c r="C107" s="32">
        <v>100</v>
      </c>
      <c r="D107" s="32">
        <v>9999</v>
      </c>
      <c r="E107" s="4" t="s">
        <v>207</v>
      </c>
      <c r="F107" s="3" t="s">
        <v>322</v>
      </c>
      <c r="G107" s="3">
        <v>1</v>
      </c>
      <c r="H107" s="3"/>
      <c r="I107" s="3">
        <v>5</v>
      </c>
      <c r="J107" s="72"/>
      <c r="K107" s="73"/>
      <c r="L107" s="73"/>
      <c r="M107" s="73"/>
      <c r="N107" s="73"/>
      <c r="O107" s="72"/>
      <c r="P107" s="72"/>
    </row>
    <row r="108" spans="1:16" ht="13.8" x14ac:dyDescent="0.3">
      <c r="A108" s="72"/>
      <c r="B108" s="34" t="s">
        <v>114</v>
      </c>
      <c r="C108" s="2">
        <v>14.2</v>
      </c>
      <c r="D108" s="2">
        <v>22.7</v>
      </c>
      <c r="E108" s="3" t="s">
        <v>646</v>
      </c>
      <c r="F108" s="3" t="s">
        <v>322</v>
      </c>
      <c r="G108" s="3">
        <v>1</v>
      </c>
      <c r="H108" s="3"/>
      <c r="I108" s="3">
        <v>1</v>
      </c>
      <c r="J108" s="72"/>
      <c r="K108" s="73"/>
      <c r="L108" s="73"/>
      <c r="M108" s="73"/>
      <c r="N108" s="73"/>
      <c r="O108" s="72"/>
      <c r="P108" s="72"/>
    </row>
    <row r="109" spans="1:16" ht="13.8" x14ac:dyDescent="0.3">
      <c r="A109" s="72"/>
      <c r="B109" s="35" t="s">
        <v>346</v>
      </c>
      <c r="C109" s="32">
        <v>100</v>
      </c>
      <c r="D109" s="32">
        <v>9999</v>
      </c>
      <c r="E109" s="4" t="s">
        <v>207</v>
      </c>
      <c r="F109" s="3" t="s">
        <v>322</v>
      </c>
      <c r="G109" s="3">
        <v>1</v>
      </c>
      <c r="H109" s="3"/>
      <c r="I109" s="3">
        <v>5</v>
      </c>
      <c r="J109" s="72"/>
      <c r="K109" s="73"/>
      <c r="L109" s="73"/>
      <c r="M109" s="73"/>
      <c r="N109" s="73"/>
      <c r="O109" s="72"/>
      <c r="P109" s="72"/>
    </row>
    <row r="110" spans="1:16" ht="13.8" x14ac:dyDescent="0.3">
      <c r="A110" s="72"/>
      <c r="B110" s="34" t="s">
        <v>115</v>
      </c>
      <c r="C110" s="135">
        <f>IF(HighPwrGrant="NONE",14.2,28.7)</f>
        <v>28.7</v>
      </c>
      <c r="D110" s="135">
        <f>IF(HighPwrGrant="NONE",22.7,38.9)</f>
        <v>38.9</v>
      </c>
      <c r="E110" s="3" t="s">
        <v>646</v>
      </c>
      <c r="F110" s="3" t="s">
        <v>322</v>
      </c>
      <c r="G110" s="3">
        <v>1</v>
      </c>
      <c r="H110" s="3"/>
      <c r="I110" s="3">
        <v>1</v>
      </c>
      <c r="J110" s="72"/>
      <c r="K110" s="73"/>
      <c r="L110" s="73"/>
      <c r="M110" s="73"/>
      <c r="N110" s="73"/>
      <c r="O110" s="72"/>
      <c r="P110" s="72"/>
    </row>
    <row r="111" spans="1:16" ht="13.8" x14ac:dyDescent="0.3">
      <c r="A111" s="72"/>
      <c r="B111" s="35" t="s">
        <v>347</v>
      </c>
      <c r="C111" s="32">
        <v>100</v>
      </c>
      <c r="D111" s="32">
        <v>9999</v>
      </c>
      <c r="E111" s="4" t="s">
        <v>207</v>
      </c>
      <c r="F111" s="4" t="s">
        <v>322</v>
      </c>
      <c r="G111" s="4">
        <v>1</v>
      </c>
      <c r="H111" s="317"/>
      <c r="I111" s="4">
        <v>5</v>
      </c>
      <c r="J111" s="72"/>
      <c r="K111" s="73"/>
      <c r="L111" s="73"/>
      <c r="M111" s="73"/>
      <c r="N111" s="73"/>
      <c r="O111" s="72"/>
      <c r="P111" s="72"/>
    </row>
    <row r="112" spans="1:16" ht="13.8" x14ac:dyDescent="0.3">
      <c r="A112" s="72"/>
      <c r="B112" s="35" t="s">
        <v>116</v>
      </c>
      <c r="C112" s="135">
        <f>IF(LEFT(HighPwrGrant,3)="PHY",1,0)</f>
        <v>1</v>
      </c>
      <c r="D112" s="135">
        <f>IF(LEFT(HighPwrGrant,3)="PHY",1,0)</f>
        <v>1</v>
      </c>
      <c r="E112" s="48" t="s">
        <v>62</v>
      </c>
      <c r="F112" s="3" t="s">
        <v>322</v>
      </c>
      <c r="G112" s="3">
        <v>0</v>
      </c>
      <c r="H112" s="3"/>
      <c r="I112" s="3">
        <v>5</v>
      </c>
      <c r="J112" s="72"/>
      <c r="K112" s="73"/>
      <c r="L112" s="73"/>
      <c r="M112" s="73"/>
      <c r="N112" s="73"/>
      <c r="O112" s="72"/>
      <c r="P112" s="72"/>
    </row>
    <row r="113" spans="1:16" ht="13.8" x14ac:dyDescent="0.3">
      <c r="A113" s="72"/>
      <c r="B113" s="226" t="s">
        <v>386</v>
      </c>
      <c r="C113" s="2">
        <v>1</v>
      </c>
      <c r="D113" s="2">
        <v>1</v>
      </c>
      <c r="E113" s="48" t="s">
        <v>62</v>
      </c>
      <c r="F113" s="3" t="s">
        <v>322</v>
      </c>
      <c r="G113" s="3">
        <v>0</v>
      </c>
      <c r="H113" s="3"/>
      <c r="I113" s="3">
        <v>5</v>
      </c>
      <c r="J113" s="72"/>
      <c r="K113" s="73"/>
      <c r="L113" s="73"/>
      <c r="M113" s="73"/>
      <c r="N113" s="73"/>
      <c r="O113" s="72"/>
      <c r="P113" s="72"/>
    </row>
    <row r="114" spans="1:16" ht="13.8" x14ac:dyDescent="0.3">
      <c r="A114" s="72"/>
      <c r="B114" s="226" t="s">
        <v>387</v>
      </c>
      <c r="C114" s="32">
        <v>1</v>
      </c>
      <c r="D114" s="32">
        <v>1</v>
      </c>
      <c r="E114" s="48" t="s">
        <v>62</v>
      </c>
      <c r="F114" s="3" t="s">
        <v>322</v>
      </c>
      <c r="G114" s="4">
        <v>0</v>
      </c>
      <c r="H114" s="317"/>
      <c r="I114" s="4">
        <v>5</v>
      </c>
      <c r="J114" s="72"/>
      <c r="K114" s="73"/>
      <c r="L114" s="73"/>
      <c r="M114" s="73"/>
      <c r="N114" s="73"/>
      <c r="O114" s="72"/>
      <c r="P114" s="72"/>
    </row>
    <row r="115" spans="1:16" x14ac:dyDescent="0.25">
      <c r="A115" s="72"/>
      <c r="B115" s="138" t="s">
        <v>198</v>
      </c>
      <c r="C115" s="139"/>
      <c r="D115" s="139"/>
      <c r="E115" s="140"/>
      <c r="F115" s="140"/>
      <c r="G115" s="140"/>
      <c r="H115" s="140"/>
      <c r="I115" s="140"/>
      <c r="J115" s="72"/>
      <c r="K115" s="73"/>
      <c r="L115" s="73"/>
      <c r="M115" s="73"/>
      <c r="N115" s="73"/>
      <c r="O115" s="72"/>
      <c r="P115" s="72"/>
    </row>
    <row r="116" spans="1:16" ht="13.8" x14ac:dyDescent="0.3">
      <c r="A116" s="72"/>
      <c r="B116" s="34" t="s">
        <v>626</v>
      </c>
      <c r="C116" s="1">
        <v>0</v>
      </c>
      <c r="D116" s="1">
        <v>1750</v>
      </c>
      <c r="E116" s="3" t="s">
        <v>279</v>
      </c>
      <c r="F116" s="8" t="s">
        <v>322</v>
      </c>
      <c r="G116" s="8">
        <v>1</v>
      </c>
      <c r="H116" s="8"/>
      <c r="I116" s="8">
        <v>3</v>
      </c>
      <c r="J116" s="72"/>
      <c r="K116" s="73"/>
      <c r="L116" s="73"/>
      <c r="M116" s="73"/>
      <c r="N116" s="73"/>
      <c r="O116" s="72"/>
      <c r="P116" s="72"/>
    </row>
    <row r="117" spans="1:16" ht="13.8" x14ac:dyDescent="0.3">
      <c r="A117" s="72"/>
      <c r="B117" s="226" t="s">
        <v>199</v>
      </c>
      <c r="C117" s="2">
        <v>400</v>
      </c>
      <c r="D117" s="2">
        <v>1750</v>
      </c>
      <c r="E117" s="15" t="s">
        <v>279</v>
      </c>
      <c r="F117" s="15" t="s">
        <v>322</v>
      </c>
      <c r="G117" s="15">
        <v>1</v>
      </c>
      <c r="H117" s="15"/>
      <c r="I117" s="14">
        <v>5</v>
      </c>
      <c r="J117" s="72"/>
      <c r="K117" s="73"/>
      <c r="L117" s="73"/>
      <c r="M117" s="73"/>
      <c r="N117" s="73"/>
      <c r="O117" s="72"/>
      <c r="P117" s="72"/>
    </row>
    <row r="118" spans="1:16" ht="13.8" x14ac:dyDescent="0.3">
      <c r="A118" s="72"/>
      <c r="B118" s="226" t="s">
        <v>200</v>
      </c>
      <c r="C118" s="106">
        <f>IF(HighPwrGrant="NONE",IF(BT="YES",10,50),10)</f>
        <v>10</v>
      </c>
      <c r="D118" s="106">
        <f>IF(HighPwrGrant="NONE",IF(BT="YES",9999,75),9999)</f>
        <v>9999</v>
      </c>
      <c r="E118" s="15" t="s">
        <v>282</v>
      </c>
      <c r="F118" s="15" t="s">
        <v>322</v>
      </c>
      <c r="G118" s="15">
        <v>1</v>
      </c>
      <c r="H118" s="15"/>
      <c r="I118" s="14">
        <v>3</v>
      </c>
      <c r="J118" s="72"/>
      <c r="K118" s="73"/>
      <c r="L118" s="73"/>
      <c r="M118" s="73"/>
      <c r="N118" s="73"/>
      <c r="O118" s="72"/>
      <c r="P118" s="72"/>
    </row>
    <row r="119" spans="1:16" ht="13.8" x14ac:dyDescent="0.3">
      <c r="A119" s="72"/>
      <c r="B119" s="203" t="s">
        <v>441</v>
      </c>
      <c r="C119" s="1">
        <v>10</v>
      </c>
      <c r="D119" s="204">
        <v>9999</v>
      </c>
      <c r="E119" s="15" t="s">
        <v>282</v>
      </c>
      <c r="F119" s="15" t="s">
        <v>322</v>
      </c>
      <c r="G119" s="15">
        <v>1</v>
      </c>
      <c r="H119" s="15"/>
      <c r="I119" s="14">
        <v>3</v>
      </c>
      <c r="J119" s="72"/>
      <c r="K119" s="73"/>
      <c r="L119" s="73"/>
      <c r="M119" s="73"/>
      <c r="N119" s="73"/>
      <c r="O119" s="72"/>
      <c r="P119" s="72"/>
    </row>
    <row r="120" spans="1:16" ht="13.8" x14ac:dyDescent="0.3">
      <c r="A120" s="72"/>
      <c r="B120" s="203" t="s">
        <v>443</v>
      </c>
      <c r="C120" s="1">
        <v>0</v>
      </c>
      <c r="D120" s="204">
        <v>75</v>
      </c>
      <c r="E120" s="15" t="s">
        <v>282</v>
      </c>
      <c r="F120" s="15" t="s">
        <v>322</v>
      </c>
      <c r="G120" s="15">
        <v>1</v>
      </c>
      <c r="H120" s="15"/>
      <c r="I120" s="14">
        <v>3</v>
      </c>
      <c r="J120" s="72"/>
      <c r="K120" s="73"/>
      <c r="L120" s="73"/>
      <c r="M120" s="73"/>
      <c r="N120" s="73"/>
      <c r="O120" s="72"/>
      <c r="P120" s="72"/>
    </row>
    <row r="121" spans="1:16" ht="13.8" x14ac:dyDescent="0.3">
      <c r="A121" s="72"/>
      <c r="B121" s="226" t="s">
        <v>201</v>
      </c>
      <c r="C121" s="227">
        <f>IF(HighPwrGrant="NONE",IF(BT="YES",50,44),50)</f>
        <v>50</v>
      </c>
      <c r="D121" s="14">
        <v>57</v>
      </c>
      <c r="E121" s="15" t="s">
        <v>644</v>
      </c>
      <c r="F121" s="15" t="s">
        <v>322</v>
      </c>
      <c r="G121" s="15">
        <v>1</v>
      </c>
      <c r="H121" s="15"/>
      <c r="I121" s="14">
        <v>5</v>
      </c>
      <c r="J121" s="72"/>
      <c r="K121" s="73"/>
      <c r="L121" s="73"/>
      <c r="M121" s="73"/>
      <c r="N121" s="73"/>
      <c r="O121" s="72"/>
      <c r="P121" s="72"/>
    </row>
    <row r="122" spans="1:16" ht="13.8" x14ac:dyDescent="0.3">
      <c r="A122" s="72"/>
      <c r="B122" s="35" t="s">
        <v>202</v>
      </c>
      <c r="C122" s="2">
        <v>400</v>
      </c>
      <c r="D122" s="2">
        <v>1750</v>
      </c>
      <c r="E122" s="4" t="s">
        <v>279</v>
      </c>
      <c r="F122" s="4" t="s">
        <v>323</v>
      </c>
      <c r="G122" s="4">
        <v>1</v>
      </c>
      <c r="H122" s="317"/>
      <c r="I122" s="2">
        <v>1</v>
      </c>
      <c r="J122" s="72"/>
      <c r="K122" s="73"/>
      <c r="L122" s="73"/>
      <c r="M122" s="73"/>
      <c r="N122" s="73"/>
      <c r="O122" s="72"/>
      <c r="P122" s="72"/>
    </row>
    <row r="123" spans="1:16" ht="13.8" x14ac:dyDescent="0.3">
      <c r="A123" s="72"/>
      <c r="B123" s="35" t="s">
        <v>627</v>
      </c>
      <c r="C123" s="2">
        <v>0</v>
      </c>
      <c r="D123" s="2">
        <v>1750</v>
      </c>
      <c r="E123" s="4" t="s">
        <v>279</v>
      </c>
      <c r="F123" s="4" t="s">
        <v>322</v>
      </c>
      <c r="G123" s="4">
        <v>1</v>
      </c>
      <c r="H123" s="317"/>
      <c r="I123" s="4">
        <v>3</v>
      </c>
      <c r="J123" s="72"/>
      <c r="K123" s="73"/>
      <c r="L123" s="73"/>
      <c r="M123" s="73"/>
      <c r="N123" s="73"/>
      <c r="O123" s="72"/>
      <c r="P123" s="72"/>
    </row>
    <row r="124" spans="1:16" ht="13.8" x14ac:dyDescent="0.3">
      <c r="A124" s="72"/>
      <c r="B124" s="226" t="s">
        <v>203</v>
      </c>
      <c r="C124" s="14">
        <v>683</v>
      </c>
      <c r="D124" s="14">
        <v>1750</v>
      </c>
      <c r="E124" s="15" t="s">
        <v>279</v>
      </c>
      <c r="F124" s="15" t="s">
        <v>322</v>
      </c>
      <c r="G124" s="15">
        <v>1</v>
      </c>
      <c r="H124" s="15"/>
      <c r="I124" s="14">
        <v>5</v>
      </c>
      <c r="J124" s="72"/>
      <c r="K124" s="73"/>
      <c r="L124" s="73"/>
      <c r="M124" s="73"/>
      <c r="N124" s="73"/>
      <c r="O124" s="72"/>
      <c r="P124" s="72"/>
    </row>
    <row r="125" spans="1:16" ht="13.8" x14ac:dyDescent="0.3">
      <c r="A125" s="72"/>
      <c r="B125" s="226" t="s">
        <v>204</v>
      </c>
      <c r="C125" s="2">
        <v>10</v>
      </c>
      <c r="D125" s="14">
        <v>75</v>
      </c>
      <c r="E125" s="15" t="s">
        <v>282</v>
      </c>
      <c r="F125" s="15" t="s">
        <v>322</v>
      </c>
      <c r="G125" s="15">
        <v>1</v>
      </c>
      <c r="H125" s="15"/>
      <c r="I125" s="14">
        <v>3</v>
      </c>
      <c r="J125" s="72"/>
      <c r="K125" s="73"/>
      <c r="L125" s="73"/>
      <c r="M125" s="73"/>
      <c r="N125" s="73"/>
      <c r="O125" s="72"/>
      <c r="P125" s="72"/>
    </row>
    <row r="126" spans="1:16" ht="13.8" x14ac:dyDescent="0.3">
      <c r="A126" s="72"/>
      <c r="B126" s="203" t="s">
        <v>442</v>
      </c>
      <c r="C126" s="2">
        <v>10</v>
      </c>
      <c r="D126" s="204">
        <v>9999</v>
      </c>
      <c r="E126" s="15" t="s">
        <v>282</v>
      </c>
      <c r="F126" s="15" t="s">
        <v>322</v>
      </c>
      <c r="G126" s="15">
        <v>1</v>
      </c>
      <c r="H126" s="15"/>
      <c r="I126" s="14">
        <v>3</v>
      </c>
      <c r="J126" s="72"/>
      <c r="K126" s="73"/>
      <c r="L126" s="73"/>
      <c r="M126" s="73"/>
      <c r="N126" s="73"/>
      <c r="O126" s="72"/>
      <c r="P126" s="72"/>
    </row>
    <row r="127" spans="1:16" ht="13.8" x14ac:dyDescent="0.3">
      <c r="A127" s="72"/>
      <c r="B127" s="203" t="s">
        <v>444</v>
      </c>
      <c r="C127" s="1">
        <v>0</v>
      </c>
      <c r="D127" s="204">
        <v>75</v>
      </c>
      <c r="E127" s="15" t="s">
        <v>282</v>
      </c>
      <c r="F127" s="15" t="s">
        <v>322</v>
      </c>
      <c r="G127" s="15">
        <v>1</v>
      </c>
      <c r="H127" s="15"/>
      <c r="I127" s="14">
        <v>3</v>
      </c>
      <c r="J127" s="72"/>
      <c r="K127" s="73"/>
      <c r="L127" s="73"/>
      <c r="M127" s="73"/>
      <c r="N127" s="73"/>
      <c r="O127" s="72"/>
      <c r="P127" s="72"/>
    </row>
    <row r="128" spans="1:16" ht="13.8" x14ac:dyDescent="0.3">
      <c r="A128" s="72"/>
      <c r="B128" s="226" t="s">
        <v>205</v>
      </c>
      <c r="C128" s="14">
        <v>50</v>
      </c>
      <c r="D128" s="14">
        <v>57</v>
      </c>
      <c r="E128" s="15" t="s">
        <v>644</v>
      </c>
      <c r="F128" s="15" t="s">
        <v>322</v>
      </c>
      <c r="G128" s="15">
        <v>1</v>
      </c>
      <c r="H128" s="15"/>
      <c r="I128" s="14">
        <v>5</v>
      </c>
      <c r="J128" s="72"/>
      <c r="K128" s="73"/>
      <c r="L128" s="73"/>
      <c r="M128" s="73"/>
      <c r="N128" s="73"/>
      <c r="O128" s="72"/>
      <c r="P128" s="72"/>
    </row>
    <row r="129" spans="1:16" ht="13.8" x14ac:dyDescent="0.3">
      <c r="A129" s="72"/>
      <c r="B129" s="226" t="s">
        <v>206</v>
      </c>
      <c r="C129" s="14">
        <v>683</v>
      </c>
      <c r="D129" s="14">
        <v>1750</v>
      </c>
      <c r="E129" s="15" t="s">
        <v>279</v>
      </c>
      <c r="F129" s="15" t="s">
        <v>323</v>
      </c>
      <c r="G129" s="15">
        <v>1</v>
      </c>
      <c r="H129" s="15"/>
      <c r="I129" s="14">
        <v>1</v>
      </c>
      <c r="J129" s="72"/>
      <c r="K129" s="73"/>
      <c r="L129" s="73"/>
      <c r="M129" s="73"/>
      <c r="N129" s="73"/>
      <c r="O129" s="72"/>
      <c r="P129" s="72"/>
    </row>
    <row r="130" spans="1:16" ht="13.8" x14ac:dyDescent="0.3">
      <c r="A130" s="72"/>
      <c r="B130" s="226" t="s">
        <v>338</v>
      </c>
      <c r="C130" s="106">
        <f>IF(HighPwrGrant="NONE",IF(BT="YES",92.4,-1),92.4)</f>
        <v>92.4</v>
      </c>
      <c r="D130" s="106">
        <f>IF(HighPwrGrant="NONE",IF(BT="YES",115,-1),115)</f>
        <v>115</v>
      </c>
      <c r="E130" s="15" t="s">
        <v>207</v>
      </c>
      <c r="F130" s="15" t="s">
        <v>322</v>
      </c>
      <c r="G130" s="15">
        <v>1</v>
      </c>
      <c r="H130" s="15"/>
      <c r="I130" s="14">
        <v>3</v>
      </c>
      <c r="J130" s="72"/>
      <c r="K130" s="73"/>
      <c r="L130" s="73"/>
      <c r="M130" s="73"/>
      <c r="N130" s="73"/>
      <c r="O130" s="72"/>
      <c r="P130" s="72"/>
    </row>
    <row r="131" spans="1:16" ht="13.8" x14ac:dyDescent="0.3">
      <c r="A131" s="72"/>
      <c r="B131" s="226" t="s">
        <v>339</v>
      </c>
      <c r="C131" s="14">
        <v>92.4</v>
      </c>
      <c r="D131" s="14">
        <v>115</v>
      </c>
      <c r="E131" s="15" t="s">
        <v>207</v>
      </c>
      <c r="F131" s="15" t="s">
        <v>322</v>
      </c>
      <c r="G131" s="15">
        <v>1</v>
      </c>
      <c r="H131" s="15"/>
      <c r="I131" s="14">
        <v>3</v>
      </c>
      <c r="J131" s="72"/>
      <c r="K131" s="73"/>
      <c r="L131" s="73"/>
      <c r="M131" s="73"/>
      <c r="N131" s="73"/>
      <c r="O131" s="72"/>
      <c r="P131" s="72"/>
    </row>
    <row r="132" spans="1:16" x14ac:dyDescent="0.25">
      <c r="A132" s="72"/>
      <c r="B132" s="138" t="s">
        <v>208</v>
      </c>
      <c r="C132" s="139"/>
      <c r="D132" s="139"/>
      <c r="E132" s="140"/>
      <c r="F132" s="140"/>
      <c r="G132" s="140"/>
      <c r="H132" s="140"/>
      <c r="I132" s="140"/>
      <c r="J132" s="72"/>
      <c r="K132" s="73"/>
      <c r="L132" s="73"/>
      <c r="M132" s="73"/>
      <c r="N132" s="73"/>
      <c r="O132" s="72"/>
      <c r="P132" s="72"/>
    </row>
    <row r="133" spans="1:16" ht="13.8" x14ac:dyDescent="0.3">
      <c r="A133" s="72"/>
      <c r="B133" s="34" t="s">
        <v>209</v>
      </c>
      <c r="C133" s="1">
        <v>100</v>
      </c>
      <c r="D133" s="1">
        <v>125</v>
      </c>
      <c r="E133" s="8" t="s">
        <v>207</v>
      </c>
      <c r="F133" s="8" t="s">
        <v>322</v>
      </c>
      <c r="G133" s="8">
        <v>1</v>
      </c>
      <c r="H133" s="8"/>
      <c r="I133" s="8">
        <v>5</v>
      </c>
      <c r="J133" s="72"/>
      <c r="K133" s="73"/>
      <c r="L133" s="73"/>
      <c r="M133" s="73"/>
      <c r="N133" s="73"/>
      <c r="O133" s="72"/>
      <c r="P133" s="72"/>
    </row>
    <row r="134" spans="1:16" ht="13.8" x14ac:dyDescent="0.3">
      <c r="A134" s="72"/>
      <c r="B134" s="226" t="s">
        <v>210</v>
      </c>
      <c r="C134" s="227">
        <f>IF(HighPwrGrant="NONE",IF(BT="YES",50,44),50)</f>
        <v>50</v>
      </c>
      <c r="D134" s="14">
        <v>57</v>
      </c>
      <c r="E134" s="15" t="s">
        <v>644</v>
      </c>
      <c r="F134" s="15" t="s">
        <v>322</v>
      </c>
      <c r="G134" s="15">
        <v>1</v>
      </c>
      <c r="H134" s="15"/>
      <c r="I134" s="14">
        <v>5</v>
      </c>
      <c r="J134" s="72"/>
      <c r="K134" s="73"/>
      <c r="L134" s="73"/>
      <c r="M134" s="73"/>
      <c r="N134" s="73"/>
      <c r="O134" s="72"/>
      <c r="P134" s="72"/>
    </row>
    <row r="135" spans="1:16" ht="13.8" x14ac:dyDescent="0.3">
      <c r="A135" s="72"/>
      <c r="B135" s="226" t="s">
        <v>211</v>
      </c>
      <c r="C135" s="227">
        <f>IF(HighPwrGrant="NONE",IF(BT="YES",50,44),50)</f>
        <v>50</v>
      </c>
      <c r="D135" s="2">
        <v>57</v>
      </c>
      <c r="E135" s="4" t="s">
        <v>644</v>
      </c>
      <c r="F135" s="4" t="s">
        <v>322</v>
      </c>
      <c r="G135" s="4">
        <v>1</v>
      </c>
      <c r="H135" s="317"/>
      <c r="I135" s="2">
        <v>5</v>
      </c>
      <c r="J135" s="72"/>
      <c r="K135" s="73"/>
      <c r="L135" s="73"/>
      <c r="M135" s="73"/>
      <c r="N135" s="73"/>
      <c r="O135" s="72"/>
      <c r="P135" s="72"/>
    </row>
    <row r="136" spans="1:16" ht="13.8" x14ac:dyDescent="0.3">
      <c r="A136" s="72"/>
      <c r="B136" s="226" t="s">
        <v>212</v>
      </c>
      <c r="C136" s="2">
        <v>100</v>
      </c>
      <c r="D136" s="2">
        <v>125</v>
      </c>
      <c r="E136" s="4" t="s">
        <v>207</v>
      </c>
      <c r="F136" s="4" t="s">
        <v>322</v>
      </c>
      <c r="G136" s="4">
        <v>1</v>
      </c>
      <c r="H136" s="317"/>
      <c r="I136" s="4">
        <v>5</v>
      </c>
      <c r="J136" s="72"/>
      <c r="K136" s="73"/>
      <c r="L136" s="73"/>
      <c r="M136" s="73"/>
      <c r="N136" s="73"/>
      <c r="O136" s="72"/>
      <c r="P136" s="72"/>
    </row>
    <row r="137" spans="1:16" ht="13.8" x14ac:dyDescent="0.3">
      <c r="A137" s="72"/>
      <c r="B137" s="226" t="s">
        <v>213</v>
      </c>
      <c r="C137" s="14">
        <v>50</v>
      </c>
      <c r="D137" s="14">
        <v>57</v>
      </c>
      <c r="E137" s="15" t="s">
        <v>644</v>
      </c>
      <c r="F137" s="15" t="s">
        <v>322</v>
      </c>
      <c r="G137" s="15">
        <v>1</v>
      </c>
      <c r="H137" s="15"/>
      <c r="I137" s="14">
        <v>5</v>
      </c>
      <c r="J137" s="72"/>
      <c r="K137" s="73"/>
      <c r="L137" s="73"/>
      <c r="M137" s="73"/>
      <c r="N137" s="73"/>
      <c r="O137" s="72"/>
      <c r="P137" s="72"/>
    </row>
    <row r="138" spans="1:16" ht="13.8" x14ac:dyDescent="0.3">
      <c r="A138" s="72"/>
      <c r="B138" s="226" t="s">
        <v>214</v>
      </c>
      <c r="C138" s="14">
        <v>50</v>
      </c>
      <c r="D138" s="14">
        <v>57</v>
      </c>
      <c r="E138" s="4" t="s">
        <v>644</v>
      </c>
      <c r="F138" s="4" t="s">
        <v>322</v>
      </c>
      <c r="G138" s="4">
        <v>1</v>
      </c>
      <c r="H138" s="317"/>
      <c r="I138" s="2">
        <v>5</v>
      </c>
      <c r="J138" s="72"/>
      <c r="K138" s="73"/>
      <c r="L138" s="73"/>
      <c r="M138" s="73"/>
      <c r="N138" s="73"/>
      <c r="O138" s="72"/>
      <c r="P138" s="72"/>
    </row>
    <row r="139" spans="1:16" x14ac:dyDescent="0.25">
      <c r="A139" s="72"/>
      <c r="B139" s="290" t="s">
        <v>453</v>
      </c>
      <c r="C139" s="291"/>
      <c r="D139" s="291"/>
      <c r="E139" s="292"/>
      <c r="F139" s="292"/>
      <c r="G139" s="292"/>
      <c r="H139" s="292"/>
      <c r="I139" s="292"/>
      <c r="J139" s="72"/>
      <c r="K139" s="73"/>
      <c r="L139" s="73"/>
      <c r="M139" s="73"/>
      <c r="N139" s="73"/>
      <c r="O139" s="72"/>
      <c r="P139" s="72"/>
    </row>
    <row r="140" spans="1:16" ht="13.8" x14ac:dyDescent="0.3">
      <c r="A140" s="72"/>
      <c r="B140" s="293" t="s">
        <v>454</v>
      </c>
      <c r="C140" s="294">
        <v>1</v>
      </c>
      <c r="D140" s="294">
        <v>1</v>
      </c>
      <c r="E140" s="295" t="s">
        <v>62</v>
      </c>
      <c r="F140" s="295" t="s">
        <v>323</v>
      </c>
      <c r="G140" s="295">
        <v>1</v>
      </c>
      <c r="H140" s="295"/>
      <c r="I140" s="295"/>
      <c r="J140" s="72"/>
      <c r="K140" s="73"/>
      <c r="L140" s="73"/>
      <c r="M140" s="73"/>
      <c r="N140" s="73"/>
      <c r="O140" s="72"/>
      <c r="P140" s="72"/>
    </row>
    <row r="141" spans="1:16" ht="13.8" x14ac:dyDescent="0.3">
      <c r="A141" s="72"/>
      <c r="B141" s="296" t="s">
        <v>455</v>
      </c>
      <c r="C141" s="297">
        <v>1</v>
      </c>
      <c r="D141" s="297">
        <v>99</v>
      </c>
      <c r="E141" s="298" t="s">
        <v>62</v>
      </c>
      <c r="F141" s="298" t="s">
        <v>322</v>
      </c>
      <c r="G141" s="298">
        <v>1</v>
      </c>
      <c r="H141" s="298"/>
      <c r="I141" s="297">
        <v>3</v>
      </c>
      <c r="J141" s="72"/>
      <c r="K141" s="73"/>
      <c r="L141" s="73"/>
      <c r="M141" s="73"/>
      <c r="N141" s="73"/>
      <c r="O141" s="72"/>
      <c r="P141" s="72"/>
    </row>
    <row r="142" spans="1:16" ht="13.8" x14ac:dyDescent="0.3">
      <c r="A142" s="72"/>
      <c r="B142" s="296" t="s">
        <v>456</v>
      </c>
      <c r="C142" s="299">
        <v>1</v>
      </c>
      <c r="D142" s="299">
        <v>99</v>
      </c>
      <c r="E142" s="300" t="s">
        <v>62</v>
      </c>
      <c r="F142" s="300" t="s">
        <v>322</v>
      </c>
      <c r="G142" s="300">
        <v>1</v>
      </c>
      <c r="H142" s="319"/>
      <c r="I142" s="299">
        <v>3</v>
      </c>
      <c r="J142" s="72"/>
      <c r="K142" s="73"/>
      <c r="L142" s="73"/>
      <c r="M142" s="73"/>
      <c r="N142" s="73"/>
      <c r="O142" s="72"/>
      <c r="P142" s="72"/>
    </row>
    <row r="143" spans="1:16" ht="13.8" x14ac:dyDescent="0.3">
      <c r="A143" s="72"/>
      <c r="B143" s="296" t="s">
        <v>465</v>
      </c>
      <c r="C143" s="299">
        <v>1</v>
      </c>
      <c r="D143" s="299">
        <v>99</v>
      </c>
      <c r="E143" s="300" t="s">
        <v>62</v>
      </c>
      <c r="F143" s="300" t="s">
        <v>322</v>
      </c>
      <c r="G143" s="300">
        <v>1</v>
      </c>
      <c r="H143" s="319"/>
      <c r="I143" s="300">
        <v>3</v>
      </c>
      <c r="J143" s="72"/>
      <c r="K143" s="73"/>
      <c r="L143" s="73"/>
      <c r="M143" s="73"/>
      <c r="N143" s="73"/>
      <c r="O143" s="72"/>
      <c r="P143" s="72"/>
    </row>
    <row r="144" spans="1:16" ht="13.8" x14ac:dyDescent="0.3">
      <c r="A144" s="72"/>
      <c r="B144" s="296" t="s">
        <v>466</v>
      </c>
      <c r="C144" s="297">
        <v>1</v>
      </c>
      <c r="D144" s="297">
        <v>99</v>
      </c>
      <c r="E144" s="298" t="s">
        <v>62</v>
      </c>
      <c r="F144" s="298" t="s">
        <v>322</v>
      </c>
      <c r="G144" s="298">
        <v>1</v>
      </c>
      <c r="H144" s="298"/>
      <c r="I144" s="297">
        <v>3</v>
      </c>
      <c r="J144" s="72"/>
      <c r="K144" s="73"/>
      <c r="L144" s="73"/>
      <c r="M144" s="73"/>
      <c r="N144" s="73"/>
      <c r="O144" s="72"/>
      <c r="P144" s="72"/>
    </row>
    <row r="145" spans="1:16" ht="13.8" x14ac:dyDescent="0.3">
      <c r="A145" s="72"/>
      <c r="B145" s="296" t="s">
        <v>467</v>
      </c>
      <c r="C145" s="297">
        <v>1</v>
      </c>
      <c r="D145" s="297">
        <v>99</v>
      </c>
      <c r="E145" s="298" t="s">
        <v>62</v>
      </c>
      <c r="F145" s="298" t="s">
        <v>322</v>
      </c>
      <c r="G145" s="298">
        <v>1</v>
      </c>
      <c r="H145" s="298"/>
      <c r="I145" s="297">
        <v>3</v>
      </c>
      <c r="J145" s="72"/>
      <c r="K145" s="73"/>
      <c r="L145" s="73"/>
      <c r="M145" s="73"/>
      <c r="N145" s="73"/>
      <c r="O145" s="72"/>
      <c r="P145" s="72"/>
    </row>
    <row r="146" spans="1:16" x14ac:dyDescent="0.25">
      <c r="A146" s="72"/>
      <c r="B146" s="138" t="s">
        <v>273</v>
      </c>
      <c r="C146" s="139"/>
      <c r="D146" s="139"/>
      <c r="E146" s="140"/>
      <c r="F146" s="140"/>
      <c r="G146" s="140"/>
      <c r="H146" s="140"/>
      <c r="I146" s="140"/>
      <c r="J146" s="72"/>
      <c r="K146" s="73"/>
      <c r="L146" s="73"/>
      <c r="M146" s="73"/>
      <c r="N146" s="73"/>
      <c r="O146" s="72"/>
      <c r="P146" s="72"/>
    </row>
    <row r="147" spans="1:16" ht="13.8" x14ac:dyDescent="0.3">
      <c r="A147" s="72"/>
      <c r="B147" s="10" t="s">
        <v>307</v>
      </c>
      <c r="C147" s="1">
        <v>1</v>
      </c>
      <c r="D147" s="301">
        <f>IF(BT="YES",6,60)</f>
        <v>60</v>
      </c>
      <c r="E147" s="3" t="s">
        <v>282</v>
      </c>
      <c r="F147" s="3" t="s">
        <v>322</v>
      </c>
      <c r="G147" s="3">
        <v>1</v>
      </c>
      <c r="H147" s="3"/>
      <c r="I147" s="3">
        <v>5</v>
      </c>
      <c r="J147" s="72"/>
      <c r="K147" s="73"/>
      <c r="L147" s="73"/>
      <c r="M147" s="73"/>
      <c r="N147" s="73"/>
      <c r="O147" s="72"/>
      <c r="P147" s="72"/>
    </row>
    <row r="148" spans="1:16" ht="13.8" x14ac:dyDescent="0.3">
      <c r="A148" s="72"/>
      <c r="B148" s="11" t="s">
        <v>23</v>
      </c>
      <c r="C148" s="2">
        <v>1</v>
      </c>
      <c r="D148" s="2">
        <v>1</v>
      </c>
      <c r="E148" s="4" t="s">
        <v>62</v>
      </c>
      <c r="F148" s="4" t="s">
        <v>322</v>
      </c>
      <c r="G148" s="4">
        <v>0</v>
      </c>
      <c r="H148" s="317"/>
      <c r="I148" s="4">
        <v>5</v>
      </c>
      <c r="J148" s="72"/>
      <c r="K148" s="73"/>
      <c r="L148" s="73"/>
      <c r="M148" s="73"/>
      <c r="N148" s="73"/>
      <c r="O148" s="72"/>
      <c r="P148" s="72"/>
    </row>
    <row r="149" spans="1:16" x14ac:dyDescent="0.25">
      <c r="A149" s="72"/>
      <c r="B149" s="138" t="s">
        <v>274</v>
      </c>
      <c r="C149" s="139"/>
      <c r="D149" s="139"/>
      <c r="E149" s="140"/>
      <c r="F149" s="140"/>
      <c r="G149" s="140"/>
      <c r="H149" s="140"/>
      <c r="I149" s="140"/>
      <c r="J149" s="72"/>
      <c r="K149" s="73"/>
      <c r="L149" s="73"/>
      <c r="M149" s="73"/>
      <c r="N149" s="73"/>
      <c r="O149" s="72"/>
      <c r="P149" s="72"/>
    </row>
    <row r="150" spans="1:16" ht="13.8" x14ac:dyDescent="0.3">
      <c r="A150" s="72"/>
      <c r="B150" s="34" t="s">
        <v>24</v>
      </c>
      <c r="C150" s="302">
        <f>IF(BT="YES",4,5)</f>
        <v>5</v>
      </c>
      <c r="D150" s="302">
        <f>IF(BT="YES",9,10)</f>
        <v>10</v>
      </c>
      <c r="E150" s="3" t="s">
        <v>279</v>
      </c>
      <c r="F150" s="3" t="s">
        <v>322</v>
      </c>
      <c r="G150" s="3">
        <v>1</v>
      </c>
      <c r="H150" s="3"/>
      <c r="I150" s="3">
        <v>5</v>
      </c>
      <c r="J150" s="72"/>
      <c r="K150" s="73"/>
      <c r="L150" s="73"/>
      <c r="M150" s="73"/>
      <c r="N150" s="73"/>
      <c r="O150" s="72"/>
      <c r="P150" s="72"/>
    </row>
    <row r="151" spans="1:16" ht="13.8" x14ac:dyDescent="0.3">
      <c r="A151" s="72"/>
      <c r="B151" s="11" t="s">
        <v>308</v>
      </c>
      <c r="C151" s="302">
        <f>IF(BT="YES",320,300)</f>
        <v>300</v>
      </c>
      <c r="D151" s="2">
        <v>400</v>
      </c>
      <c r="E151" s="4" t="s">
        <v>282</v>
      </c>
      <c r="F151" s="3" t="s">
        <v>322</v>
      </c>
      <c r="G151" s="3">
        <v>0</v>
      </c>
      <c r="H151" s="3"/>
      <c r="I151" s="3">
        <v>1</v>
      </c>
      <c r="J151" s="72"/>
      <c r="K151" s="73"/>
      <c r="L151" s="73"/>
      <c r="M151" s="73"/>
      <c r="N151" s="73"/>
      <c r="O151" s="72"/>
      <c r="P151" s="72"/>
    </row>
    <row r="152" spans="1:16" x14ac:dyDescent="0.25">
      <c r="A152" s="72"/>
      <c r="B152" s="138" t="s">
        <v>268</v>
      </c>
      <c r="C152" s="139"/>
      <c r="D152" s="139"/>
      <c r="E152" s="140"/>
      <c r="F152" s="140"/>
      <c r="G152" s="140"/>
      <c r="H152" s="140"/>
      <c r="I152" s="140"/>
      <c r="J152" s="72"/>
      <c r="K152" s="73"/>
      <c r="L152" s="73"/>
      <c r="M152" s="73"/>
      <c r="N152" s="73"/>
      <c r="O152" s="72"/>
      <c r="P152" s="72"/>
    </row>
    <row r="153" spans="1:16" ht="13.8" x14ac:dyDescent="0.3">
      <c r="A153" s="72"/>
      <c r="B153" s="34" t="s">
        <v>190</v>
      </c>
      <c r="C153" s="37">
        <v>-1</v>
      </c>
      <c r="D153" s="37">
        <f>1750</f>
        <v>1750</v>
      </c>
      <c r="E153" s="31" t="s">
        <v>279</v>
      </c>
      <c r="F153" s="3" t="s">
        <v>322</v>
      </c>
      <c r="G153" s="3">
        <v>1</v>
      </c>
      <c r="H153" s="3"/>
      <c r="I153" s="37">
        <v>5</v>
      </c>
      <c r="J153" s="72"/>
      <c r="K153" s="73"/>
      <c r="L153" s="73"/>
      <c r="M153" s="73"/>
      <c r="N153" s="73"/>
      <c r="O153" s="72"/>
      <c r="P153" s="72"/>
    </row>
    <row r="154" spans="1:16" ht="13.8" x14ac:dyDescent="0.3">
      <c r="A154" s="72"/>
      <c r="B154" s="35" t="s">
        <v>191</v>
      </c>
      <c r="C154" s="37">
        <v>50</v>
      </c>
      <c r="D154" s="37">
        <v>9999</v>
      </c>
      <c r="E154" s="31" t="s">
        <v>282</v>
      </c>
      <c r="F154" s="3" t="s">
        <v>322</v>
      </c>
      <c r="G154" s="3">
        <v>1</v>
      </c>
      <c r="H154" s="3"/>
      <c r="I154" s="37">
        <v>1</v>
      </c>
      <c r="J154" s="72"/>
      <c r="K154" s="73"/>
      <c r="L154" s="73"/>
      <c r="M154" s="73"/>
      <c r="N154" s="73"/>
      <c r="O154" s="72"/>
      <c r="P154" s="72"/>
    </row>
    <row r="155" spans="1:16" ht="13.8" x14ac:dyDescent="0.3">
      <c r="A155" s="72"/>
      <c r="B155" s="35" t="s">
        <v>192</v>
      </c>
      <c r="C155" s="37">
        <v>-1</v>
      </c>
      <c r="D155" s="134">
        <f>IF(HighPwrGrant="NONE",399,683)</f>
        <v>683</v>
      </c>
      <c r="E155" s="31" t="s">
        <v>279</v>
      </c>
      <c r="F155" s="3" t="s">
        <v>322</v>
      </c>
      <c r="G155" s="3">
        <v>1</v>
      </c>
      <c r="H155" s="3"/>
      <c r="I155" s="37">
        <v>5</v>
      </c>
      <c r="J155" s="72"/>
      <c r="K155" s="73"/>
      <c r="L155" s="73"/>
      <c r="M155" s="73"/>
      <c r="N155" s="73"/>
      <c r="O155" s="72"/>
      <c r="P155" s="72"/>
    </row>
    <row r="156" spans="1:16" ht="13.8" x14ac:dyDescent="0.3">
      <c r="A156" s="72"/>
      <c r="B156" s="35" t="s">
        <v>193</v>
      </c>
      <c r="C156" s="37">
        <v>-1</v>
      </c>
      <c r="D156" s="37">
        <v>2000</v>
      </c>
      <c r="E156" s="31" t="s">
        <v>282</v>
      </c>
      <c r="F156" s="3" t="s">
        <v>322</v>
      </c>
      <c r="G156" s="3">
        <v>1</v>
      </c>
      <c r="H156" s="3"/>
      <c r="I156" s="37">
        <v>1</v>
      </c>
      <c r="J156" s="72"/>
      <c r="K156" s="73"/>
      <c r="L156" s="73"/>
      <c r="M156" s="73"/>
      <c r="N156" s="73"/>
      <c r="O156" s="72"/>
      <c r="P156" s="72"/>
    </row>
    <row r="157" spans="1:16" ht="13.8" x14ac:dyDescent="0.3">
      <c r="A157" s="72"/>
      <c r="B157" s="35" t="s">
        <v>194</v>
      </c>
      <c r="C157" s="37">
        <v>-1</v>
      </c>
      <c r="D157" s="37">
        <v>1750</v>
      </c>
      <c r="E157" s="31" t="s">
        <v>279</v>
      </c>
      <c r="F157" s="3" t="s">
        <v>322</v>
      </c>
      <c r="G157" s="3">
        <v>1</v>
      </c>
      <c r="H157" s="3"/>
      <c r="I157" s="37">
        <v>5</v>
      </c>
      <c r="J157" s="72"/>
      <c r="K157" s="73"/>
      <c r="L157" s="73"/>
      <c r="M157" s="73"/>
      <c r="N157" s="73"/>
      <c r="O157" s="72"/>
      <c r="P157" s="72"/>
    </row>
    <row r="158" spans="1:16" ht="13.8" x14ac:dyDescent="0.3">
      <c r="A158" s="72"/>
      <c r="B158" s="35" t="s">
        <v>195</v>
      </c>
      <c r="C158" s="37">
        <v>10</v>
      </c>
      <c r="D158" s="37">
        <v>9999</v>
      </c>
      <c r="E158" s="31" t="s">
        <v>282</v>
      </c>
      <c r="F158" s="3" t="s">
        <v>322</v>
      </c>
      <c r="G158" s="3">
        <v>1</v>
      </c>
      <c r="H158" s="3"/>
      <c r="I158" s="37">
        <v>1</v>
      </c>
      <c r="J158" s="72"/>
      <c r="K158" s="73"/>
      <c r="L158" s="73"/>
      <c r="M158" s="73"/>
      <c r="N158" s="73"/>
      <c r="O158" s="72"/>
      <c r="P158" s="72"/>
    </row>
    <row r="159" spans="1:16" ht="13.8" x14ac:dyDescent="0.3">
      <c r="A159" s="72"/>
      <c r="B159" s="35" t="s">
        <v>196</v>
      </c>
      <c r="C159" s="37">
        <v>-1</v>
      </c>
      <c r="D159" s="37">
        <v>683</v>
      </c>
      <c r="E159" s="31" t="s">
        <v>279</v>
      </c>
      <c r="F159" s="3" t="s">
        <v>322</v>
      </c>
      <c r="G159" s="3">
        <v>1</v>
      </c>
      <c r="H159" s="3"/>
      <c r="I159" s="37">
        <v>5</v>
      </c>
      <c r="J159" s="72"/>
      <c r="K159" s="73"/>
      <c r="L159" s="73"/>
      <c r="M159" s="73"/>
      <c r="N159" s="73"/>
      <c r="O159" s="72"/>
      <c r="P159" s="72"/>
    </row>
    <row r="160" spans="1:16" ht="13.8" x14ac:dyDescent="0.3">
      <c r="A160" s="72"/>
      <c r="B160" s="35" t="s">
        <v>197</v>
      </c>
      <c r="C160" s="37">
        <v>-1</v>
      </c>
      <c r="D160" s="37">
        <v>2000</v>
      </c>
      <c r="E160" s="31" t="s">
        <v>282</v>
      </c>
      <c r="F160" s="3" t="s">
        <v>322</v>
      </c>
      <c r="G160" s="3">
        <v>1</v>
      </c>
      <c r="H160" s="3"/>
      <c r="I160" s="37">
        <v>1</v>
      </c>
      <c r="J160" s="72"/>
      <c r="K160" s="73"/>
      <c r="L160" s="73"/>
      <c r="M160" s="73"/>
      <c r="N160" s="73"/>
      <c r="O160" s="72"/>
      <c r="P160" s="72"/>
    </row>
    <row r="161" spans="1:16" x14ac:dyDescent="0.25">
      <c r="A161" s="72"/>
      <c r="B161" s="138" t="s">
        <v>269</v>
      </c>
      <c r="C161" s="139"/>
      <c r="D161" s="139"/>
      <c r="E161" s="140"/>
      <c r="F161" s="140"/>
      <c r="G161" s="140"/>
      <c r="H161" s="140"/>
      <c r="I161" s="140"/>
      <c r="J161" s="72"/>
      <c r="K161" s="73"/>
      <c r="L161" s="73"/>
      <c r="M161" s="73"/>
      <c r="N161" s="73"/>
      <c r="O161" s="72"/>
      <c r="P161" s="72"/>
    </row>
    <row r="162" spans="1:16" ht="13.8" x14ac:dyDescent="0.3">
      <c r="A162" s="72"/>
      <c r="B162" s="47" t="s">
        <v>306</v>
      </c>
      <c r="C162" s="1">
        <v>0</v>
      </c>
      <c r="D162" s="1">
        <v>500</v>
      </c>
      <c r="E162" s="3" t="s">
        <v>282</v>
      </c>
      <c r="F162" s="3" t="s">
        <v>322</v>
      </c>
      <c r="G162" s="3">
        <v>1</v>
      </c>
      <c r="H162" s="3"/>
      <c r="I162" s="3">
        <v>1</v>
      </c>
      <c r="J162" s="72"/>
      <c r="K162" s="73"/>
      <c r="L162" s="73"/>
      <c r="M162" s="73"/>
      <c r="N162" s="73"/>
      <c r="O162" s="72"/>
      <c r="P162" s="72"/>
    </row>
    <row r="163" spans="1:16" ht="13.8" x14ac:dyDescent="0.3">
      <c r="A163" s="72"/>
      <c r="B163" s="19" t="s">
        <v>318</v>
      </c>
      <c r="C163" s="2">
        <v>-1</v>
      </c>
      <c r="D163" s="2">
        <v>0.52</v>
      </c>
      <c r="E163" s="5" t="s">
        <v>281</v>
      </c>
      <c r="F163" s="3" t="s">
        <v>322</v>
      </c>
      <c r="G163" s="3">
        <v>2</v>
      </c>
      <c r="H163" s="3"/>
      <c r="I163" s="3">
        <v>1</v>
      </c>
      <c r="J163" s="72"/>
      <c r="K163" s="73"/>
      <c r="L163" s="73"/>
      <c r="M163" s="73"/>
      <c r="N163" s="73"/>
      <c r="O163" s="72"/>
      <c r="P163" s="72"/>
    </row>
    <row r="164" spans="1:16" ht="13.8" x14ac:dyDescent="0.3">
      <c r="A164" s="72"/>
      <c r="B164" s="19" t="s">
        <v>319</v>
      </c>
      <c r="C164" s="2">
        <v>45</v>
      </c>
      <c r="D164" s="2">
        <v>50000</v>
      </c>
      <c r="E164" s="4" t="s">
        <v>280</v>
      </c>
      <c r="F164" s="3" t="s">
        <v>323</v>
      </c>
      <c r="G164" s="3">
        <v>0</v>
      </c>
      <c r="H164" s="3"/>
      <c r="I164" s="3">
        <v>1</v>
      </c>
      <c r="J164" s="72"/>
      <c r="K164" s="73"/>
      <c r="L164" s="73"/>
      <c r="M164" s="73"/>
      <c r="N164" s="73"/>
      <c r="O164" s="72"/>
      <c r="P164" s="72"/>
    </row>
    <row r="165" spans="1:16" x14ac:dyDescent="0.25">
      <c r="A165" s="72"/>
      <c r="B165" s="138" t="s">
        <v>270</v>
      </c>
      <c r="C165" s="139"/>
      <c r="D165" s="139"/>
      <c r="E165" s="140"/>
      <c r="F165" s="140"/>
      <c r="G165" s="140"/>
      <c r="H165" s="140"/>
      <c r="I165" s="140"/>
      <c r="J165" s="72"/>
      <c r="K165" s="73"/>
      <c r="L165" s="73"/>
      <c r="M165" s="73"/>
      <c r="N165" s="73"/>
      <c r="O165" s="72"/>
      <c r="P165" s="72"/>
    </row>
    <row r="166" spans="1:16" ht="13.8" x14ac:dyDescent="0.3">
      <c r="A166" s="72"/>
      <c r="B166" s="10" t="s">
        <v>316</v>
      </c>
      <c r="C166" s="1">
        <v>0</v>
      </c>
      <c r="D166" s="1">
        <v>2.8</v>
      </c>
      <c r="E166" s="3" t="s">
        <v>644</v>
      </c>
      <c r="F166" s="3" t="s">
        <v>322</v>
      </c>
      <c r="G166" s="3">
        <v>1</v>
      </c>
      <c r="H166" s="3"/>
      <c r="I166" s="3">
        <v>1</v>
      </c>
      <c r="J166" s="72"/>
      <c r="K166" s="73"/>
      <c r="L166" s="73"/>
      <c r="M166" s="73"/>
      <c r="N166" s="73"/>
      <c r="O166" s="72"/>
      <c r="P166" s="72"/>
    </row>
    <row r="167" spans="1:16" ht="13.8" x14ac:dyDescent="0.3">
      <c r="A167" s="72"/>
      <c r="B167" s="11" t="s">
        <v>315</v>
      </c>
      <c r="C167" s="2">
        <v>750</v>
      </c>
      <c r="D167" s="2">
        <v>10000</v>
      </c>
      <c r="E167" s="4" t="s">
        <v>282</v>
      </c>
      <c r="F167" s="3" t="s">
        <v>322</v>
      </c>
      <c r="G167" s="3">
        <v>0</v>
      </c>
      <c r="H167" s="3"/>
      <c r="I167" s="3">
        <v>0</v>
      </c>
      <c r="J167" s="72"/>
      <c r="K167" s="73"/>
      <c r="L167" s="73"/>
      <c r="M167" s="73"/>
      <c r="N167" s="73"/>
      <c r="O167" s="72"/>
      <c r="P167" s="72"/>
    </row>
    <row r="168" spans="1:16" ht="13.8" x14ac:dyDescent="0.3">
      <c r="A168" s="72"/>
      <c r="B168" s="11" t="s">
        <v>317</v>
      </c>
      <c r="C168" s="2">
        <v>0</v>
      </c>
      <c r="D168" s="2">
        <v>20.5</v>
      </c>
      <c r="E168" s="4" t="s">
        <v>644</v>
      </c>
      <c r="F168" s="3" t="s">
        <v>322</v>
      </c>
      <c r="G168" s="3">
        <v>1</v>
      </c>
      <c r="H168" s="3"/>
      <c r="I168" s="3">
        <v>1</v>
      </c>
      <c r="J168" s="72"/>
      <c r="K168" s="73"/>
      <c r="L168" s="73"/>
      <c r="M168" s="73"/>
      <c r="N168" s="73"/>
      <c r="O168" s="72"/>
      <c r="P168" s="72"/>
    </row>
    <row r="169" spans="1:16" x14ac:dyDescent="0.25">
      <c r="A169" s="72"/>
      <c r="B169" s="138" t="s">
        <v>265</v>
      </c>
      <c r="C169" s="139"/>
      <c r="D169" s="139"/>
      <c r="E169" s="140"/>
      <c r="F169" s="140"/>
      <c r="G169" s="140"/>
      <c r="H169" s="140"/>
      <c r="I169" s="140"/>
      <c r="J169" s="72"/>
      <c r="K169" s="73"/>
      <c r="L169" s="73"/>
      <c r="M169" s="73"/>
      <c r="N169" s="73"/>
      <c r="O169" s="72"/>
      <c r="P169" s="72"/>
    </row>
    <row r="170" spans="1:16" ht="13.8" x14ac:dyDescent="0.3">
      <c r="A170" s="72"/>
      <c r="B170" s="10" t="s">
        <v>301</v>
      </c>
      <c r="C170" s="1">
        <v>300</v>
      </c>
      <c r="D170" s="1">
        <v>400</v>
      </c>
      <c r="E170" s="3" t="s">
        <v>282</v>
      </c>
      <c r="F170" s="3" t="s">
        <v>322</v>
      </c>
      <c r="G170" s="3">
        <v>0</v>
      </c>
      <c r="H170" s="3"/>
      <c r="I170" s="3">
        <v>1</v>
      </c>
      <c r="J170" s="72"/>
      <c r="K170" s="73"/>
      <c r="L170" s="73"/>
      <c r="M170" s="73"/>
      <c r="N170" s="73"/>
      <c r="O170" s="72"/>
      <c r="P170" s="72"/>
    </row>
    <row r="171" spans="1:16" ht="13.8" x14ac:dyDescent="0.3">
      <c r="A171" s="72"/>
      <c r="B171" s="12" t="s">
        <v>310</v>
      </c>
      <c r="C171" s="7">
        <v>0</v>
      </c>
      <c r="D171" s="7">
        <v>0</v>
      </c>
      <c r="E171" s="8" t="s">
        <v>279</v>
      </c>
      <c r="F171" s="3" t="s">
        <v>322</v>
      </c>
      <c r="G171" s="3">
        <v>1</v>
      </c>
      <c r="H171" s="3"/>
      <c r="I171" s="3">
        <v>0</v>
      </c>
      <c r="J171" s="72"/>
      <c r="K171" s="73"/>
      <c r="L171" s="73"/>
      <c r="M171" s="73"/>
      <c r="N171" s="73"/>
      <c r="O171" s="72"/>
      <c r="P171" s="72"/>
    </row>
    <row r="172" spans="1:16" x14ac:dyDescent="0.25">
      <c r="A172" s="72"/>
      <c r="B172" s="138" t="s">
        <v>266</v>
      </c>
      <c r="C172" s="139"/>
      <c r="D172" s="139"/>
      <c r="E172" s="140"/>
      <c r="F172" s="140"/>
      <c r="G172" s="140"/>
      <c r="H172" s="140"/>
      <c r="I172" s="140"/>
      <c r="J172" s="72"/>
      <c r="K172" s="73"/>
      <c r="L172" s="73"/>
      <c r="M172" s="73"/>
      <c r="N172" s="73"/>
      <c r="O172" s="72"/>
      <c r="P172" s="72"/>
    </row>
    <row r="173" spans="1:16" ht="13.8" x14ac:dyDescent="0.3">
      <c r="A173" s="72"/>
      <c r="B173" s="10" t="s">
        <v>302</v>
      </c>
      <c r="C173" s="1">
        <v>1.9</v>
      </c>
      <c r="D173" s="1">
        <v>5.7</v>
      </c>
      <c r="E173" s="3" t="s">
        <v>311</v>
      </c>
      <c r="F173" s="3" t="s">
        <v>322</v>
      </c>
      <c r="G173" s="3">
        <v>1</v>
      </c>
      <c r="H173" s="3"/>
      <c r="I173" s="3">
        <v>3</v>
      </c>
      <c r="J173" s="72"/>
      <c r="K173" s="73"/>
      <c r="L173" s="73"/>
      <c r="M173" s="73"/>
      <c r="N173" s="73"/>
      <c r="O173" s="72"/>
      <c r="P173" s="72"/>
    </row>
    <row r="174" spans="1:16" ht="13.8" x14ac:dyDescent="0.3">
      <c r="A174" s="72"/>
      <c r="B174" s="10" t="s">
        <v>29</v>
      </c>
      <c r="C174" s="1">
        <v>3.25</v>
      </c>
      <c r="D174" s="1">
        <v>10</v>
      </c>
      <c r="E174" s="3" t="s">
        <v>30</v>
      </c>
      <c r="F174" s="3" t="s">
        <v>322</v>
      </c>
      <c r="G174" s="3">
        <v>1</v>
      </c>
      <c r="H174" s="3"/>
      <c r="I174" s="3">
        <v>1</v>
      </c>
      <c r="J174" s="72"/>
      <c r="K174" s="73"/>
      <c r="L174" s="73"/>
      <c r="M174" s="73"/>
      <c r="N174" s="73"/>
      <c r="O174" s="72"/>
      <c r="P174" s="72"/>
    </row>
    <row r="175" spans="1:16" ht="13.8" x14ac:dyDescent="0.3">
      <c r="A175" s="72"/>
      <c r="B175" s="11" t="s">
        <v>303</v>
      </c>
      <c r="C175" s="2">
        <v>0</v>
      </c>
      <c r="D175" s="2">
        <v>500</v>
      </c>
      <c r="E175" s="4" t="s">
        <v>284</v>
      </c>
      <c r="F175" s="3" t="s">
        <v>322</v>
      </c>
      <c r="G175" s="3">
        <v>0</v>
      </c>
      <c r="H175" s="3"/>
      <c r="I175" s="3">
        <v>3</v>
      </c>
      <c r="J175" s="72"/>
      <c r="K175" s="73"/>
      <c r="L175" s="73"/>
      <c r="M175" s="73"/>
      <c r="N175" s="73"/>
      <c r="O175" s="72"/>
      <c r="P175" s="72"/>
    </row>
    <row r="176" spans="1:16" ht="13.8" x14ac:dyDescent="0.3">
      <c r="A176" s="72"/>
      <c r="B176" s="11" t="s">
        <v>304</v>
      </c>
      <c r="C176" s="2">
        <v>0</v>
      </c>
      <c r="D176" s="2">
        <v>0.1</v>
      </c>
      <c r="E176" s="4" t="s">
        <v>278</v>
      </c>
      <c r="F176" s="3" t="s">
        <v>322</v>
      </c>
      <c r="G176" s="3">
        <v>4</v>
      </c>
      <c r="H176" s="3"/>
      <c r="I176" s="3">
        <v>1</v>
      </c>
      <c r="J176" s="72"/>
      <c r="K176" s="73"/>
      <c r="L176" s="73"/>
      <c r="M176" s="73"/>
      <c r="N176" s="73"/>
      <c r="O176" s="72"/>
      <c r="P176" s="72"/>
    </row>
    <row r="177" spans="1:16" ht="13.8" x14ac:dyDescent="0.3">
      <c r="A177" s="72"/>
      <c r="B177" s="13" t="s">
        <v>313</v>
      </c>
      <c r="C177" s="14">
        <v>0</v>
      </c>
      <c r="D177" s="14">
        <v>5</v>
      </c>
      <c r="E177" s="15" t="s">
        <v>279</v>
      </c>
      <c r="F177" s="3" t="s">
        <v>322</v>
      </c>
      <c r="G177" s="3">
        <v>1</v>
      </c>
      <c r="H177" s="3"/>
      <c r="I177" s="3">
        <v>0</v>
      </c>
      <c r="J177" s="72"/>
      <c r="K177" s="73"/>
      <c r="L177" s="73"/>
      <c r="M177" s="73"/>
      <c r="N177" s="73"/>
      <c r="O177" s="72"/>
      <c r="P177" s="72"/>
    </row>
    <row r="178" spans="1:16" x14ac:dyDescent="0.25">
      <c r="A178" s="72"/>
      <c r="B178" s="138" t="s">
        <v>267</v>
      </c>
      <c r="C178" s="139"/>
      <c r="D178" s="139"/>
      <c r="E178" s="140"/>
      <c r="F178" s="140"/>
      <c r="G178" s="140"/>
      <c r="H178" s="140"/>
      <c r="I178" s="140"/>
      <c r="J178" s="72"/>
      <c r="K178" s="73"/>
      <c r="L178" s="73"/>
      <c r="M178" s="73"/>
      <c r="N178" s="73"/>
      <c r="O178" s="72"/>
      <c r="P178" s="72"/>
    </row>
    <row r="179" spans="1:16" ht="13.8" x14ac:dyDescent="0.3">
      <c r="A179" s="72"/>
      <c r="B179" s="10" t="s">
        <v>305</v>
      </c>
      <c r="C179" s="1">
        <v>0</v>
      </c>
      <c r="D179" s="1">
        <v>30</v>
      </c>
      <c r="E179" s="3" t="s">
        <v>311</v>
      </c>
      <c r="F179" s="3" t="s">
        <v>322</v>
      </c>
      <c r="G179" s="3">
        <v>1</v>
      </c>
      <c r="H179" s="3"/>
      <c r="I179" s="3">
        <v>1</v>
      </c>
      <c r="J179" s="72"/>
      <c r="K179" s="73"/>
      <c r="L179" s="73"/>
      <c r="M179" s="73"/>
      <c r="N179" s="73"/>
      <c r="O179" s="72"/>
      <c r="P179" s="72"/>
    </row>
    <row r="180" spans="1:16" ht="13.8" x14ac:dyDescent="0.3">
      <c r="A180" s="72"/>
      <c r="B180" s="11" t="s">
        <v>312</v>
      </c>
      <c r="C180" s="2">
        <v>0</v>
      </c>
      <c r="D180" s="2">
        <v>60</v>
      </c>
      <c r="E180" s="4" t="s">
        <v>311</v>
      </c>
      <c r="F180" s="3" t="s">
        <v>322</v>
      </c>
      <c r="G180" s="3">
        <v>1</v>
      </c>
      <c r="H180" s="3"/>
      <c r="I180" s="3">
        <v>1</v>
      </c>
      <c r="J180" s="72"/>
      <c r="K180" s="73"/>
      <c r="L180" s="73"/>
      <c r="M180" s="73"/>
      <c r="N180" s="73"/>
      <c r="O180" s="72"/>
      <c r="P180" s="72"/>
    </row>
    <row r="181" spans="1:16" x14ac:dyDescent="0.25">
      <c r="A181" s="72"/>
      <c r="B181" s="73"/>
      <c r="C181" s="73"/>
      <c r="D181" s="73"/>
      <c r="E181" s="73"/>
      <c r="F181" s="73"/>
      <c r="G181" s="73"/>
      <c r="H181" s="73"/>
      <c r="I181" s="72"/>
      <c r="J181" s="72"/>
      <c r="K181" s="73"/>
      <c r="L181" s="73"/>
      <c r="M181" s="73"/>
      <c r="N181" s="73"/>
      <c r="O181" s="72"/>
      <c r="P181" s="72"/>
    </row>
    <row r="182" spans="1:16" ht="15.6" x14ac:dyDescent="0.3">
      <c r="A182" s="72"/>
      <c r="B182" s="179" t="s">
        <v>446</v>
      </c>
      <c r="C182" s="73"/>
      <c r="D182" s="73"/>
      <c r="E182" s="73"/>
      <c r="F182" s="73"/>
      <c r="G182" s="73"/>
      <c r="H182" s="73"/>
      <c r="I182" s="72"/>
      <c r="J182" s="72"/>
      <c r="K182" s="73"/>
      <c r="L182" s="73"/>
      <c r="M182" s="73"/>
      <c r="N182" s="73"/>
      <c r="O182" s="72"/>
      <c r="P182" s="72"/>
    </row>
    <row r="183" spans="1:16" x14ac:dyDescent="0.25">
      <c r="A183" s="72"/>
      <c r="B183" s="24">
        <v>5</v>
      </c>
      <c r="C183" s="42" t="s">
        <v>336</v>
      </c>
      <c r="D183" s="43"/>
      <c r="E183" s="43"/>
      <c r="F183" s="43"/>
      <c r="G183" s="43"/>
      <c r="H183" s="44"/>
      <c r="I183" s="72"/>
      <c r="J183" s="72"/>
      <c r="K183" s="73"/>
      <c r="L183" s="73"/>
      <c r="M183" s="73"/>
      <c r="N183" s="72"/>
      <c r="O183" s="72"/>
      <c r="P183" s="72"/>
    </row>
    <row r="184" spans="1:16" x14ac:dyDescent="0.25">
      <c r="A184" s="72"/>
      <c r="B184" s="24">
        <v>3</v>
      </c>
      <c r="C184" s="42" t="s">
        <v>337</v>
      </c>
      <c r="D184" s="43"/>
      <c r="E184" s="43"/>
      <c r="F184" s="43"/>
      <c r="G184" s="43"/>
      <c r="H184" s="44"/>
      <c r="I184" s="72"/>
      <c r="J184" s="73"/>
      <c r="K184" s="73"/>
      <c r="L184" s="73"/>
      <c r="M184" s="73"/>
      <c r="N184" s="72"/>
      <c r="O184" s="72"/>
      <c r="P184" s="72"/>
    </row>
    <row r="185" spans="1:16" x14ac:dyDescent="0.25">
      <c r="A185" s="72"/>
      <c r="B185" s="24">
        <v>1</v>
      </c>
      <c r="C185" s="42" t="s">
        <v>45</v>
      </c>
      <c r="D185" s="43"/>
      <c r="E185" s="43"/>
      <c r="F185" s="43"/>
      <c r="G185" s="43"/>
      <c r="H185" s="44"/>
      <c r="I185" s="72"/>
      <c r="J185" s="73"/>
      <c r="K185" s="73"/>
      <c r="L185" s="73"/>
      <c r="M185" s="73"/>
      <c r="N185" s="72"/>
      <c r="O185" s="72"/>
      <c r="P185" s="72"/>
    </row>
    <row r="186" spans="1:16" x14ac:dyDescent="0.25">
      <c r="A186" s="72"/>
      <c r="B186" s="24">
        <v>0</v>
      </c>
      <c r="C186" s="42" t="s">
        <v>46</v>
      </c>
      <c r="D186" s="43"/>
      <c r="E186" s="43"/>
      <c r="F186" s="43"/>
      <c r="G186" s="43"/>
      <c r="H186" s="44"/>
      <c r="I186" s="72"/>
      <c r="J186" s="73"/>
      <c r="K186" s="73"/>
      <c r="L186" s="73"/>
      <c r="M186" s="73"/>
      <c r="N186" s="72"/>
      <c r="O186" s="72"/>
      <c r="P186" s="72"/>
    </row>
    <row r="187" spans="1:16" x14ac:dyDescent="0.25">
      <c r="A187" s="72"/>
      <c r="B187" s="73"/>
      <c r="C187" s="73"/>
      <c r="D187" s="73"/>
      <c r="E187" s="73"/>
      <c r="F187" s="73"/>
      <c r="G187" s="73"/>
      <c r="H187" s="73"/>
      <c r="I187" s="72"/>
      <c r="J187" s="73"/>
      <c r="K187" s="73"/>
      <c r="L187" s="73"/>
      <c r="M187" s="73"/>
      <c r="N187" s="72"/>
      <c r="O187" s="72"/>
      <c r="P187" s="72"/>
    </row>
    <row r="188" spans="1:16" x14ac:dyDescent="0.25">
      <c r="A188" s="72"/>
    </row>
    <row r="189" spans="1:16" x14ac:dyDescent="0.25">
      <c r="A189" s="72"/>
    </row>
    <row r="190" spans="1:16" x14ac:dyDescent="0.25">
      <c r="A190" s="72"/>
    </row>
    <row r="191" spans="1:16" x14ac:dyDescent="0.25">
      <c r="A191" s="72"/>
    </row>
  </sheetData>
  <mergeCells count="14">
    <mergeCell ref="K48:N48"/>
    <mergeCell ref="K56:N56"/>
    <mergeCell ref="K6:L6"/>
    <mergeCell ref="K5:L5"/>
    <mergeCell ref="K13:N13"/>
    <mergeCell ref="K23:N23"/>
    <mergeCell ref="M38:N38"/>
    <mergeCell ref="K17:N17"/>
    <mergeCell ref="K38:L38"/>
    <mergeCell ref="K22:N22"/>
    <mergeCell ref="K21:M21"/>
    <mergeCell ref="K18:N18"/>
    <mergeCell ref="K7:L8"/>
    <mergeCell ref="K9:L9"/>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200"/>
  <sheetViews>
    <sheetView zoomScaleNormal="100" workbookViewId="0"/>
  </sheetViews>
  <sheetFormatPr defaultRowHeight="13.2" x14ac:dyDescent="0.25"/>
  <cols>
    <col min="2" max="2" width="33" customWidth="1"/>
    <col min="3" max="3" width="63" customWidth="1"/>
    <col min="4" max="4" width="56.88671875" customWidth="1"/>
    <col min="5" max="5" width="9.88671875" customWidth="1"/>
    <col min="6" max="6" width="7.44140625" customWidth="1"/>
    <col min="7" max="7" width="10.5546875" customWidth="1"/>
    <col min="8" max="8" width="8.88671875" customWidth="1"/>
  </cols>
  <sheetData>
    <row r="1" spans="1:9" x14ac:dyDescent="0.25">
      <c r="A1" s="73"/>
      <c r="B1" s="73"/>
      <c r="C1" s="73"/>
      <c r="D1" s="73"/>
      <c r="E1" s="73"/>
      <c r="F1" s="73"/>
      <c r="G1" s="73"/>
      <c r="H1" s="73"/>
      <c r="I1" s="73"/>
    </row>
    <row r="2" spans="1:9" ht="18" thickBot="1" x14ac:dyDescent="0.35">
      <c r="A2" s="73"/>
      <c r="B2" s="423" t="s">
        <v>447</v>
      </c>
      <c r="C2" s="424"/>
      <c r="D2" s="73"/>
      <c r="E2" s="73"/>
      <c r="F2" s="73"/>
      <c r="G2" s="73"/>
      <c r="H2" s="73"/>
      <c r="I2" s="73"/>
    </row>
    <row r="3" spans="1:9" ht="13.8" thickBot="1" x14ac:dyDescent="0.3">
      <c r="A3" s="73"/>
      <c r="B3" s="73"/>
      <c r="C3" s="73"/>
      <c r="D3" s="73"/>
      <c r="E3" s="73"/>
      <c r="F3" s="73"/>
      <c r="G3" s="73"/>
      <c r="H3" s="73"/>
      <c r="I3" s="73"/>
    </row>
    <row r="4" spans="1:9" ht="14.4" thickBot="1" x14ac:dyDescent="0.3">
      <c r="A4" s="73"/>
      <c r="B4" s="147" t="s">
        <v>275</v>
      </c>
      <c r="C4" s="148" t="s">
        <v>324</v>
      </c>
      <c r="D4" s="149" t="s">
        <v>470</v>
      </c>
      <c r="E4" s="388" t="s">
        <v>419</v>
      </c>
      <c r="F4" s="389"/>
      <c r="G4" s="390" t="s">
        <v>420</v>
      </c>
      <c r="H4" s="389"/>
      <c r="I4" s="73"/>
    </row>
    <row r="5" spans="1:9" ht="14.4" thickBot="1" x14ac:dyDescent="0.3">
      <c r="A5" s="73"/>
      <c r="B5" s="150" t="s">
        <v>256</v>
      </c>
      <c r="C5" s="151"/>
      <c r="D5" s="151"/>
      <c r="E5" s="284" t="s">
        <v>514</v>
      </c>
      <c r="F5" s="284" t="s">
        <v>515</v>
      </c>
      <c r="G5" s="284" t="s">
        <v>514</v>
      </c>
      <c r="H5" s="284" t="s">
        <v>515</v>
      </c>
      <c r="I5" s="73"/>
    </row>
    <row r="6" spans="1:9" ht="13.5" customHeight="1" x14ac:dyDescent="0.25">
      <c r="A6" s="73"/>
      <c r="B6" s="81" t="s">
        <v>285</v>
      </c>
      <c r="C6" s="23" t="s">
        <v>325</v>
      </c>
      <c r="D6" s="113"/>
      <c r="E6" s="384" t="s">
        <v>475</v>
      </c>
      <c r="F6" s="384" t="s">
        <v>474</v>
      </c>
      <c r="G6" s="384" t="s">
        <v>516</v>
      </c>
      <c r="H6" s="386" t="s">
        <v>517</v>
      </c>
      <c r="I6" s="73"/>
    </row>
    <row r="7" spans="1:9" ht="13.5" customHeight="1" x14ac:dyDescent="0.25">
      <c r="A7" s="73"/>
      <c r="B7" s="82" t="s">
        <v>286</v>
      </c>
      <c r="C7" s="20" t="s">
        <v>328</v>
      </c>
      <c r="D7" s="18"/>
      <c r="E7" s="384"/>
      <c r="F7" s="384"/>
      <c r="G7" s="384"/>
      <c r="H7" s="386"/>
      <c r="I7" s="73"/>
    </row>
    <row r="8" spans="1:9" ht="13.5" customHeight="1" x14ac:dyDescent="0.25">
      <c r="A8" s="73"/>
      <c r="B8" s="82" t="s">
        <v>287</v>
      </c>
      <c r="C8" s="20" t="s">
        <v>326</v>
      </c>
      <c r="D8" s="18"/>
      <c r="E8" s="384"/>
      <c r="F8" s="384"/>
      <c r="G8" s="384"/>
      <c r="H8" s="386"/>
      <c r="I8" s="73"/>
    </row>
    <row r="9" spans="1:9" ht="51.75" customHeight="1" x14ac:dyDescent="0.25">
      <c r="A9" s="73"/>
      <c r="B9" s="82" t="s">
        <v>288</v>
      </c>
      <c r="C9" s="20" t="s">
        <v>384</v>
      </c>
      <c r="D9" s="18" t="s">
        <v>43</v>
      </c>
      <c r="E9" s="384"/>
      <c r="F9" s="384"/>
      <c r="G9" s="384"/>
      <c r="H9" s="386"/>
      <c r="I9" s="73"/>
    </row>
    <row r="10" spans="1:9" ht="13.5" customHeight="1" x14ac:dyDescent="0.25">
      <c r="A10" s="73"/>
      <c r="B10" s="82" t="s">
        <v>289</v>
      </c>
      <c r="C10" s="20" t="s">
        <v>327</v>
      </c>
      <c r="D10" s="18"/>
      <c r="E10" s="384"/>
      <c r="F10" s="384"/>
      <c r="G10" s="384"/>
      <c r="H10" s="386"/>
      <c r="I10" s="73"/>
    </row>
    <row r="11" spans="1:9" ht="13.5" customHeight="1" x14ac:dyDescent="0.25">
      <c r="A11" s="73"/>
      <c r="B11" s="82" t="s">
        <v>290</v>
      </c>
      <c r="C11" s="20" t="s">
        <v>66</v>
      </c>
      <c r="D11" s="18"/>
      <c r="E11" s="384"/>
      <c r="F11" s="384"/>
      <c r="G11" s="384"/>
      <c r="H11" s="386"/>
      <c r="I11" s="73"/>
    </row>
    <row r="12" spans="1:9" ht="13.5" customHeight="1" x14ac:dyDescent="0.25">
      <c r="A12" s="73"/>
      <c r="B12" s="82" t="s">
        <v>98</v>
      </c>
      <c r="C12" s="22" t="s">
        <v>119</v>
      </c>
      <c r="D12" s="114"/>
      <c r="E12" s="384"/>
      <c r="F12" s="384"/>
      <c r="G12" s="384"/>
      <c r="H12" s="386"/>
      <c r="I12" s="73"/>
    </row>
    <row r="13" spans="1:9" ht="66" x14ac:dyDescent="0.25">
      <c r="A13" s="73"/>
      <c r="B13" s="83" t="s">
        <v>67</v>
      </c>
      <c r="C13" s="20" t="s">
        <v>366</v>
      </c>
      <c r="D13" s="114" t="s">
        <v>367</v>
      </c>
      <c r="E13" s="384"/>
      <c r="F13" s="384"/>
      <c r="G13" s="384"/>
      <c r="H13" s="386"/>
      <c r="I13" s="73"/>
    </row>
    <row r="14" spans="1:9" ht="13.5" customHeight="1" thickBot="1" x14ac:dyDescent="0.3">
      <c r="A14" s="73"/>
      <c r="B14" s="430" t="s">
        <v>68</v>
      </c>
      <c r="C14" s="22" t="s">
        <v>368</v>
      </c>
      <c r="D14" s="406" t="s">
        <v>369</v>
      </c>
      <c r="E14" s="384"/>
      <c r="F14" s="384"/>
      <c r="G14" s="384"/>
      <c r="H14" s="386"/>
      <c r="I14" s="73"/>
    </row>
    <row r="15" spans="1:9" ht="13.5" customHeight="1" thickBot="1" x14ac:dyDescent="0.3">
      <c r="A15" s="73"/>
      <c r="B15" s="431"/>
      <c r="C15" s="39" t="s">
        <v>84</v>
      </c>
      <c r="D15" s="407"/>
      <c r="E15" s="384"/>
      <c r="F15" s="384"/>
      <c r="G15" s="384"/>
      <c r="H15" s="386"/>
      <c r="I15" s="73"/>
    </row>
    <row r="16" spans="1:9" ht="13.5" customHeight="1" thickBot="1" x14ac:dyDescent="0.3">
      <c r="A16" s="73"/>
      <c r="B16" s="431"/>
      <c r="C16" s="39" t="s">
        <v>69</v>
      </c>
      <c r="D16" s="407"/>
      <c r="E16" s="384"/>
      <c r="F16" s="384"/>
      <c r="G16" s="384"/>
      <c r="H16" s="386"/>
      <c r="I16" s="73"/>
    </row>
    <row r="17" spans="1:9" ht="13.5" customHeight="1" thickBot="1" x14ac:dyDescent="0.3">
      <c r="A17" s="73"/>
      <c r="B17" s="431"/>
      <c r="C17" s="39" t="s">
        <v>70</v>
      </c>
      <c r="D17" s="407"/>
      <c r="E17" s="384"/>
      <c r="F17" s="384"/>
      <c r="G17" s="384"/>
      <c r="H17" s="386"/>
      <c r="I17" s="73"/>
    </row>
    <row r="18" spans="1:9" ht="28.5" customHeight="1" thickBot="1" x14ac:dyDescent="0.3">
      <c r="A18" s="73"/>
      <c r="B18" s="431"/>
      <c r="C18" s="39" t="s">
        <v>86</v>
      </c>
      <c r="D18" s="407"/>
      <c r="E18" s="384"/>
      <c r="F18" s="384"/>
      <c r="G18" s="384"/>
      <c r="H18" s="386"/>
      <c r="I18" s="73"/>
    </row>
    <row r="19" spans="1:9" ht="48" customHeight="1" thickBot="1" x14ac:dyDescent="0.3">
      <c r="A19" s="73"/>
      <c r="B19" s="431"/>
      <c r="C19" s="95" t="s">
        <v>85</v>
      </c>
      <c r="D19" s="407"/>
      <c r="E19" s="385"/>
      <c r="F19" s="385"/>
      <c r="G19" s="385"/>
      <c r="H19" s="387"/>
      <c r="I19" s="73"/>
    </row>
    <row r="20" spans="1:9" ht="12.75" customHeight="1" x14ac:dyDescent="0.25">
      <c r="A20" s="73"/>
      <c r="B20" s="150" t="s">
        <v>257</v>
      </c>
      <c r="C20" s="151"/>
      <c r="D20" s="151"/>
      <c r="E20" s="267"/>
      <c r="F20" s="268"/>
      <c r="G20" s="267"/>
      <c r="H20" s="285"/>
      <c r="I20" s="73"/>
    </row>
    <row r="21" spans="1:9" ht="13.8" x14ac:dyDescent="0.25">
      <c r="A21" s="73"/>
      <c r="B21" s="81" t="s">
        <v>309</v>
      </c>
      <c r="C21" s="16" t="s">
        <v>0</v>
      </c>
      <c r="D21" s="113"/>
      <c r="E21" s="384" t="s">
        <v>473</v>
      </c>
      <c r="F21" s="384" t="s">
        <v>472</v>
      </c>
      <c r="G21" s="384" t="s">
        <v>520</v>
      </c>
      <c r="H21" s="386" t="s">
        <v>519</v>
      </c>
      <c r="I21" s="73"/>
    </row>
    <row r="22" spans="1:9" ht="25.5" customHeight="1" thickBot="1" x14ac:dyDescent="0.3">
      <c r="A22" s="73"/>
      <c r="B22" s="93" t="s">
        <v>291</v>
      </c>
      <c r="C22" s="94" t="s">
        <v>329</v>
      </c>
      <c r="D22" s="112"/>
      <c r="E22" s="385"/>
      <c r="F22" s="385"/>
      <c r="G22" s="385"/>
      <c r="H22" s="387"/>
      <c r="I22" s="73"/>
    </row>
    <row r="23" spans="1:9" ht="12.75" customHeight="1" x14ac:dyDescent="0.25">
      <c r="A23" s="73"/>
      <c r="B23" s="150" t="s">
        <v>258</v>
      </c>
      <c r="C23" s="151"/>
      <c r="D23" s="151"/>
      <c r="E23" s="268"/>
      <c r="F23" s="268"/>
      <c r="G23" s="268"/>
      <c r="H23" s="285"/>
      <c r="I23" s="73"/>
    </row>
    <row r="24" spans="1:9" ht="13.5" customHeight="1" x14ac:dyDescent="0.25">
      <c r="A24" s="73"/>
      <c r="B24" s="81" t="s">
        <v>292</v>
      </c>
      <c r="C24" s="16" t="s">
        <v>1</v>
      </c>
      <c r="D24" s="113"/>
      <c r="E24" s="384" t="s">
        <v>477</v>
      </c>
      <c r="F24" s="384" t="s">
        <v>476</v>
      </c>
      <c r="G24" s="384" t="s">
        <v>525</v>
      </c>
      <c r="H24" s="386" t="s">
        <v>523</v>
      </c>
      <c r="I24" s="73"/>
    </row>
    <row r="25" spans="1:9" ht="13.5" customHeight="1" x14ac:dyDescent="0.25">
      <c r="A25" s="73"/>
      <c r="B25" s="82" t="s">
        <v>293</v>
      </c>
      <c r="C25" s="16" t="s">
        <v>2</v>
      </c>
      <c r="D25" s="18"/>
      <c r="E25" s="384"/>
      <c r="F25" s="384"/>
      <c r="G25" s="384"/>
      <c r="H25" s="386"/>
      <c r="I25" s="73"/>
    </row>
    <row r="26" spans="1:9" ht="26.4" x14ac:dyDescent="0.25">
      <c r="A26" s="73"/>
      <c r="B26" s="84" t="s">
        <v>97</v>
      </c>
      <c r="C26" s="23" t="s">
        <v>120</v>
      </c>
      <c r="D26" s="18" t="s">
        <v>121</v>
      </c>
      <c r="E26" s="384"/>
      <c r="F26" s="384"/>
      <c r="G26" s="384"/>
      <c r="H26" s="386"/>
      <c r="I26" s="73"/>
    </row>
    <row r="27" spans="1:9" ht="13.5" customHeight="1" x14ac:dyDescent="0.25">
      <c r="A27" s="73"/>
      <c r="B27" s="82" t="s">
        <v>294</v>
      </c>
      <c r="C27" s="17" t="s">
        <v>3</v>
      </c>
      <c r="D27" s="18"/>
      <c r="E27" s="384"/>
      <c r="F27" s="384"/>
      <c r="G27" s="384"/>
      <c r="H27" s="386"/>
      <c r="I27" s="73"/>
    </row>
    <row r="28" spans="1:9" ht="27" thickBot="1" x14ac:dyDescent="0.3">
      <c r="A28" s="73"/>
      <c r="B28" s="116" t="s">
        <v>188</v>
      </c>
      <c r="C28" s="94" t="s">
        <v>218</v>
      </c>
      <c r="D28" s="112" t="s">
        <v>219</v>
      </c>
      <c r="E28" s="385"/>
      <c r="F28" s="385"/>
      <c r="G28" s="385"/>
      <c r="H28" s="387"/>
      <c r="I28" s="73"/>
    </row>
    <row r="29" spans="1:9" ht="12.75" customHeight="1" x14ac:dyDescent="0.25">
      <c r="A29" s="73"/>
      <c r="B29" s="150" t="s">
        <v>259</v>
      </c>
      <c r="C29" s="151"/>
      <c r="D29" s="151"/>
      <c r="E29" s="268"/>
      <c r="F29" s="268"/>
      <c r="G29" s="268"/>
      <c r="H29" s="285"/>
      <c r="I29" s="73"/>
    </row>
    <row r="30" spans="1:9" ht="51.75" customHeight="1" x14ac:dyDescent="0.25">
      <c r="A30" s="73"/>
      <c r="B30" s="81" t="s">
        <v>295</v>
      </c>
      <c r="C30" s="16" t="s">
        <v>4</v>
      </c>
      <c r="D30" s="425" t="s">
        <v>52</v>
      </c>
      <c r="E30" s="384" t="s">
        <v>484</v>
      </c>
      <c r="F30" s="384" t="s">
        <v>483</v>
      </c>
      <c r="G30" s="384" t="s">
        <v>527</v>
      </c>
      <c r="H30" s="386" t="s">
        <v>526</v>
      </c>
      <c r="I30" s="73"/>
    </row>
    <row r="31" spans="1:9" ht="27" customHeight="1" x14ac:dyDescent="0.25">
      <c r="A31" s="73"/>
      <c r="B31" s="84" t="s">
        <v>27</v>
      </c>
      <c r="C31" s="23" t="s">
        <v>31</v>
      </c>
      <c r="D31" s="426"/>
      <c r="E31" s="384"/>
      <c r="F31" s="384"/>
      <c r="G31" s="384"/>
      <c r="H31" s="386"/>
      <c r="I31" s="73"/>
    </row>
    <row r="32" spans="1:9" ht="78" customHeight="1" x14ac:dyDescent="0.25">
      <c r="A32" s="73"/>
      <c r="B32" s="84" t="s">
        <v>64</v>
      </c>
      <c r="C32" s="50" t="s">
        <v>370</v>
      </c>
      <c r="D32" s="113" t="s">
        <v>340</v>
      </c>
      <c r="E32" s="384"/>
      <c r="F32" s="384"/>
      <c r="G32" s="384"/>
      <c r="H32" s="386"/>
      <c r="I32" s="73"/>
    </row>
    <row r="33" spans="1:9" ht="13.5" customHeight="1" x14ac:dyDescent="0.25">
      <c r="A33" s="73"/>
      <c r="B33" s="82" t="s">
        <v>296</v>
      </c>
      <c r="C33" s="17" t="s">
        <v>371</v>
      </c>
      <c r="D33" s="18" t="s">
        <v>372</v>
      </c>
      <c r="E33" s="384"/>
      <c r="F33" s="384"/>
      <c r="G33" s="384"/>
      <c r="H33" s="386"/>
      <c r="I33" s="73"/>
    </row>
    <row r="34" spans="1:9" ht="14.25" customHeight="1" thickBot="1" x14ac:dyDescent="0.3">
      <c r="A34" s="73"/>
      <c r="B34" s="93" t="s">
        <v>297</v>
      </c>
      <c r="C34" s="94" t="s">
        <v>5</v>
      </c>
      <c r="D34" s="112" t="s">
        <v>58</v>
      </c>
      <c r="E34" s="385"/>
      <c r="F34" s="385"/>
      <c r="G34" s="385"/>
      <c r="H34" s="387"/>
      <c r="I34" s="73"/>
    </row>
    <row r="35" spans="1:9" ht="12.75" customHeight="1" x14ac:dyDescent="0.25">
      <c r="A35" s="73"/>
      <c r="B35" s="150" t="s">
        <v>260</v>
      </c>
      <c r="C35" s="151"/>
      <c r="D35" s="151"/>
      <c r="E35" s="268"/>
      <c r="F35" s="268"/>
      <c r="G35" s="268"/>
      <c r="H35" s="285"/>
      <c r="I35" s="73"/>
    </row>
    <row r="36" spans="1:9" ht="13.5" customHeight="1" x14ac:dyDescent="0.25">
      <c r="A36" s="73"/>
      <c r="B36" s="81" t="s">
        <v>613</v>
      </c>
      <c r="C36" s="311" t="s">
        <v>628</v>
      </c>
      <c r="D36" s="312" t="s">
        <v>629</v>
      </c>
      <c r="E36" s="384" t="s">
        <v>473</v>
      </c>
      <c r="F36" s="384" t="s">
        <v>471</v>
      </c>
      <c r="G36" s="384" t="s">
        <v>530</v>
      </c>
      <c r="H36" s="386" t="s">
        <v>529</v>
      </c>
      <c r="I36" s="73"/>
    </row>
    <row r="37" spans="1:9" ht="78.75" customHeight="1" thickBot="1" x14ac:dyDescent="0.3">
      <c r="A37" s="73"/>
      <c r="B37" s="273" t="s">
        <v>298</v>
      </c>
      <c r="C37" s="313" t="s">
        <v>122</v>
      </c>
      <c r="D37" s="314" t="s">
        <v>630</v>
      </c>
      <c r="E37" s="391"/>
      <c r="F37" s="385"/>
      <c r="G37" s="385"/>
      <c r="H37" s="387"/>
      <c r="I37" s="73"/>
    </row>
    <row r="38" spans="1:9" ht="12.75" customHeight="1" x14ac:dyDescent="0.25">
      <c r="A38" s="73"/>
      <c r="B38" s="150" t="s">
        <v>261</v>
      </c>
      <c r="C38" s="151"/>
      <c r="D38" s="310"/>
      <c r="E38" s="268"/>
      <c r="F38" s="268"/>
      <c r="G38" s="268"/>
      <c r="H38" s="285"/>
      <c r="I38" s="73"/>
    </row>
    <row r="39" spans="1:9" ht="13.5" customHeight="1" x14ac:dyDescent="0.25">
      <c r="A39" s="73"/>
      <c r="B39" s="81" t="s">
        <v>643</v>
      </c>
      <c r="C39" s="16" t="s">
        <v>76</v>
      </c>
      <c r="D39" s="425" t="s">
        <v>641</v>
      </c>
      <c r="E39" s="384" t="s">
        <v>478</v>
      </c>
      <c r="F39" s="384" t="s">
        <v>481</v>
      </c>
      <c r="G39" s="384" t="s">
        <v>535</v>
      </c>
      <c r="H39" s="386" t="s">
        <v>544</v>
      </c>
      <c r="I39" s="73"/>
    </row>
    <row r="40" spans="1:9" ht="13.5" customHeight="1" x14ac:dyDescent="0.3">
      <c r="A40" s="73"/>
      <c r="B40" s="86" t="s">
        <v>99</v>
      </c>
      <c r="C40" s="17" t="s">
        <v>123</v>
      </c>
      <c r="D40" s="426"/>
      <c r="E40" s="384"/>
      <c r="F40" s="384"/>
      <c r="G40" s="384"/>
      <c r="H40" s="386"/>
      <c r="I40" s="73"/>
    </row>
    <row r="41" spans="1:9" ht="38.25" customHeight="1" x14ac:dyDescent="0.25">
      <c r="A41" s="73"/>
      <c r="B41" s="85" t="s">
        <v>75</v>
      </c>
      <c r="C41" s="17" t="s">
        <v>77</v>
      </c>
      <c r="D41" s="427" t="s">
        <v>125</v>
      </c>
      <c r="E41" s="384"/>
      <c r="F41" s="384"/>
      <c r="G41" s="384"/>
      <c r="H41" s="386"/>
      <c r="I41" s="73"/>
    </row>
    <row r="42" spans="1:9" ht="14.25" customHeight="1" x14ac:dyDescent="0.3">
      <c r="A42" s="73"/>
      <c r="B42" s="212" t="s">
        <v>100</v>
      </c>
      <c r="C42" s="213" t="s">
        <v>124</v>
      </c>
      <c r="D42" s="427"/>
      <c r="E42" s="384"/>
      <c r="F42" s="384"/>
      <c r="G42" s="384"/>
      <c r="H42" s="386"/>
      <c r="I42" s="73"/>
    </row>
    <row r="43" spans="1:9" ht="26.25" customHeight="1" thickBot="1" x14ac:dyDescent="0.3">
      <c r="A43" s="73"/>
      <c r="B43" s="214" t="s">
        <v>408</v>
      </c>
      <c r="C43" s="211" t="s">
        <v>416</v>
      </c>
      <c r="D43" s="200"/>
      <c r="E43" s="384"/>
      <c r="F43" s="384"/>
      <c r="G43" s="384"/>
      <c r="H43" s="386"/>
      <c r="I43" s="73"/>
    </row>
    <row r="44" spans="1:9" ht="12.75" customHeight="1" x14ac:dyDescent="0.25">
      <c r="A44" s="73"/>
      <c r="B44" s="150" t="s">
        <v>262</v>
      </c>
      <c r="C44" s="151"/>
      <c r="D44" s="151"/>
      <c r="E44" s="268"/>
      <c r="F44" s="268"/>
      <c r="G44" s="268"/>
      <c r="H44" s="285"/>
      <c r="I44" s="73"/>
    </row>
    <row r="45" spans="1:9" ht="13.5" customHeight="1" x14ac:dyDescent="0.25">
      <c r="A45" s="73"/>
      <c r="B45" s="81" t="s">
        <v>299</v>
      </c>
      <c r="C45" s="16" t="s">
        <v>6</v>
      </c>
      <c r="D45" s="113"/>
      <c r="E45" s="384" t="s">
        <v>479</v>
      </c>
      <c r="F45" s="384" t="s">
        <v>502</v>
      </c>
      <c r="G45" s="384" t="s">
        <v>551</v>
      </c>
      <c r="H45" s="386" t="s">
        <v>553</v>
      </c>
      <c r="I45" s="73"/>
    </row>
    <row r="46" spans="1:9" ht="40.5" customHeight="1" x14ac:dyDescent="0.25">
      <c r="A46" s="73"/>
      <c r="B46" s="81" t="s">
        <v>614</v>
      </c>
      <c r="C46" s="311" t="s">
        <v>631</v>
      </c>
      <c r="D46" s="315" t="s">
        <v>633</v>
      </c>
      <c r="E46" s="384"/>
      <c r="F46" s="384"/>
      <c r="G46" s="384"/>
      <c r="H46" s="386"/>
      <c r="I46" s="73"/>
    </row>
    <row r="47" spans="1:9" ht="42" customHeight="1" x14ac:dyDescent="0.25">
      <c r="A47" s="73"/>
      <c r="B47" s="85" t="s">
        <v>615</v>
      </c>
      <c r="C47" s="51" t="s">
        <v>632</v>
      </c>
      <c r="D47" s="309" t="s">
        <v>634</v>
      </c>
      <c r="E47" s="384"/>
      <c r="F47" s="384"/>
      <c r="G47" s="384"/>
      <c r="H47" s="386"/>
      <c r="I47" s="73"/>
    </row>
    <row r="48" spans="1:9" ht="13.5" customHeight="1" x14ac:dyDescent="0.25">
      <c r="A48" s="73"/>
      <c r="B48" s="85" t="s">
        <v>71</v>
      </c>
      <c r="C48" s="17" t="s">
        <v>78</v>
      </c>
      <c r="D48" s="18" t="s">
        <v>586</v>
      </c>
      <c r="E48" s="384"/>
      <c r="F48" s="384"/>
      <c r="G48" s="384"/>
      <c r="H48" s="386"/>
      <c r="I48" s="73"/>
    </row>
    <row r="49" spans="1:9" ht="13.5" customHeight="1" x14ac:dyDescent="0.25">
      <c r="A49" s="73"/>
      <c r="B49" s="85" t="s">
        <v>439</v>
      </c>
      <c r="C49" s="51" t="s">
        <v>440</v>
      </c>
      <c r="D49" s="260" t="s">
        <v>587</v>
      </c>
      <c r="E49" s="384"/>
      <c r="F49" s="384"/>
      <c r="G49" s="384"/>
      <c r="H49" s="386"/>
      <c r="I49" s="73"/>
    </row>
    <row r="50" spans="1:9" ht="13.5" customHeight="1" x14ac:dyDescent="0.25">
      <c r="A50" s="73"/>
      <c r="B50" s="85" t="s">
        <v>72</v>
      </c>
      <c r="C50" s="17" t="s">
        <v>79</v>
      </c>
      <c r="D50" s="18"/>
      <c r="E50" s="384"/>
      <c r="F50" s="384"/>
      <c r="G50" s="384"/>
      <c r="H50" s="386"/>
      <c r="I50" s="73"/>
    </row>
    <row r="51" spans="1:9" ht="39" customHeight="1" x14ac:dyDescent="0.25">
      <c r="A51" s="73"/>
      <c r="B51" s="206" t="s">
        <v>73</v>
      </c>
      <c r="C51" s="213" t="s">
        <v>80</v>
      </c>
      <c r="D51" s="428" t="s">
        <v>82</v>
      </c>
      <c r="E51" s="384"/>
      <c r="F51" s="384"/>
      <c r="G51" s="384"/>
      <c r="H51" s="386"/>
      <c r="I51" s="73"/>
    </row>
    <row r="52" spans="1:9" ht="13.5" customHeight="1" x14ac:dyDescent="0.25">
      <c r="A52" s="73"/>
      <c r="B52" s="209" t="s">
        <v>74</v>
      </c>
      <c r="C52" s="215" t="s">
        <v>81</v>
      </c>
      <c r="D52" s="429"/>
      <c r="E52" s="384"/>
      <c r="F52" s="384"/>
      <c r="G52" s="384"/>
      <c r="H52" s="386"/>
      <c r="I52" s="73"/>
    </row>
    <row r="53" spans="1:9" ht="15.75" customHeight="1" x14ac:dyDescent="0.25">
      <c r="A53" s="73"/>
      <c r="B53" s="209" t="s">
        <v>407</v>
      </c>
      <c r="C53" s="216" t="s">
        <v>417</v>
      </c>
      <c r="D53" s="399" t="s">
        <v>587</v>
      </c>
      <c r="E53" s="384"/>
      <c r="F53" s="384"/>
      <c r="G53" s="384"/>
      <c r="H53" s="386"/>
      <c r="I53" s="73"/>
    </row>
    <row r="54" spans="1:9" ht="28.5" customHeight="1" thickBot="1" x14ac:dyDescent="0.3">
      <c r="A54" s="73"/>
      <c r="B54" s="210" t="s">
        <v>406</v>
      </c>
      <c r="C54" s="217" t="s">
        <v>418</v>
      </c>
      <c r="D54" s="400"/>
      <c r="E54" s="384"/>
      <c r="F54" s="384"/>
      <c r="G54" s="384"/>
      <c r="H54" s="386"/>
      <c r="I54" s="73"/>
    </row>
    <row r="55" spans="1:9" ht="12.75" customHeight="1" x14ac:dyDescent="0.25">
      <c r="A55" s="73"/>
      <c r="B55" s="150" t="s">
        <v>126</v>
      </c>
      <c r="C55" s="151"/>
      <c r="D55" s="151"/>
      <c r="E55" s="268"/>
      <c r="F55" s="268"/>
      <c r="G55" s="268"/>
      <c r="H55" s="285"/>
      <c r="I55" s="73"/>
    </row>
    <row r="56" spans="1:9" ht="13.5" customHeight="1" x14ac:dyDescent="0.3">
      <c r="A56" s="73"/>
      <c r="B56" s="90" t="s">
        <v>102</v>
      </c>
      <c r="C56" s="16" t="s">
        <v>127</v>
      </c>
      <c r="D56" s="113"/>
      <c r="E56" s="384" t="s">
        <v>480</v>
      </c>
      <c r="F56" s="384" t="s">
        <v>482</v>
      </c>
      <c r="G56" s="384" t="s">
        <v>555</v>
      </c>
      <c r="H56" s="386" t="s">
        <v>556</v>
      </c>
      <c r="I56" s="73"/>
    </row>
    <row r="57" spans="1:9" ht="13.5" customHeight="1" x14ac:dyDescent="0.3">
      <c r="A57" s="73"/>
      <c r="B57" s="86" t="s">
        <v>394</v>
      </c>
      <c r="C57" s="17" t="s">
        <v>128</v>
      </c>
      <c r="D57" s="18" t="s">
        <v>133</v>
      </c>
      <c r="E57" s="384"/>
      <c r="F57" s="384"/>
      <c r="G57" s="384"/>
      <c r="H57" s="386"/>
      <c r="I57" s="73"/>
    </row>
    <row r="58" spans="1:9" ht="13.5" customHeight="1" x14ac:dyDescent="0.3">
      <c r="A58" s="73"/>
      <c r="B58" s="86" t="s">
        <v>393</v>
      </c>
      <c r="C58" s="17" t="s">
        <v>129</v>
      </c>
      <c r="D58" s="18" t="s">
        <v>133</v>
      </c>
      <c r="E58" s="384"/>
      <c r="F58" s="384"/>
      <c r="G58" s="384"/>
      <c r="H58" s="386"/>
      <c r="I58" s="73"/>
    </row>
    <row r="59" spans="1:9" ht="13.5" customHeight="1" x14ac:dyDescent="0.3">
      <c r="A59" s="73"/>
      <c r="B59" s="86" t="s">
        <v>103</v>
      </c>
      <c r="C59" s="17" t="s">
        <v>130</v>
      </c>
      <c r="D59" s="18"/>
      <c r="E59" s="384"/>
      <c r="F59" s="384"/>
      <c r="G59" s="384"/>
      <c r="H59" s="386"/>
      <c r="I59" s="73"/>
    </row>
    <row r="60" spans="1:9" ht="13.5" customHeight="1" x14ac:dyDescent="0.3">
      <c r="A60" s="73"/>
      <c r="B60" s="86" t="s">
        <v>392</v>
      </c>
      <c r="C60" s="51" t="s">
        <v>132</v>
      </c>
      <c r="D60" s="18" t="s">
        <v>133</v>
      </c>
      <c r="E60" s="384"/>
      <c r="F60" s="384"/>
      <c r="G60" s="384"/>
      <c r="H60" s="386"/>
      <c r="I60" s="73"/>
    </row>
    <row r="61" spans="1:9" ht="36" customHeight="1" thickBot="1" x14ac:dyDescent="0.3">
      <c r="A61" s="73"/>
      <c r="B61" s="97" t="s">
        <v>104</v>
      </c>
      <c r="C61" s="94" t="s">
        <v>131</v>
      </c>
      <c r="D61" s="112" t="s">
        <v>134</v>
      </c>
      <c r="E61" s="384"/>
      <c r="F61" s="384"/>
      <c r="G61" s="384"/>
      <c r="H61" s="386"/>
      <c r="I61" s="73"/>
    </row>
    <row r="62" spans="1:9" ht="12.75" customHeight="1" x14ac:dyDescent="0.25">
      <c r="A62" s="73"/>
      <c r="B62" s="150" t="s">
        <v>146</v>
      </c>
      <c r="C62" s="151"/>
      <c r="D62" s="151"/>
      <c r="E62" s="268"/>
      <c r="F62" s="268"/>
      <c r="G62" s="268"/>
      <c r="H62" s="285"/>
      <c r="I62" s="73"/>
    </row>
    <row r="63" spans="1:9" ht="13.5" customHeight="1" x14ac:dyDescent="0.25">
      <c r="A63" s="73"/>
      <c r="B63" s="87" t="s">
        <v>148</v>
      </c>
      <c r="C63" s="23" t="s">
        <v>171</v>
      </c>
      <c r="D63" s="113" t="s">
        <v>187</v>
      </c>
      <c r="E63" s="384" t="s">
        <v>499</v>
      </c>
      <c r="F63" s="384" t="s">
        <v>557</v>
      </c>
      <c r="G63" s="384" t="s">
        <v>559</v>
      </c>
      <c r="H63" s="386" t="s">
        <v>558</v>
      </c>
      <c r="I63" s="73"/>
    </row>
    <row r="64" spans="1:9" ht="13.5" customHeight="1" x14ac:dyDescent="0.25">
      <c r="A64" s="73"/>
      <c r="B64" s="88" t="s">
        <v>149</v>
      </c>
      <c r="C64" s="23" t="s">
        <v>172</v>
      </c>
      <c r="D64" s="18" t="s">
        <v>186</v>
      </c>
      <c r="E64" s="384"/>
      <c r="F64" s="384"/>
      <c r="G64" s="384"/>
      <c r="H64" s="386"/>
      <c r="I64" s="73"/>
    </row>
    <row r="65" spans="1:9" ht="26.4" x14ac:dyDescent="0.25">
      <c r="A65" s="73"/>
      <c r="B65" s="88" t="s">
        <v>164</v>
      </c>
      <c r="C65" s="20" t="s">
        <v>176</v>
      </c>
      <c r="D65" s="18" t="s">
        <v>173</v>
      </c>
      <c r="E65" s="384"/>
      <c r="F65" s="384"/>
      <c r="G65" s="384"/>
      <c r="H65" s="386"/>
      <c r="I65" s="73"/>
    </row>
    <row r="66" spans="1:9" ht="26.4" x14ac:dyDescent="0.25">
      <c r="A66" s="73"/>
      <c r="B66" s="88" t="s">
        <v>165</v>
      </c>
      <c r="C66" s="20" t="s">
        <v>175</v>
      </c>
      <c r="D66" s="18" t="s">
        <v>177</v>
      </c>
      <c r="E66" s="384"/>
      <c r="F66" s="384"/>
      <c r="G66" s="384"/>
      <c r="H66" s="386"/>
      <c r="I66" s="73"/>
    </row>
    <row r="67" spans="1:9" ht="26.4" x14ac:dyDescent="0.25">
      <c r="A67" s="73"/>
      <c r="B67" s="88" t="s">
        <v>166</v>
      </c>
      <c r="C67" s="20" t="s">
        <v>174</v>
      </c>
      <c r="D67" s="18" t="s">
        <v>178</v>
      </c>
      <c r="E67" s="384"/>
      <c r="F67" s="384"/>
      <c r="G67" s="384"/>
      <c r="H67" s="386"/>
      <c r="I67" s="73"/>
    </row>
    <row r="68" spans="1:9" ht="26.4" x14ac:dyDescent="0.25">
      <c r="A68" s="73"/>
      <c r="B68" s="88" t="s">
        <v>167</v>
      </c>
      <c r="C68" s="20" t="s">
        <v>182</v>
      </c>
      <c r="D68" s="18" t="s">
        <v>181</v>
      </c>
      <c r="E68" s="384"/>
      <c r="F68" s="384"/>
      <c r="G68" s="384"/>
      <c r="H68" s="386"/>
      <c r="I68" s="73"/>
    </row>
    <row r="69" spans="1:9" ht="26.4" x14ac:dyDescent="0.25">
      <c r="A69" s="73"/>
      <c r="B69" s="88" t="s">
        <v>168</v>
      </c>
      <c r="C69" s="20" t="s">
        <v>179</v>
      </c>
      <c r="D69" s="18" t="s">
        <v>180</v>
      </c>
      <c r="E69" s="384"/>
      <c r="F69" s="384"/>
      <c r="G69" s="384"/>
      <c r="H69" s="386"/>
      <c r="I69" s="73"/>
    </row>
    <row r="70" spans="1:9" ht="26.4" x14ac:dyDescent="0.25">
      <c r="A70" s="73"/>
      <c r="B70" s="88" t="s">
        <v>169</v>
      </c>
      <c r="C70" s="20" t="s">
        <v>183</v>
      </c>
      <c r="D70" s="18" t="s">
        <v>184</v>
      </c>
      <c r="E70" s="384"/>
      <c r="F70" s="384"/>
      <c r="G70" s="384"/>
      <c r="H70" s="386"/>
      <c r="I70" s="73"/>
    </row>
    <row r="71" spans="1:9" ht="26.4" x14ac:dyDescent="0.25">
      <c r="A71" s="73"/>
      <c r="B71" s="88" t="s">
        <v>170</v>
      </c>
      <c r="C71" s="20" t="s">
        <v>185</v>
      </c>
      <c r="D71" s="184" t="s">
        <v>178</v>
      </c>
      <c r="E71" s="384"/>
      <c r="F71" s="384"/>
      <c r="G71" s="384"/>
      <c r="H71" s="386"/>
      <c r="I71" s="73"/>
    </row>
    <row r="72" spans="1:9" ht="39.6" x14ac:dyDescent="0.25">
      <c r="A72" s="73"/>
      <c r="B72" s="206" t="s">
        <v>395</v>
      </c>
      <c r="C72" s="207" t="s">
        <v>397</v>
      </c>
      <c r="D72" s="208" t="s">
        <v>398</v>
      </c>
      <c r="E72" s="384"/>
      <c r="F72" s="384"/>
      <c r="G72" s="384"/>
      <c r="H72" s="386"/>
      <c r="I72" s="73"/>
    </row>
    <row r="73" spans="1:9" ht="26.4" x14ac:dyDescent="0.25">
      <c r="A73" s="73"/>
      <c r="B73" s="206" t="s">
        <v>414</v>
      </c>
      <c r="C73" s="211" t="s">
        <v>609</v>
      </c>
      <c r="D73" s="399" t="s">
        <v>610</v>
      </c>
      <c r="E73" s="384"/>
      <c r="F73" s="384"/>
      <c r="G73" s="384"/>
      <c r="H73" s="386"/>
      <c r="I73" s="73"/>
    </row>
    <row r="74" spans="1:9" ht="27" thickBot="1" x14ac:dyDescent="0.3">
      <c r="A74" s="73"/>
      <c r="B74" s="206" t="s">
        <v>415</v>
      </c>
      <c r="C74" s="211" t="s">
        <v>609</v>
      </c>
      <c r="D74" s="400"/>
      <c r="E74" s="385"/>
      <c r="F74" s="385"/>
      <c r="G74" s="385"/>
      <c r="H74" s="387"/>
      <c r="I74" s="73"/>
    </row>
    <row r="75" spans="1:9" ht="12.75" customHeight="1" x14ac:dyDescent="0.25">
      <c r="A75" s="73"/>
      <c r="B75" s="150" t="s">
        <v>263</v>
      </c>
      <c r="C75" s="151"/>
      <c r="D75" s="151"/>
      <c r="E75" s="269"/>
      <c r="F75" s="269"/>
      <c r="G75" s="269"/>
      <c r="H75" s="286"/>
      <c r="I75" s="73"/>
    </row>
    <row r="76" spans="1:9" ht="130.5" customHeight="1" x14ac:dyDescent="0.25">
      <c r="A76" s="73"/>
      <c r="B76" s="81" t="s">
        <v>635</v>
      </c>
      <c r="C76" s="16" t="s">
        <v>7</v>
      </c>
      <c r="D76" s="113" t="s">
        <v>445</v>
      </c>
      <c r="E76" s="384" t="s">
        <v>484</v>
      </c>
      <c r="F76" s="384" t="s">
        <v>483</v>
      </c>
      <c r="G76" s="384" t="s">
        <v>563</v>
      </c>
      <c r="H76" s="386" t="s">
        <v>561</v>
      </c>
      <c r="I76" s="73"/>
    </row>
    <row r="77" spans="1:9" ht="27" thickBot="1" x14ac:dyDescent="0.3">
      <c r="A77" s="73"/>
      <c r="B77" s="93" t="s">
        <v>636</v>
      </c>
      <c r="C77" s="94" t="s">
        <v>8</v>
      </c>
      <c r="D77" s="112" t="s">
        <v>57</v>
      </c>
      <c r="E77" s="385"/>
      <c r="F77" s="385"/>
      <c r="G77" s="385"/>
      <c r="H77" s="387"/>
      <c r="I77" s="73"/>
    </row>
    <row r="78" spans="1:9" ht="12.75" customHeight="1" x14ac:dyDescent="0.25">
      <c r="A78" s="73"/>
      <c r="B78" s="150" t="s">
        <v>264</v>
      </c>
      <c r="C78" s="151"/>
      <c r="D78" s="151"/>
      <c r="E78" s="268"/>
      <c r="F78" s="268"/>
      <c r="G78" s="268"/>
      <c r="H78" s="285"/>
      <c r="I78" s="73"/>
    </row>
    <row r="79" spans="1:9" ht="26.4" x14ac:dyDescent="0.25">
      <c r="A79" s="73"/>
      <c r="B79" s="81" t="s">
        <v>300</v>
      </c>
      <c r="C79" s="23" t="s">
        <v>135</v>
      </c>
      <c r="D79" s="201"/>
      <c r="E79" s="384" t="s">
        <v>486</v>
      </c>
      <c r="F79" s="384" t="s">
        <v>485</v>
      </c>
      <c r="G79" s="384" t="s">
        <v>565</v>
      </c>
      <c r="H79" s="386" t="s">
        <v>564</v>
      </c>
      <c r="I79" s="73"/>
    </row>
    <row r="80" spans="1:9" ht="26.4" x14ac:dyDescent="0.25">
      <c r="A80" s="73"/>
      <c r="B80" s="82" t="s">
        <v>354</v>
      </c>
      <c r="C80" s="49" t="s">
        <v>365</v>
      </c>
      <c r="D80" s="18" t="s">
        <v>32</v>
      </c>
      <c r="E80" s="384"/>
      <c r="F80" s="384"/>
      <c r="G80" s="384"/>
      <c r="H80" s="386"/>
      <c r="I80" s="73"/>
    </row>
    <row r="81" spans="1:9" ht="52.8" x14ac:dyDescent="0.25">
      <c r="A81" s="73"/>
      <c r="B81" s="82" t="s">
        <v>314</v>
      </c>
      <c r="C81" s="51" t="s">
        <v>35</v>
      </c>
      <c r="D81" s="18" t="s">
        <v>54</v>
      </c>
      <c r="E81" s="384"/>
      <c r="F81" s="384"/>
      <c r="G81" s="384"/>
      <c r="H81" s="386"/>
      <c r="I81" s="73"/>
    </row>
    <row r="82" spans="1:9" ht="52.8" x14ac:dyDescent="0.25">
      <c r="A82" s="73"/>
      <c r="B82" s="83" t="s">
        <v>22</v>
      </c>
      <c r="C82" s="22" t="s">
        <v>33</v>
      </c>
      <c r="D82" s="114" t="s">
        <v>373</v>
      </c>
      <c r="E82" s="384"/>
      <c r="F82" s="384"/>
      <c r="G82" s="384"/>
      <c r="H82" s="386"/>
      <c r="I82" s="73"/>
    </row>
    <row r="83" spans="1:9" ht="24.75" customHeight="1" x14ac:dyDescent="0.25">
      <c r="A83" s="73"/>
      <c r="B83" s="89" t="s">
        <v>141</v>
      </c>
      <c r="C83" s="20" t="s">
        <v>34</v>
      </c>
      <c r="D83" s="18" t="s">
        <v>142</v>
      </c>
      <c r="E83" s="384"/>
      <c r="F83" s="384"/>
      <c r="G83" s="384"/>
      <c r="H83" s="386"/>
      <c r="I83" s="73"/>
    </row>
    <row r="84" spans="1:9" ht="24.75" customHeight="1" x14ac:dyDescent="0.25">
      <c r="A84" s="73"/>
      <c r="B84" s="89" t="s">
        <v>106</v>
      </c>
      <c r="C84" s="23" t="s">
        <v>136</v>
      </c>
      <c r="D84" s="18" t="s">
        <v>137</v>
      </c>
      <c r="E84" s="384"/>
      <c r="F84" s="384"/>
      <c r="G84" s="384"/>
      <c r="H84" s="386"/>
      <c r="I84" s="73"/>
    </row>
    <row r="85" spans="1:9" ht="143.25" customHeight="1" thickBot="1" x14ac:dyDescent="0.3">
      <c r="A85" s="73"/>
      <c r="B85" s="116" t="s">
        <v>364</v>
      </c>
      <c r="C85" s="98" t="s">
        <v>385</v>
      </c>
      <c r="D85" s="112" t="s">
        <v>588</v>
      </c>
      <c r="E85" s="385"/>
      <c r="F85" s="385"/>
      <c r="G85" s="385"/>
      <c r="H85" s="387"/>
      <c r="I85" s="73"/>
    </row>
    <row r="86" spans="1:9" x14ac:dyDescent="0.25">
      <c r="A86" s="73"/>
      <c r="B86" s="150" t="s">
        <v>221</v>
      </c>
      <c r="C86" s="151"/>
      <c r="D86" s="152"/>
      <c r="E86" s="270"/>
      <c r="F86" s="270"/>
      <c r="G86" s="270"/>
      <c r="H86" s="287"/>
      <c r="I86" s="73"/>
    </row>
    <row r="87" spans="1:9" ht="26.4" x14ac:dyDescent="0.25">
      <c r="A87" s="73"/>
      <c r="B87" s="84" t="s">
        <v>222</v>
      </c>
      <c r="C87" s="23" t="s">
        <v>228</v>
      </c>
      <c r="D87" s="23"/>
      <c r="E87" s="384" t="s">
        <v>501</v>
      </c>
      <c r="F87" s="384" t="s">
        <v>500</v>
      </c>
      <c r="G87" s="384" t="s">
        <v>567</v>
      </c>
      <c r="H87" s="386" t="s">
        <v>566</v>
      </c>
      <c r="I87" s="73"/>
    </row>
    <row r="88" spans="1:9" ht="26.4" x14ac:dyDescent="0.25">
      <c r="A88" s="73"/>
      <c r="B88" s="89" t="s">
        <v>223</v>
      </c>
      <c r="C88" s="23" t="s">
        <v>229</v>
      </c>
      <c r="D88" s="23"/>
      <c r="E88" s="384"/>
      <c r="F88" s="384"/>
      <c r="G88" s="384"/>
      <c r="H88" s="386"/>
      <c r="I88" s="73"/>
    </row>
    <row r="89" spans="1:9" ht="52.8" x14ac:dyDescent="0.25">
      <c r="A89" s="73"/>
      <c r="B89" s="89" t="s">
        <v>224</v>
      </c>
      <c r="C89" s="23" t="s">
        <v>230</v>
      </c>
      <c r="D89" s="113" t="s">
        <v>341</v>
      </c>
      <c r="E89" s="384"/>
      <c r="F89" s="384"/>
      <c r="G89" s="384"/>
      <c r="H89" s="386"/>
      <c r="I89" s="73"/>
    </row>
    <row r="90" spans="1:9" ht="52.8" x14ac:dyDescent="0.25">
      <c r="A90" s="73"/>
      <c r="B90" s="89" t="s">
        <v>225</v>
      </c>
      <c r="C90" s="23" t="s">
        <v>231</v>
      </c>
      <c r="D90" s="113" t="s">
        <v>342</v>
      </c>
      <c r="E90" s="384"/>
      <c r="F90" s="384"/>
      <c r="G90" s="384"/>
      <c r="H90" s="386"/>
      <c r="I90" s="73"/>
    </row>
    <row r="91" spans="1:9" ht="27" thickBot="1" x14ac:dyDescent="0.3">
      <c r="A91" s="73"/>
      <c r="B91" s="89" t="s">
        <v>226</v>
      </c>
      <c r="C91" s="23" t="s">
        <v>334</v>
      </c>
      <c r="D91" s="406" t="s">
        <v>332</v>
      </c>
      <c r="E91" s="384"/>
      <c r="F91" s="384"/>
      <c r="G91" s="384"/>
      <c r="H91" s="386"/>
      <c r="I91" s="73"/>
    </row>
    <row r="92" spans="1:9" ht="27" thickBot="1" x14ac:dyDescent="0.3">
      <c r="A92" s="73"/>
      <c r="B92" s="116" t="s">
        <v>227</v>
      </c>
      <c r="C92" s="80" t="s">
        <v>335</v>
      </c>
      <c r="D92" s="407"/>
      <c r="E92" s="385"/>
      <c r="F92" s="385"/>
      <c r="G92" s="385"/>
      <c r="H92" s="387"/>
      <c r="I92" s="73"/>
    </row>
    <row r="93" spans="1:9" ht="12.75" customHeight="1" x14ac:dyDescent="0.25">
      <c r="A93" s="73"/>
      <c r="B93" s="153" t="s">
        <v>138</v>
      </c>
      <c r="C93" s="151"/>
      <c r="D93" s="152"/>
      <c r="E93" s="270"/>
      <c r="F93" s="270"/>
      <c r="G93" s="270"/>
      <c r="H93" s="287"/>
      <c r="I93" s="73"/>
    </row>
    <row r="94" spans="1:9" ht="13.5" customHeight="1" x14ac:dyDescent="0.3">
      <c r="A94" s="73"/>
      <c r="B94" s="90" t="s">
        <v>108</v>
      </c>
      <c r="C94" s="16" t="s">
        <v>139</v>
      </c>
      <c r="D94" s="425" t="s">
        <v>639</v>
      </c>
      <c r="E94" s="384" t="s">
        <v>504</v>
      </c>
      <c r="F94" s="384" t="s">
        <v>503</v>
      </c>
      <c r="G94" s="384" t="s">
        <v>569</v>
      </c>
      <c r="H94" s="386" t="s">
        <v>568</v>
      </c>
      <c r="I94" s="73"/>
    </row>
    <row r="95" spans="1:9" ht="13.5" customHeight="1" x14ac:dyDescent="0.3">
      <c r="A95" s="73"/>
      <c r="B95" s="86" t="s">
        <v>343</v>
      </c>
      <c r="C95" s="17" t="s">
        <v>348</v>
      </c>
      <c r="D95" s="425"/>
      <c r="E95" s="384"/>
      <c r="F95" s="384"/>
      <c r="G95" s="384"/>
      <c r="H95" s="386"/>
      <c r="I95" s="73"/>
    </row>
    <row r="96" spans="1:9" ht="13.5" customHeight="1" x14ac:dyDescent="0.3">
      <c r="A96" s="73"/>
      <c r="B96" s="90" t="s">
        <v>112</v>
      </c>
      <c r="C96" s="16" t="s">
        <v>140</v>
      </c>
      <c r="D96" s="425"/>
      <c r="E96" s="384"/>
      <c r="F96" s="384"/>
      <c r="G96" s="384"/>
      <c r="H96" s="386"/>
      <c r="I96" s="73"/>
    </row>
    <row r="97" spans="1:9" ht="13.5" customHeight="1" x14ac:dyDescent="0.3">
      <c r="A97" s="73"/>
      <c r="B97" s="86" t="s">
        <v>344</v>
      </c>
      <c r="C97" s="17" t="s">
        <v>349</v>
      </c>
      <c r="D97" s="425"/>
      <c r="E97" s="384"/>
      <c r="F97" s="384"/>
      <c r="G97" s="384"/>
      <c r="H97" s="386"/>
      <c r="I97" s="73"/>
    </row>
    <row r="98" spans="1:9" ht="13.5" customHeight="1" x14ac:dyDescent="0.3">
      <c r="A98" s="73"/>
      <c r="B98" s="90" t="s">
        <v>113</v>
      </c>
      <c r="C98" s="16" t="s">
        <v>143</v>
      </c>
      <c r="D98" s="425"/>
      <c r="E98" s="384"/>
      <c r="F98" s="384"/>
      <c r="G98" s="384"/>
      <c r="H98" s="386"/>
      <c r="I98" s="73"/>
    </row>
    <row r="99" spans="1:9" ht="13.5" customHeight="1" x14ac:dyDescent="0.3">
      <c r="A99" s="73"/>
      <c r="B99" s="86" t="s">
        <v>345</v>
      </c>
      <c r="C99" s="17" t="s">
        <v>350</v>
      </c>
      <c r="D99" s="425"/>
      <c r="E99" s="384"/>
      <c r="F99" s="384"/>
      <c r="G99" s="384"/>
      <c r="H99" s="386"/>
      <c r="I99" s="73"/>
    </row>
    <row r="100" spans="1:9" ht="13.5" customHeight="1" x14ac:dyDescent="0.3">
      <c r="A100" s="73"/>
      <c r="B100" s="90" t="s">
        <v>114</v>
      </c>
      <c r="C100" s="16" t="s">
        <v>144</v>
      </c>
      <c r="D100" s="425"/>
      <c r="E100" s="384"/>
      <c r="F100" s="384"/>
      <c r="G100" s="384"/>
      <c r="H100" s="386"/>
      <c r="I100" s="73"/>
    </row>
    <row r="101" spans="1:9" ht="13.5" customHeight="1" x14ac:dyDescent="0.3">
      <c r="A101" s="73"/>
      <c r="B101" s="86" t="s">
        <v>346</v>
      </c>
      <c r="C101" s="17" t="s">
        <v>351</v>
      </c>
      <c r="D101" s="425"/>
      <c r="E101" s="384"/>
      <c r="F101" s="384"/>
      <c r="G101" s="384"/>
      <c r="H101" s="386"/>
      <c r="I101" s="73"/>
    </row>
    <row r="102" spans="1:9" ht="13.5" customHeight="1" x14ac:dyDescent="0.3">
      <c r="A102" s="73"/>
      <c r="B102" s="86" t="s">
        <v>115</v>
      </c>
      <c r="C102" s="17" t="s">
        <v>145</v>
      </c>
      <c r="D102" s="425"/>
      <c r="E102" s="384"/>
      <c r="F102" s="384"/>
      <c r="G102" s="384"/>
      <c r="H102" s="386"/>
      <c r="I102" s="73"/>
    </row>
    <row r="103" spans="1:9" ht="13.5" customHeight="1" x14ac:dyDescent="0.3">
      <c r="A103" s="73"/>
      <c r="B103" s="86" t="s">
        <v>347</v>
      </c>
      <c r="C103" s="17" t="s">
        <v>352</v>
      </c>
      <c r="D103" s="426"/>
      <c r="E103" s="384"/>
      <c r="F103" s="384"/>
      <c r="G103" s="384"/>
      <c r="H103" s="386"/>
      <c r="I103" s="73"/>
    </row>
    <row r="104" spans="1:9" ht="39.6" x14ac:dyDescent="0.25">
      <c r="A104" s="73"/>
      <c r="B104" s="89" t="s">
        <v>116</v>
      </c>
      <c r="C104" s="20" t="s">
        <v>55</v>
      </c>
      <c r="D104" s="18" t="s">
        <v>56</v>
      </c>
      <c r="E104" s="384"/>
      <c r="F104" s="384"/>
      <c r="G104" s="384"/>
      <c r="H104" s="386"/>
      <c r="I104" s="73"/>
    </row>
    <row r="105" spans="1:9" ht="26.4" x14ac:dyDescent="0.25">
      <c r="A105" s="73"/>
      <c r="B105" s="85" t="s">
        <v>386</v>
      </c>
      <c r="C105" s="50" t="s">
        <v>388</v>
      </c>
      <c r="D105" s="399" t="s">
        <v>390</v>
      </c>
      <c r="E105" s="384"/>
      <c r="F105" s="384"/>
      <c r="G105" s="384"/>
      <c r="H105" s="386"/>
      <c r="I105" s="73"/>
    </row>
    <row r="106" spans="1:9" ht="27" thickBot="1" x14ac:dyDescent="0.3">
      <c r="A106" s="73"/>
      <c r="B106" s="183" t="s">
        <v>387</v>
      </c>
      <c r="C106" s="50" t="s">
        <v>389</v>
      </c>
      <c r="D106" s="400"/>
      <c r="E106" s="385"/>
      <c r="F106" s="385"/>
      <c r="G106" s="385"/>
      <c r="H106" s="387"/>
      <c r="I106" s="73"/>
    </row>
    <row r="107" spans="1:9" ht="12.75" customHeight="1" x14ac:dyDescent="0.25">
      <c r="A107" s="73"/>
      <c r="B107" s="150" t="s">
        <v>220</v>
      </c>
      <c r="C107" s="151"/>
      <c r="D107" s="152"/>
      <c r="E107" s="270"/>
      <c r="F107" s="270"/>
      <c r="G107" s="270"/>
      <c r="H107" s="287"/>
      <c r="I107" s="73"/>
    </row>
    <row r="108" spans="1:9" ht="38.25" customHeight="1" x14ac:dyDescent="0.25">
      <c r="A108" s="73"/>
      <c r="B108" s="84" t="s">
        <v>640</v>
      </c>
      <c r="C108" s="23" t="s">
        <v>232</v>
      </c>
      <c r="D108" s="397" t="s">
        <v>585</v>
      </c>
      <c r="E108" s="384" t="s">
        <v>488</v>
      </c>
      <c r="F108" s="384" t="s">
        <v>487</v>
      </c>
      <c r="G108" s="384" t="s">
        <v>572</v>
      </c>
      <c r="H108" s="386" t="s">
        <v>570</v>
      </c>
      <c r="I108" s="73"/>
    </row>
    <row r="109" spans="1:9" ht="26.4" x14ac:dyDescent="0.25">
      <c r="A109" s="73"/>
      <c r="B109" s="89" t="s">
        <v>233</v>
      </c>
      <c r="C109" s="22" t="s">
        <v>236</v>
      </c>
      <c r="D109" s="397"/>
      <c r="E109" s="384"/>
      <c r="F109" s="384"/>
      <c r="G109" s="384"/>
      <c r="H109" s="386"/>
      <c r="I109" s="73"/>
    </row>
    <row r="110" spans="1:9" ht="27" customHeight="1" x14ac:dyDescent="0.25">
      <c r="A110" s="73"/>
      <c r="B110" s="263" t="s">
        <v>450</v>
      </c>
      <c r="C110" s="264" t="s">
        <v>452</v>
      </c>
      <c r="D110" s="397"/>
      <c r="E110" s="384"/>
      <c r="F110" s="384"/>
      <c r="G110" s="384"/>
      <c r="H110" s="386"/>
      <c r="I110" s="73"/>
    </row>
    <row r="111" spans="1:9" ht="26.4" x14ac:dyDescent="0.25">
      <c r="A111" s="73"/>
      <c r="B111" s="89" t="s">
        <v>449</v>
      </c>
      <c r="C111" s="22" t="s">
        <v>451</v>
      </c>
      <c r="D111" s="397"/>
      <c r="E111" s="384"/>
      <c r="F111" s="384"/>
      <c r="G111" s="384"/>
      <c r="H111" s="386"/>
      <c r="I111" s="73"/>
    </row>
    <row r="112" spans="1:9" ht="24.75" customHeight="1" x14ac:dyDescent="0.25">
      <c r="A112" s="73"/>
      <c r="B112" s="89" t="s">
        <v>234</v>
      </c>
      <c r="C112" s="22" t="s">
        <v>237</v>
      </c>
      <c r="D112" s="398"/>
      <c r="E112" s="384"/>
      <c r="F112" s="384"/>
      <c r="G112" s="384"/>
      <c r="H112" s="386"/>
      <c r="I112" s="73"/>
    </row>
    <row r="113" spans="1:9" ht="39.6" x14ac:dyDescent="0.25">
      <c r="A113" s="73"/>
      <c r="B113" s="89" t="s">
        <v>235</v>
      </c>
      <c r="C113" s="22" t="s">
        <v>611</v>
      </c>
      <c r="D113" s="304" t="s">
        <v>612</v>
      </c>
      <c r="E113" s="384"/>
      <c r="F113" s="384"/>
      <c r="G113" s="384"/>
      <c r="H113" s="386"/>
      <c r="I113" s="73"/>
    </row>
    <row r="114" spans="1:9" ht="27" thickBot="1" x14ac:dyDescent="0.3">
      <c r="A114" s="73"/>
      <c r="B114" s="116" t="s">
        <v>642</v>
      </c>
      <c r="C114" s="98" t="s">
        <v>589</v>
      </c>
      <c r="D114" s="112" t="s">
        <v>333</v>
      </c>
      <c r="E114" s="385"/>
      <c r="F114" s="385"/>
      <c r="G114" s="385"/>
      <c r="H114" s="387"/>
      <c r="I114" s="73"/>
    </row>
    <row r="115" spans="1:9" ht="12.75" customHeight="1" x14ac:dyDescent="0.25">
      <c r="A115" s="73"/>
      <c r="B115" s="150" t="s">
        <v>457</v>
      </c>
      <c r="C115" s="151"/>
      <c r="D115" s="152"/>
      <c r="E115" s="270"/>
      <c r="F115" s="270"/>
      <c r="G115" s="270"/>
      <c r="H115" s="287"/>
      <c r="I115" s="73"/>
    </row>
    <row r="116" spans="1:9" ht="52.8" x14ac:dyDescent="0.25">
      <c r="A116" s="73"/>
      <c r="B116" s="87" t="s">
        <v>454</v>
      </c>
      <c r="C116" s="50" t="s">
        <v>458</v>
      </c>
      <c r="D116" s="265" t="s">
        <v>461</v>
      </c>
      <c r="E116" s="384"/>
      <c r="F116" s="384"/>
      <c r="G116" s="384" t="s">
        <v>574</v>
      </c>
      <c r="H116" s="386" t="s">
        <v>573</v>
      </c>
      <c r="I116" s="73"/>
    </row>
    <row r="117" spans="1:9" ht="26.4" x14ac:dyDescent="0.25">
      <c r="A117" s="73"/>
      <c r="B117" s="87" t="s">
        <v>455</v>
      </c>
      <c r="C117" s="50" t="s">
        <v>459</v>
      </c>
      <c r="D117" s="399" t="s">
        <v>462</v>
      </c>
      <c r="E117" s="384"/>
      <c r="F117" s="384"/>
      <c r="G117" s="384"/>
      <c r="H117" s="386"/>
      <c r="I117" s="73"/>
    </row>
    <row r="118" spans="1:9" ht="26.4" x14ac:dyDescent="0.25">
      <c r="A118" s="73"/>
      <c r="B118" s="87" t="s">
        <v>456</v>
      </c>
      <c r="C118" s="50" t="s">
        <v>460</v>
      </c>
      <c r="D118" s="401"/>
      <c r="E118" s="384"/>
      <c r="F118" s="384"/>
      <c r="G118" s="384"/>
      <c r="H118" s="386"/>
      <c r="I118" s="73"/>
    </row>
    <row r="119" spans="1:9" ht="26.4" x14ac:dyDescent="0.25">
      <c r="A119" s="73"/>
      <c r="B119" s="87" t="s">
        <v>465</v>
      </c>
      <c r="C119" s="50" t="s">
        <v>463</v>
      </c>
      <c r="D119" s="401"/>
      <c r="E119" s="384"/>
      <c r="F119" s="384"/>
      <c r="G119" s="384"/>
      <c r="H119" s="386"/>
      <c r="I119" s="73"/>
    </row>
    <row r="120" spans="1:9" ht="26.4" x14ac:dyDescent="0.25">
      <c r="A120" s="73"/>
      <c r="B120" s="87" t="s">
        <v>466</v>
      </c>
      <c r="C120" s="50" t="s">
        <v>464</v>
      </c>
      <c r="D120" s="402"/>
      <c r="E120" s="384"/>
      <c r="F120" s="384"/>
      <c r="G120" s="384"/>
      <c r="H120" s="386"/>
      <c r="I120" s="73"/>
    </row>
    <row r="121" spans="1:9" ht="40.200000000000003" thickBot="1" x14ac:dyDescent="0.3">
      <c r="A121" s="73"/>
      <c r="B121" s="87" t="s">
        <v>467</v>
      </c>
      <c r="C121" s="50" t="s">
        <v>468</v>
      </c>
      <c r="D121" s="266" t="s">
        <v>469</v>
      </c>
      <c r="E121" s="385"/>
      <c r="F121" s="385"/>
      <c r="G121" s="385"/>
      <c r="H121" s="387"/>
      <c r="I121" s="73"/>
    </row>
    <row r="122" spans="1:9" ht="26.25" customHeight="1" x14ac:dyDescent="0.25">
      <c r="A122" s="73"/>
      <c r="B122" s="150" t="s">
        <v>208</v>
      </c>
      <c r="C122" s="151"/>
      <c r="D122" s="152"/>
      <c r="E122" s="270"/>
      <c r="F122" s="270"/>
      <c r="G122" s="270"/>
      <c r="H122" s="287"/>
      <c r="I122" s="73"/>
    </row>
    <row r="123" spans="1:9" ht="26.4" x14ac:dyDescent="0.25">
      <c r="A123" s="73"/>
      <c r="B123" s="84" t="s">
        <v>238</v>
      </c>
      <c r="C123" s="23" t="s">
        <v>246</v>
      </c>
      <c r="D123" s="113" t="s">
        <v>590</v>
      </c>
      <c r="E123" s="384" t="s">
        <v>506</v>
      </c>
      <c r="F123" s="384" t="s">
        <v>505</v>
      </c>
      <c r="G123" s="384" t="s">
        <v>576</v>
      </c>
      <c r="H123" s="386" t="s">
        <v>575</v>
      </c>
      <c r="I123" s="73"/>
    </row>
    <row r="124" spans="1:9" ht="14.25" customHeight="1" thickBot="1" x14ac:dyDescent="0.3">
      <c r="A124" s="73"/>
      <c r="B124" s="89" t="s">
        <v>239</v>
      </c>
      <c r="C124" s="16" t="s">
        <v>247</v>
      </c>
      <c r="D124" s="406" t="s">
        <v>591</v>
      </c>
      <c r="E124" s="384"/>
      <c r="F124" s="384"/>
      <c r="G124" s="384"/>
      <c r="H124" s="386"/>
      <c r="I124" s="73"/>
    </row>
    <row r="125" spans="1:9" ht="27" customHeight="1" thickBot="1" x14ac:dyDescent="0.3">
      <c r="A125" s="73"/>
      <c r="B125" s="116" t="s">
        <v>240</v>
      </c>
      <c r="C125" s="80" t="s">
        <v>248</v>
      </c>
      <c r="D125" s="407"/>
      <c r="E125" s="385"/>
      <c r="F125" s="385"/>
      <c r="G125" s="385"/>
      <c r="H125" s="387"/>
      <c r="I125" s="73"/>
    </row>
    <row r="126" spans="1:9" ht="13.5" customHeight="1" x14ac:dyDescent="0.25">
      <c r="A126" s="73"/>
      <c r="B126" s="150" t="s">
        <v>273</v>
      </c>
      <c r="C126" s="151"/>
      <c r="D126" s="152"/>
      <c r="E126" s="270"/>
      <c r="F126" s="270"/>
      <c r="G126" s="270"/>
      <c r="H126" s="287"/>
      <c r="I126" s="73"/>
    </row>
    <row r="127" spans="1:9" ht="80.25" customHeight="1" x14ac:dyDescent="0.25">
      <c r="A127" s="73"/>
      <c r="B127" s="81" t="s">
        <v>307</v>
      </c>
      <c r="C127" s="50" t="s">
        <v>592</v>
      </c>
      <c r="D127" s="113" t="s">
        <v>111</v>
      </c>
      <c r="E127" s="384" t="s">
        <v>497</v>
      </c>
      <c r="F127" s="384" t="s">
        <v>498</v>
      </c>
      <c r="G127" s="384" t="s">
        <v>577</v>
      </c>
      <c r="H127" s="386" t="s">
        <v>578</v>
      </c>
      <c r="I127" s="73"/>
    </row>
    <row r="128" spans="1:9" ht="41.25" customHeight="1" thickBot="1" x14ac:dyDescent="0.3">
      <c r="A128" s="73"/>
      <c r="B128" s="116" t="s">
        <v>23</v>
      </c>
      <c r="C128" s="80" t="s">
        <v>109</v>
      </c>
      <c r="D128" s="112" t="s">
        <v>110</v>
      </c>
      <c r="E128" s="384"/>
      <c r="F128" s="384"/>
      <c r="G128" s="384"/>
      <c r="H128" s="386"/>
      <c r="I128" s="73"/>
    </row>
    <row r="129" spans="1:9" ht="15" customHeight="1" x14ac:dyDescent="0.25">
      <c r="A129" s="73"/>
      <c r="B129" s="150" t="s">
        <v>274</v>
      </c>
      <c r="C129" s="151"/>
      <c r="D129" s="152"/>
      <c r="E129" s="274"/>
      <c r="F129" s="274"/>
      <c r="G129" s="274"/>
      <c r="H129" s="288"/>
      <c r="I129" s="73"/>
    </row>
    <row r="130" spans="1:9" ht="39.75" customHeight="1" x14ac:dyDescent="0.25">
      <c r="A130" s="73"/>
      <c r="B130" s="81" t="s">
        <v>24</v>
      </c>
      <c r="C130" s="16" t="s">
        <v>18</v>
      </c>
      <c r="D130" s="113" t="s">
        <v>593</v>
      </c>
      <c r="E130" s="384" t="s">
        <v>497</v>
      </c>
      <c r="F130" s="384" t="s">
        <v>496</v>
      </c>
      <c r="G130" s="384" t="s">
        <v>577</v>
      </c>
      <c r="H130" s="386" t="s">
        <v>580</v>
      </c>
      <c r="I130" s="73"/>
    </row>
    <row r="131" spans="1:9" ht="40.5" customHeight="1" thickBot="1" x14ac:dyDescent="0.3">
      <c r="A131" s="73"/>
      <c r="B131" s="82" t="s">
        <v>308</v>
      </c>
      <c r="C131" s="16" t="s">
        <v>17</v>
      </c>
      <c r="D131" s="275" t="s">
        <v>594</v>
      </c>
      <c r="E131" s="384"/>
      <c r="F131" s="384"/>
      <c r="G131" s="384"/>
      <c r="H131" s="386"/>
      <c r="I131" s="73"/>
    </row>
    <row r="132" spans="1:9" x14ac:dyDescent="0.25">
      <c r="A132" s="73"/>
      <c r="B132" s="150" t="s">
        <v>268</v>
      </c>
      <c r="C132" s="151"/>
      <c r="D132" s="152"/>
      <c r="E132" s="271"/>
      <c r="F132" s="271"/>
      <c r="G132" s="271"/>
      <c r="H132" s="289"/>
      <c r="I132" s="73"/>
    </row>
    <row r="133" spans="1:9" ht="52.8" x14ac:dyDescent="0.25">
      <c r="A133" s="73"/>
      <c r="B133" s="87" t="s">
        <v>241</v>
      </c>
      <c r="C133" s="50" t="s">
        <v>355</v>
      </c>
      <c r="D133" s="113" t="s">
        <v>360</v>
      </c>
      <c r="E133" s="384"/>
      <c r="F133" s="384"/>
      <c r="G133" s="384"/>
      <c r="H133" s="386"/>
      <c r="I133" s="73"/>
    </row>
    <row r="134" spans="1:9" ht="38.25" customHeight="1" x14ac:dyDescent="0.25">
      <c r="A134" s="73"/>
      <c r="B134" s="85" t="s">
        <v>242</v>
      </c>
      <c r="C134" s="49" t="s">
        <v>356</v>
      </c>
      <c r="D134" s="18" t="s">
        <v>361</v>
      </c>
      <c r="E134" s="384"/>
      <c r="F134" s="384"/>
      <c r="G134" s="384"/>
      <c r="H134" s="386"/>
      <c r="I134" s="73"/>
    </row>
    <row r="135" spans="1:9" ht="40.200000000000003" thickBot="1" x14ac:dyDescent="0.3">
      <c r="A135" s="73"/>
      <c r="B135" s="85" t="s">
        <v>243</v>
      </c>
      <c r="C135" s="49" t="s">
        <v>359</v>
      </c>
      <c r="D135" s="406" t="s">
        <v>358</v>
      </c>
      <c r="E135" s="384"/>
      <c r="F135" s="384"/>
      <c r="G135" s="384"/>
      <c r="H135" s="386"/>
      <c r="I135" s="73"/>
    </row>
    <row r="136" spans="1:9" ht="39" customHeight="1" thickBot="1" x14ac:dyDescent="0.3">
      <c r="A136" s="73"/>
      <c r="B136" s="97" t="s">
        <v>245</v>
      </c>
      <c r="C136" s="98" t="s">
        <v>357</v>
      </c>
      <c r="D136" s="407"/>
      <c r="E136" s="385"/>
      <c r="F136" s="385"/>
      <c r="G136" s="385"/>
      <c r="H136" s="387"/>
      <c r="I136" s="73"/>
    </row>
    <row r="137" spans="1:9" ht="12.75" customHeight="1" x14ac:dyDescent="0.25">
      <c r="A137" s="73"/>
      <c r="B137" s="150" t="s">
        <v>269</v>
      </c>
      <c r="C137" s="151"/>
      <c r="D137" s="152"/>
      <c r="E137" s="270"/>
      <c r="F137" s="270"/>
      <c r="G137" s="270"/>
      <c r="H137" s="287"/>
      <c r="I137" s="73"/>
    </row>
    <row r="138" spans="1:9" ht="13.5" customHeight="1" x14ac:dyDescent="0.25">
      <c r="A138" s="73"/>
      <c r="B138" s="81" t="s">
        <v>306</v>
      </c>
      <c r="C138" s="16" t="s">
        <v>19</v>
      </c>
      <c r="D138" s="113"/>
      <c r="E138" s="384" t="s">
        <v>490</v>
      </c>
      <c r="F138" s="384" t="s">
        <v>489</v>
      </c>
      <c r="G138" s="384" t="s">
        <v>582</v>
      </c>
      <c r="H138" s="386" t="s">
        <v>581</v>
      </c>
      <c r="I138" s="73"/>
    </row>
    <row r="139" spans="1:9" ht="13.5" customHeight="1" x14ac:dyDescent="0.25">
      <c r="A139" s="73"/>
      <c r="B139" s="82" t="s">
        <v>318</v>
      </c>
      <c r="C139" s="17" t="s">
        <v>20</v>
      </c>
      <c r="D139" s="18" t="s">
        <v>26</v>
      </c>
      <c r="E139" s="384"/>
      <c r="F139" s="384"/>
      <c r="G139" s="384"/>
      <c r="H139" s="386"/>
      <c r="I139" s="73"/>
    </row>
    <row r="140" spans="1:9" ht="53.4" thickBot="1" x14ac:dyDescent="0.3">
      <c r="A140" s="73"/>
      <c r="B140" s="93" t="s">
        <v>319</v>
      </c>
      <c r="C140" s="80" t="s">
        <v>374</v>
      </c>
      <c r="D140" s="112" t="s">
        <v>25</v>
      </c>
      <c r="E140" s="385"/>
      <c r="F140" s="385"/>
      <c r="G140" s="385"/>
      <c r="H140" s="387"/>
      <c r="I140" s="73"/>
    </row>
    <row r="141" spans="1:9" ht="12.75" customHeight="1" x14ac:dyDescent="0.25">
      <c r="A141" s="73"/>
      <c r="B141" s="150" t="s">
        <v>270</v>
      </c>
      <c r="C141" s="151"/>
      <c r="D141" s="152"/>
      <c r="E141" s="270"/>
      <c r="F141" s="270"/>
      <c r="G141" s="270"/>
      <c r="H141" s="287"/>
      <c r="I141" s="73"/>
    </row>
    <row r="142" spans="1:9" ht="13.5" customHeight="1" x14ac:dyDescent="0.25">
      <c r="A142" s="73"/>
      <c r="B142" s="81" t="s">
        <v>316</v>
      </c>
      <c r="C142" s="16" t="s">
        <v>21</v>
      </c>
      <c r="D142" s="113"/>
      <c r="E142" s="384" t="s">
        <v>492</v>
      </c>
      <c r="F142" s="384" t="s">
        <v>491</v>
      </c>
      <c r="G142" s="384" t="s">
        <v>584</v>
      </c>
      <c r="H142" s="386" t="s">
        <v>583</v>
      </c>
      <c r="I142" s="73"/>
    </row>
    <row r="143" spans="1:9" ht="15.75" customHeight="1" thickBot="1" x14ac:dyDescent="0.3">
      <c r="A143" s="73"/>
      <c r="B143" s="82" t="s">
        <v>315</v>
      </c>
      <c r="C143" s="20" t="s">
        <v>330</v>
      </c>
      <c r="D143" s="406" t="s">
        <v>595</v>
      </c>
      <c r="E143" s="384"/>
      <c r="F143" s="384"/>
      <c r="G143" s="384"/>
      <c r="H143" s="386"/>
      <c r="I143" s="73"/>
    </row>
    <row r="144" spans="1:9" ht="40.200000000000003" thickBot="1" x14ac:dyDescent="0.3">
      <c r="A144" s="73"/>
      <c r="B144" s="93" t="s">
        <v>317</v>
      </c>
      <c r="C144" s="98" t="s">
        <v>331</v>
      </c>
      <c r="D144" s="407"/>
      <c r="E144" s="385"/>
      <c r="F144" s="385"/>
      <c r="G144" s="385"/>
      <c r="H144" s="387"/>
      <c r="I144" s="73"/>
    </row>
    <row r="145" spans="1:9" x14ac:dyDescent="0.25">
      <c r="A145" s="73"/>
      <c r="B145" s="150" t="s">
        <v>265</v>
      </c>
      <c r="C145" s="151"/>
      <c r="D145" s="152"/>
      <c r="E145" s="270"/>
      <c r="F145" s="270"/>
      <c r="G145" s="270"/>
      <c r="H145" s="287"/>
      <c r="I145" s="73"/>
    </row>
    <row r="146" spans="1:9" ht="13.5" customHeight="1" x14ac:dyDescent="0.25">
      <c r="A146" s="73"/>
      <c r="B146" s="81" t="s">
        <v>301</v>
      </c>
      <c r="C146" s="16" t="s">
        <v>9</v>
      </c>
      <c r="D146" s="113"/>
      <c r="E146" s="384" t="s">
        <v>494</v>
      </c>
      <c r="F146" s="384" t="s">
        <v>495</v>
      </c>
      <c r="G146" s="380"/>
      <c r="H146" s="382"/>
      <c r="I146" s="73"/>
    </row>
    <row r="147" spans="1:9" ht="27" thickBot="1" x14ac:dyDescent="0.3">
      <c r="A147" s="73"/>
      <c r="B147" s="93" t="s">
        <v>310</v>
      </c>
      <c r="C147" s="94" t="s">
        <v>10</v>
      </c>
      <c r="D147" s="112" t="s">
        <v>244</v>
      </c>
      <c r="E147" s="384"/>
      <c r="F147" s="384"/>
      <c r="G147" s="380"/>
      <c r="H147" s="382"/>
      <c r="I147" s="73"/>
    </row>
    <row r="148" spans="1:9" ht="15" customHeight="1" x14ac:dyDescent="0.25">
      <c r="A148" s="73"/>
      <c r="B148" s="150" t="s">
        <v>266</v>
      </c>
      <c r="C148" s="151"/>
      <c r="D148" s="152"/>
      <c r="E148" s="271"/>
      <c r="F148" s="271"/>
      <c r="G148" s="271"/>
      <c r="H148" s="289"/>
      <c r="I148" s="73"/>
    </row>
    <row r="149" spans="1:9" ht="13.5" customHeight="1" x14ac:dyDescent="0.3">
      <c r="A149" s="73"/>
      <c r="B149" s="90" t="s">
        <v>302</v>
      </c>
      <c r="C149" s="16" t="s">
        <v>11</v>
      </c>
      <c r="D149" s="113"/>
      <c r="E149" s="384" t="s">
        <v>494</v>
      </c>
      <c r="F149" s="384" t="s">
        <v>493</v>
      </c>
      <c r="G149" s="380"/>
      <c r="H149" s="382"/>
      <c r="I149" s="73"/>
    </row>
    <row r="150" spans="1:9" ht="13.5" customHeight="1" x14ac:dyDescent="0.3">
      <c r="A150" s="73"/>
      <c r="B150" s="90" t="s">
        <v>29</v>
      </c>
      <c r="C150" s="16" t="s">
        <v>59</v>
      </c>
      <c r="D150" s="113"/>
      <c r="E150" s="384"/>
      <c r="F150" s="384"/>
      <c r="G150" s="380"/>
      <c r="H150" s="382"/>
      <c r="I150" s="73"/>
    </row>
    <row r="151" spans="1:9" ht="13.5" customHeight="1" x14ac:dyDescent="0.3">
      <c r="A151" s="73"/>
      <c r="B151" s="86" t="s">
        <v>303</v>
      </c>
      <c r="C151" s="17" t="s">
        <v>12</v>
      </c>
      <c r="D151" s="18"/>
      <c r="E151" s="384"/>
      <c r="F151" s="384"/>
      <c r="G151" s="380"/>
      <c r="H151" s="382"/>
      <c r="I151" s="73"/>
    </row>
    <row r="152" spans="1:9" ht="27" customHeight="1" x14ac:dyDescent="0.3">
      <c r="A152" s="73"/>
      <c r="B152" s="86" t="s">
        <v>304</v>
      </c>
      <c r="C152" s="17" t="s">
        <v>13</v>
      </c>
      <c r="D152" s="18"/>
      <c r="E152" s="384"/>
      <c r="F152" s="384"/>
      <c r="G152" s="380"/>
      <c r="H152" s="382"/>
      <c r="I152" s="73"/>
    </row>
    <row r="153" spans="1:9" ht="14.25" customHeight="1" thickBot="1" x14ac:dyDescent="0.35">
      <c r="A153" s="73"/>
      <c r="B153" s="96" t="s">
        <v>313</v>
      </c>
      <c r="C153" s="94" t="s">
        <v>14</v>
      </c>
      <c r="D153" s="112"/>
      <c r="E153" s="384"/>
      <c r="F153" s="384"/>
      <c r="G153" s="380"/>
      <c r="H153" s="382"/>
      <c r="I153" s="73"/>
    </row>
    <row r="154" spans="1:9" ht="12.75" customHeight="1" x14ac:dyDescent="0.25">
      <c r="A154" s="73"/>
      <c r="B154" s="150" t="s">
        <v>267</v>
      </c>
      <c r="C154" s="151"/>
      <c r="D154" s="152"/>
      <c r="E154" s="271"/>
      <c r="F154" s="271"/>
      <c r="G154" s="271"/>
      <c r="H154" s="289"/>
      <c r="I154" s="73"/>
    </row>
    <row r="155" spans="1:9" ht="13.5" customHeight="1" x14ac:dyDescent="0.25">
      <c r="A155" s="73"/>
      <c r="B155" s="81" t="s">
        <v>305</v>
      </c>
      <c r="C155" s="16" t="s">
        <v>16</v>
      </c>
      <c r="D155" s="113"/>
      <c r="E155" s="384"/>
      <c r="F155" s="384"/>
      <c r="G155" s="380"/>
      <c r="H155" s="382"/>
      <c r="I155" s="73"/>
    </row>
    <row r="156" spans="1:9" ht="14.25" customHeight="1" thickBot="1" x14ac:dyDescent="0.3">
      <c r="A156" s="73"/>
      <c r="B156" s="91" t="s">
        <v>312</v>
      </c>
      <c r="C156" s="92" t="s">
        <v>15</v>
      </c>
      <c r="D156" s="115"/>
      <c r="E156" s="385"/>
      <c r="F156" s="385"/>
      <c r="G156" s="381"/>
      <c r="H156" s="383"/>
      <c r="I156" s="73"/>
    </row>
    <row r="157" spans="1:9" ht="13.8" thickBot="1" x14ac:dyDescent="0.3">
      <c r="A157" s="73"/>
      <c r="B157" s="73"/>
      <c r="C157" s="73"/>
      <c r="D157" s="73"/>
      <c r="E157" s="73"/>
      <c r="F157" s="73"/>
      <c r="G157" s="73"/>
      <c r="H157" s="73"/>
      <c r="I157" s="73"/>
    </row>
    <row r="158" spans="1:9" x14ac:dyDescent="0.25">
      <c r="A158" s="73"/>
      <c r="B158" s="416" t="s">
        <v>509</v>
      </c>
      <c r="C158" s="416"/>
      <c r="D158" s="417" t="s">
        <v>510</v>
      </c>
      <c r="E158" s="418"/>
      <c r="F158" s="419"/>
      <c r="G158" s="73"/>
      <c r="H158" s="73"/>
      <c r="I158" s="73"/>
    </row>
    <row r="159" spans="1:9" x14ac:dyDescent="0.25">
      <c r="A159" s="73"/>
      <c r="B159" s="414" t="s">
        <v>537</v>
      </c>
      <c r="C159" s="415"/>
      <c r="D159" s="420" t="s">
        <v>596</v>
      </c>
      <c r="E159" s="421"/>
      <c r="F159" s="422"/>
      <c r="G159" s="73"/>
      <c r="H159" s="73"/>
      <c r="I159" s="73"/>
    </row>
    <row r="160" spans="1:9" ht="14.25" customHeight="1" x14ac:dyDescent="0.25">
      <c r="A160" s="73"/>
      <c r="B160" s="408" t="s">
        <v>607</v>
      </c>
      <c r="C160" s="409"/>
      <c r="D160" s="392" t="s">
        <v>605</v>
      </c>
      <c r="E160" s="393"/>
      <c r="F160" s="394"/>
      <c r="G160" s="73"/>
      <c r="H160" s="73"/>
      <c r="I160" s="73"/>
    </row>
    <row r="161" spans="1:9" x14ac:dyDescent="0.25">
      <c r="A161" s="73"/>
      <c r="B161" s="408" t="s">
        <v>538</v>
      </c>
      <c r="C161" s="409"/>
      <c r="D161" s="392" t="s">
        <v>603</v>
      </c>
      <c r="E161" s="393"/>
      <c r="F161" s="394"/>
      <c r="G161" s="73"/>
      <c r="H161" s="73"/>
      <c r="I161" s="73"/>
    </row>
    <row r="162" spans="1:9" x14ac:dyDescent="0.25">
      <c r="A162" s="73"/>
      <c r="B162" s="408" t="s">
        <v>539</v>
      </c>
      <c r="C162" s="409"/>
      <c r="D162" s="392" t="s">
        <v>604</v>
      </c>
      <c r="E162" s="393"/>
      <c r="F162" s="394"/>
      <c r="G162" s="73"/>
      <c r="H162" s="73"/>
      <c r="I162" s="73"/>
    </row>
    <row r="163" spans="1:9" ht="13.8" thickBot="1" x14ac:dyDescent="0.3">
      <c r="A163" s="73"/>
      <c r="B163" s="410"/>
      <c r="C163" s="411"/>
      <c r="D163" s="403" t="s">
        <v>606</v>
      </c>
      <c r="E163" s="404"/>
      <c r="F163" s="405"/>
      <c r="G163" s="73"/>
      <c r="H163" s="73"/>
      <c r="I163" s="73"/>
    </row>
    <row r="164" spans="1:9" ht="13.8" thickBot="1" x14ac:dyDescent="0.3">
      <c r="A164" s="73"/>
      <c r="B164" s="73"/>
      <c r="C164" s="73"/>
      <c r="D164" s="73"/>
      <c r="E164" s="73"/>
      <c r="F164" s="73"/>
      <c r="G164" s="73"/>
      <c r="H164" s="73"/>
      <c r="I164" s="73"/>
    </row>
    <row r="165" spans="1:9" x14ac:dyDescent="0.25">
      <c r="A165" s="73"/>
      <c r="B165" s="416" t="s">
        <v>507</v>
      </c>
      <c r="C165" s="416"/>
      <c r="D165" s="417" t="s">
        <v>522</v>
      </c>
      <c r="E165" s="418"/>
      <c r="F165" s="419"/>
      <c r="G165" s="73"/>
      <c r="H165" s="73"/>
      <c r="I165" s="73"/>
    </row>
    <row r="166" spans="1:9" x14ac:dyDescent="0.25">
      <c r="A166" s="73"/>
      <c r="B166" s="414" t="s">
        <v>540</v>
      </c>
      <c r="C166" s="415"/>
      <c r="D166" s="420" t="s">
        <v>536</v>
      </c>
      <c r="E166" s="421"/>
      <c r="F166" s="422"/>
      <c r="G166" s="73"/>
      <c r="H166" s="73"/>
      <c r="I166" s="73"/>
    </row>
    <row r="167" spans="1:9" x14ac:dyDescent="0.25">
      <c r="A167" s="73"/>
      <c r="B167" s="414" t="s">
        <v>541</v>
      </c>
      <c r="C167" s="415"/>
      <c r="D167" s="392" t="s">
        <v>531</v>
      </c>
      <c r="E167" s="393"/>
      <c r="F167" s="394"/>
      <c r="G167" s="73"/>
      <c r="H167" s="73"/>
      <c r="I167" s="73"/>
    </row>
    <row r="168" spans="1:9" x14ac:dyDescent="0.25">
      <c r="A168" s="73"/>
      <c r="B168" s="414" t="s">
        <v>542</v>
      </c>
      <c r="C168" s="415"/>
      <c r="D168" s="392" t="s">
        <v>532</v>
      </c>
      <c r="E168" s="393"/>
      <c r="F168" s="394"/>
      <c r="G168" s="73"/>
      <c r="H168" s="73"/>
      <c r="I168" s="73"/>
    </row>
    <row r="169" spans="1:9" x14ac:dyDescent="0.25">
      <c r="A169" s="73"/>
      <c r="B169" s="408" t="s">
        <v>543</v>
      </c>
      <c r="C169" s="409"/>
      <c r="D169" s="392" t="s">
        <v>528</v>
      </c>
      <c r="E169" s="393"/>
      <c r="F169" s="394"/>
      <c r="G169" s="73"/>
      <c r="H169" s="73"/>
      <c r="I169" s="73"/>
    </row>
    <row r="170" spans="1:9" x14ac:dyDescent="0.25">
      <c r="A170" s="73"/>
      <c r="B170" s="408"/>
      <c r="C170" s="409"/>
      <c r="D170" s="392" t="s">
        <v>552</v>
      </c>
      <c r="E170" s="393"/>
      <c r="F170" s="394"/>
      <c r="G170" s="73"/>
      <c r="H170" s="73"/>
      <c r="I170" s="73"/>
    </row>
    <row r="171" spans="1:9" x14ac:dyDescent="0.25">
      <c r="A171" s="73"/>
      <c r="B171" s="414"/>
      <c r="C171" s="415"/>
      <c r="D171" s="392" t="s">
        <v>533</v>
      </c>
      <c r="E171" s="393"/>
      <c r="F171" s="394"/>
      <c r="G171" s="73"/>
      <c r="H171" s="73"/>
      <c r="I171" s="73"/>
    </row>
    <row r="172" spans="1:9" x14ac:dyDescent="0.25">
      <c r="A172" s="73"/>
      <c r="B172" s="414"/>
      <c r="C172" s="415"/>
      <c r="D172" s="392" t="s">
        <v>521</v>
      </c>
      <c r="E172" s="393"/>
      <c r="F172" s="394"/>
      <c r="G172" s="73"/>
      <c r="H172" s="73"/>
      <c r="I172" s="73"/>
    </row>
    <row r="173" spans="1:9" x14ac:dyDescent="0.25">
      <c r="A173" s="73"/>
      <c r="B173" s="414"/>
      <c r="C173" s="415"/>
      <c r="D173" s="392" t="s">
        <v>534</v>
      </c>
      <c r="E173" s="393"/>
      <c r="F173" s="394"/>
      <c r="G173" s="73"/>
      <c r="H173" s="73"/>
      <c r="I173" s="73"/>
    </row>
    <row r="174" spans="1:9" x14ac:dyDescent="0.25">
      <c r="A174" s="73"/>
      <c r="B174" s="414"/>
      <c r="C174" s="415"/>
      <c r="D174" s="392" t="s">
        <v>597</v>
      </c>
      <c r="E174" s="393"/>
      <c r="F174" s="394"/>
      <c r="G174" s="73"/>
      <c r="H174" s="73"/>
      <c r="I174" s="73"/>
    </row>
    <row r="175" spans="1:9" x14ac:dyDescent="0.25">
      <c r="A175" s="73"/>
      <c r="B175" s="414"/>
      <c r="C175" s="415"/>
      <c r="D175" s="392" t="s">
        <v>599</v>
      </c>
      <c r="E175" s="393"/>
      <c r="F175" s="394"/>
      <c r="G175" s="73"/>
      <c r="H175" s="73"/>
      <c r="I175" s="73"/>
    </row>
    <row r="176" spans="1:9" x14ac:dyDescent="0.25">
      <c r="A176" s="73"/>
      <c r="B176" s="414"/>
      <c r="C176" s="415"/>
      <c r="D176" s="392" t="s">
        <v>598</v>
      </c>
      <c r="E176" s="393"/>
      <c r="F176" s="394"/>
      <c r="G176" s="73"/>
      <c r="H176" s="73"/>
      <c r="I176" s="73"/>
    </row>
    <row r="177" spans="1:9" x14ac:dyDescent="0.25">
      <c r="A177" s="73"/>
      <c r="B177" s="414"/>
      <c r="C177" s="415"/>
      <c r="D177" s="392" t="s">
        <v>600</v>
      </c>
      <c r="E177" s="393"/>
      <c r="F177" s="394"/>
      <c r="G177" s="73"/>
      <c r="H177" s="73"/>
      <c r="I177" s="73"/>
    </row>
    <row r="178" spans="1:9" x14ac:dyDescent="0.25">
      <c r="A178" s="73"/>
      <c r="B178" s="414"/>
      <c r="C178" s="415"/>
      <c r="D178" s="392" t="s">
        <v>545</v>
      </c>
      <c r="E178" s="393"/>
      <c r="F178" s="394"/>
      <c r="G178" s="73"/>
      <c r="H178" s="73"/>
      <c r="I178" s="73"/>
    </row>
    <row r="179" spans="1:9" x14ac:dyDescent="0.25">
      <c r="A179" s="73"/>
      <c r="B179" s="414"/>
      <c r="C179" s="415"/>
      <c r="D179" s="392" t="s">
        <v>547</v>
      </c>
      <c r="E179" s="393"/>
      <c r="F179" s="394"/>
      <c r="G179" s="73"/>
      <c r="H179" s="73"/>
      <c r="I179" s="73"/>
    </row>
    <row r="180" spans="1:9" x14ac:dyDescent="0.25">
      <c r="A180" s="73"/>
      <c r="B180" s="414"/>
      <c r="C180" s="415"/>
      <c r="D180" s="392" t="s">
        <v>546</v>
      </c>
      <c r="E180" s="393"/>
      <c r="F180" s="394"/>
      <c r="G180" s="73"/>
      <c r="H180" s="73"/>
      <c r="I180" s="73"/>
    </row>
    <row r="181" spans="1:9" x14ac:dyDescent="0.25">
      <c r="A181" s="73"/>
      <c r="B181" s="414"/>
      <c r="C181" s="415"/>
      <c r="D181" s="392" t="s">
        <v>548</v>
      </c>
      <c r="E181" s="393"/>
      <c r="F181" s="394"/>
      <c r="G181" s="73"/>
      <c r="H181" s="73"/>
      <c r="I181" s="73"/>
    </row>
    <row r="182" spans="1:9" x14ac:dyDescent="0.25">
      <c r="A182" s="73"/>
      <c r="B182" s="414"/>
      <c r="C182" s="415"/>
      <c r="D182" s="392" t="s">
        <v>549</v>
      </c>
      <c r="E182" s="393"/>
      <c r="F182" s="394"/>
      <c r="G182" s="73"/>
      <c r="H182" s="73"/>
      <c r="I182" s="73"/>
    </row>
    <row r="183" spans="1:9" x14ac:dyDescent="0.25">
      <c r="A183" s="73"/>
      <c r="B183" s="414"/>
      <c r="C183" s="415"/>
      <c r="D183" s="392" t="s">
        <v>554</v>
      </c>
      <c r="E183" s="393"/>
      <c r="F183" s="394"/>
      <c r="G183" s="73"/>
      <c r="H183" s="73"/>
      <c r="I183" s="73"/>
    </row>
    <row r="184" spans="1:9" x14ac:dyDescent="0.25">
      <c r="A184" s="73"/>
      <c r="B184" s="414"/>
      <c r="C184" s="415"/>
      <c r="D184" s="392" t="s">
        <v>550</v>
      </c>
      <c r="E184" s="393"/>
      <c r="F184" s="394"/>
      <c r="G184" s="73"/>
      <c r="H184" s="73"/>
      <c r="I184" s="73"/>
    </row>
    <row r="185" spans="1:9" x14ac:dyDescent="0.25">
      <c r="A185" s="73"/>
      <c r="B185" s="414"/>
      <c r="C185" s="415"/>
      <c r="D185" s="392" t="s">
        <v>524</v>
      </c>
      <c r="E185" s="393"/>
      <c r="F185" s="394"/>
      <c r="G185" s="73"/>
      <c r="H185" s="73"/>
      <c r="I185" s="73"/>
    </row>
    <row r="186" spans="1:9" x14ac:dyDescent="0.25">
      <c r="A186" s="73"/>
      <c r="B186" s="414"/>
      <c r="C186" s="415"/>
      <c r="D186" s="392" t="s">
        <v>560</v>
      </c>
      <c r="E186" s="393"/>
      <c r="F186" s="394"/>
      <c r="G186" s="73"/>
      <c r="H186" s="73"/>
      <c r="I186" s="73"/>
    </row>
    <row r="187" spans="1:9" x14ac:dyDescent="0.25">
      <c r="A187" s="73"/>
      <c r="B187" s="414"/>
      <c r="C187" s="415"/>
      <c r="D187" s="392" t="s">
        <v>601</v>
      </c>
      <c r="E187" s="393"/>
      <c r="F187" s="394"/>
      <c r="G187" s="73"/>
      <c r="H187" s="73"/>
      <c r="I187" s="73"/>
    </row>
    <row r="188" spans="1:9" x14ac:dyDescent="0.25">
      <c r="A188" s="73"/>
      <c r="B188" s="414"/>
      <c r="C188" s="415"/>
      <c r="D188" s="392" t="s">
        <v>602</v>
      </c>
      <c r="E188" s="393"/>
      <c r="F188" s="394"/>
      <c r="G188" s="73"/>
      <c r="H188" s="73"/>
      <c r="I188" s="73"/>
    </row>
    <row r="189" spans="1:9" x14ac:dyDescent="0.25">
      <c r="A189" s="73"/>
      <c r="B189" s="414"/>
      <c r="C189" s="415"/>
      <c r="D189" s="392" t="s">
        <v>518</v>
      </c>
      <c r="E189" s="393"/>
      <c r="F189" s="394"/>
      <c r="G189" s="73"/>
      <c r="H189" s="73"/>
      <c r="I189" s="73"/>
    </row>
    <row r="190" spans="1:9" x14ac:dyDescent="0.25">
      <c r="A190" s="73"/>
      <c r="B190" s="414"/>
      <c r="C190" s="415"/>
      <c r="D190" s="392" t="s">
        <v>571</v>
      </c>
      <c r="E190" s="393"/>
      <c r="F190" s="394"/>
      <c r="G190" s="73"/>
      <c r="H190" s="73"/>
      <c r="I190" s="73"/>
    </row>
    <row r="191" spans="1:9" ht="12.75" customHeight="1" x14ac:dyDescent="0.25">
      <c r="A191" s="73"/>
      <c r="B191" s="414"/>
      <c r="C191" s="415"/>
      <c r="D191" s="392" t="s">
        <v>562</v>
      </c>
      <c r="E191" s="393"/>
      <c r="F191" s="394"/>
      <c r="G191" s="73"/>
      <c r="H191" s="73"/>
      <c r="I191" s="73"/>
    </row>
    <row r="192" spans="1:9" ht="13.8" thickBot="1" x14ac:dyDescent="0.3">
      <c r="A192" s="73"/>
      <c r="B192" s="410"/>
      <c r="C192" s="411"/>
      <c r="D192" s="403" t="s">
        <v>579</v>
      </c>
      <c r="E192" s="404"/>
      <c r="F192" s="405"/>
      <c r="G192" s="73"/>
      <c r="H192" s="73"/>
      <c r="I192" s="73"/>
    </row>
    <row r="193" spans="1:9" ht="13.8" thickBot="1" x14ac:dyDescent="0.3">
      <c r="A193" s="73"/>
      <c r="B193" s="73"/>
      <c r="C193" s="73"/>
      <c r="D193" s="73"/>
      <c r="E193" s="73"/>
      <c r="F193" s="73"/>
      <c r="G193" s="73"/>
      <c r="H193" s="73"/>
      <c r="I193" s="73"/>
    </row>
    <row r="194" spans="1:9" x14ac:dyDescent="0.25">
      <c r="A194" s="73"/>
      <c r="B194" s="416" t="s">
        <v>508</v>
      </c>
      <c r="C194" s="416"/>
      <c r="D194" s="417" t="s">
        <v>513</v>
      </c>
      <c r="E194" s="418"/>
      <c r="F194" s="419"/>
      <c r="G194" s="73"/>
      <c r="H194" s="73"/>
      <c r="I194" s="73"/>
    </row>
    <row r="195" spans="1:9" x14ac:dyDescent="0.25">
      <c r="A195" s="73"/>
      <c r="B195" s="276" t="s">
        <v>608</v>
      </c>
      <c r="C195" s="279">
        <v>80</v>
      </c>
      <c r="D195" s="276" t="s">
        <v>608</v>
      </c>
      <c r="E195" s="395">
        <f>96+4</f>
        <v>100</v>
      </c>
      <c r="F195" s="396"/>
      <c r="G195" s="73"/>
      <c r="H195" s="73"/>
      <c r="I195" s="73"/>
    </row>
    <row r="196" spans="1:9" x14ac:dyDescent="0.25">
      <c r="A196" s="73"/>
      <c r="B196" s="277" t="s">
        <v>511</v>
      </c>
      <c r="C196" s="280">
        <v>76</v>
      </c>
      <c r="D196" s="282" t="s">
        <v>511</v>
      </c>
      <c r="E196" s="395">
        <v>95</v>
      </c>
      <c r="F196" s="396"/>
      <c r="G196" s="73"/>
      <c r="H196" s="73"/>
      <c r="I196" s="73"/>
    </row>
    <row r="197" spans="1:9" ht="13.8" thickBot="1" x14ac:dyDescent="0.3">
      <c r="A197" s="73"/>
      <c r="B197" s="278" t="s">
        <v>512</v>
      </c>
      <c r="C197" s="281">
        <f>C196/C195</f>
        <v>0.95</v>
      </c>
      <c r="D197" s="283" t="s">
        <v>512</v>
      </c>
      <c r="E197" s="412">
        <f>E196/E195</f>
        <v>0.95</v>
      </c>
      <c r="F197" s="413"/>
      <c r="G197" s="73"/>
      <c r="H197" s="73"/>
      <c r="I197" s="73"/>
    </row>
    <row r="198" spans="1:9" x14ac:dyDescent="0.25">
      <c r="A198" s="73"/>
      <c r="B198" s="73"/>
      <c r="C198" s="73"/>
      <c r="D198" s="73"/>
      <c r="E198" s="73"/>
      <c r="F198" s="73"/>
      <c r="G198" s="73"/>
      <c r="H198" s="73"/>
      <c r="I198" s="73"/>
    </row>
    <row r="199" spans="1:9" x14ac:dyDescent="0.25">
      <c r="A199" s="73"/>
      <c r="B199" s="73"/>
      <c r="C199" s="73"/>
      <c r="D199" s="73"/>
      <c r="E199" s="73"/>
      <c r="F199" s="73"/>
      <c r="G199" s="73"/>
      <c r="H199" s="73"/>
      <c r="I199" s="73"/>
    </row>
    <row r="200" spans="1:9" x14ac:dyDescent="0.25">
      <c r="B200" s="272"/>
    </row>
  </sheetData>
  <mergeCells count="188">
    <mergeCell ref="B186:C186"/>
    <mergeCell ref="B187:C187"/>
    <mergeCell ref="B188:C188"/>
    <mergeCell ref="B189:C189"/>
    <mergeCell ref="B190:C190"/>
    <mergeCell ref="B192:C192"/>
    <mergeCell ref="B177:C177"/>
    <mergeCell ref="B178:C178"/>
    <mergeCell ref="B179:C179"/>
    <mergeCell ref="B180:C180"/>
    <mergeCell ref="B181:C181"/>
    <mergeCell ref="B182:C182"/>
    <mergeCell ref="B183:C183"/>
    <mergeCell ref="B184:C184"/>
    <mergeCell ref="B185:C185"/>
    <mergeCell ref="B168:C168"/>
    <mergeCell ref="B169:C169"/>
    <mergeCell ref="B170:C170"/>
    <mergeCell ref="B171:C171"/>
    <mergeCell ref="B172:C172"/>
    <mergeCell ref="B173:C173"/>
    <mergeCell ref="B174:C174"/>
    <mergeCell ref="B175:C175"/>
    <mergeCell ref="B176:C176"/>
    <mergeCell ref="E133:E136"/>
    <mergeCell ref="E138:E140"/>
    <mergeCell ref="D170:F170"/>
    <mergeCell ref="D169:F169"/>
    <mergeCell ref="D168:F168"/>
    <mergeCell ref="F45:F54"/>
    <mergeCell ref="F56:F61"/>
    <mergeCell ref="F63:F74"/>
    <mergeCell ref="F76:F77"/>
    <mergeCell ref="F79:F85"/>
    <mergeCell ref="F87:F92"/>
    <mergeCell ref="F94:F106"/>
    <mergeCell ref="F108:F114"/>
    <mergeCell ref="F116:F121"/>
    <mergeCell ref="E87:E92"/>
    <mergeCell ref="E94:E106"/>
    <mergeCell ref="E108:E114"/>
    <mergeCell ref="E116:E121"/>
    <mergeCell ref="F39:F43"/>
    <mergeCell ref="E39:E43"/>
    <mergeCell ref="E45:E54"/>
    <mergeCell ref="E56:E61"/>
    <mergeCell ref="E63:E74"/>
    <mergeCell ref="E76:E77"/>
    <mergeCell ref="E79:E85"/>
    <mergeCell ref="E123:E125"/>
    <mergeCell ref="E127:E128"/>
    <mergeCell ref="B2:C2"/>
    <mergeCell ref="D39:D40"/>
    <mergeCell ref="D30:D31"/>
    <mergeCell ref="D91:D92"/>
    <mergeCell ref="D41:D42"/>
    <mergeCell ref="D51:D52"/>
    <mergeCell ref="D124:D125"/>
    <mergeCell ref="D53:D54"/>
    <mergeCell ref="D73:D74"/>
    <mergeCell ref="D94:D103"/>
    <mergeCell ref="B14:B19"/>
    <mergeCell ref="D14:D19"/>
    <mergeCell ref="B160:C160"/>
    <mergeCell ref="B161:C161"/>
    <mergeCell ref="D158:F158"/>
    <mergeCell ref="D159:F159"/>
    <mergeCell ref="D160:F160"/>
    <mergeCell ref="D161:F161"/>
    <mergeCell ref="F142:F144"/>
    <mergeCell ref="F146:F147"/>
    <mergeCell ref="F149:F153"/>
    <mergeCell ref="B159:C159"/>
    <mergeCell ref="B158:C158"/>
    <mergeCell ref="D143:D144"/>
    <mergeCell ref="F155:F156"/>
    <mergeCell ref="E155:E156"/>
    <mergeCell ref="E142:E144"/>
    <mergeCell ref="E146:E147"/>
    <mergeCell ref="E149:E153"/>
    <mergeCell ref="B162:C162"/>
    <mergeCell ref="B163:C163"/>
    <mergeCell ref="E196:F196"/>
    <mergeCell ref="E197:F197"/>
    <mergeCell ref="D171:F171"/>
    <mergeCell ref="B191:C191"/>
    <mergeCell ref="D191:F191"/>
    <mergeCell ref="B194:C194"/>
    <mergeCell ref="B165:C165"/>
    <mergeCell ref="D165:F165"/>
    <mergeCell ref="B166:C166"/>
    <mergeCell ref="D166:F166"/>
    <mergeCell ref="B167:C167"/>
    <mergeCell ref="D167:F167"/>
    <mergeCell ref="D173:F173"/>
    <mergeCell ref="D178:F178"/>
    <mergeCell ref="D179:F179"/>
    <mergeCell ref="D180:F180"/>
    <mergeCell ref="D181:F181"/>
    <mergeCell ref="D189:F189"/>
    <mergeCell ref="D162:F162"/>
    <mergeCell ref="D163:F163"/>
    <mergeCell ref="D174:F174"/>
    <mergeCell ref="D194:F194"/>
    <mergeCell ref="D172:F172"/>
    <mergeCell ref="E195:F195"/>
    <mergeCell ref="F123:F125"/>
    <mergeCell ref="F127:F128"/>
    <mergeCell ref="F130:F131"/>
    <mergeCell ref="F133:F136"/>
    <mergeCell ref="F138:F140"/>
    <mergeCell ref="D108:D112"/>
    <mergeCell ref="D105:D106"/>
    <mergeCell ref="D117:D120"/>
    <mergeCell ref="D177:F177"/>
    <mergeCell ref="D192:F192"/>
    <mergeCell ref="D190:F190"/>
    <mergeCell ref="D188:F188"/>
    <mergeCell ref="D187:F187"/>
    <mergeCell ref="D186:F186"/>
    <mergeCell ref="D185:F185"/>
    <mergeCell ref="D184:F184"/>
    <mergeCell ref="D183:F183"/>
    <mergeCell ref="D182:F182"/>
    <mergeCell ref="D135:D136"/>
    <mergeCell ref="D175:F175"/>
    <mergeCell ref="D176:F176"/>
    <mergeCell ref="E130:E131"/>
    <mergeCell ref="G24:G28"/>
    <mergeCell ref="H24:H28"/>
    <mergeCell ref="G30:G34"/>
    <mergeCell ref="H30:H34"/>
    <mergeCell ref="G36:G37"/>
    <mergeCell ref="H36:H37"/>
    <mergeCell ref="E4:F4"/>
    <mergeCell ref="G4:H4"/>
    <mergeCell ref="G6:G19"/>
    <mergeCell ref="H6:H19"/>
    <mergeCell ref="G21:G22"/>
    <mergeCell ref="H21:H22"/>
    <mergeCell ref="F24:F28"/>
    <mergeCell ref="F6:F19"/>
    <mergeCell ref="F21:F22"/>
    <mergeCell ref="F30:F34"/>
    <mergeCell ref="F36:F37"/>
    <mergeCell ref="E6:E19"/>
    <mergeCell ref="E21:E22"/>
    <mergeCell ref="E24:E28"/>
    <mergeCell ref="E30:E34"/>
    <mergeCell ref="E36:E37"/>
    <mergeCell ref="G63:G74"/>
    <mergeCell ref="H63:H74"/>
    <mergeCell ref="G76:G77"/>
    <mergeCell ref="H76:H77"/>
    <mergeCell ref="G79:G85"/>
    <mergeCell ref="H79:H85"/>
    <mergeCell ref="G39:G43"/>
    <mergeCell ref="H39:H43"/>
    <mergeCell ref="G45:G54"/>
    <mergeCell ref="H45:H54"/>
    <mergeCell ref="G56:G61"/>
    <mergeCell ref="H56:H61"/>
    <mergeCell ref="G116:G121"/>
    <mergeCell ref="H116:H121"/>
    <mergeCell ref="G123:G125"/>
    <mergeCell ref="H123:H125"/>
    <mergeCell ref="G127:G128"/>
    <mergeCell ref="H127:H128"/>
    <mergeCell ref="G87:G92"/>
    <mergeCell ref="H87:H92"/>
    <mergeCell ref="G94:G106"/>
    <mergeCell ref="H94:H106"/>
    <mergeCell ref="G108:G114"/>
    <mergeCell ref="H108:H114"/>
    <mergeCell ref="G155:G156"/>
    <mergeCell ref="H155:H156"/>
    <mergeCell ref="G142:G144"/>
    <mergeCell ref="H142:H144"/>
    <mergeCell ref="G146:G147"/>
    <mergeCell ref="H146:H147"/>
    <mergeCell ref="G149:G153"/>
    <mergeCell ref="H149:H153"/>
    <mergeCell ref="G130:G131"/>
    <mergeCell ref="H130:H131"/>
    <mergeCell ref="G133:G136"/>
    <mergeCell ref="H133:H136"/>
    <mergeCell ref="G138:G140"/>
    <mergeCell ref="H138:H140"/>
  </mergeCells>
  <phoneticPr fontId="0" type="noConversion"/>
  <pageMargins left="0.75" right="0.56999999999999995" top="1" bottom="0.88" header="0.5" footer="0.5"/>
  <pageSetup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50"/>
  <sheetViews>
    <sheetView workbookViewId="0"/>
  </sheetViews>
  <sheetFormatPr defaultRowHeight="13.2" x14ac:dyDescent="0.25"/>
  <cols>
    <col min="1" max="1" width="2.6640625" customWidth="1"/>
    <col min="2" max="2" width="31.33203125" customWidth="1"/>
    <col min="3" max="3" width="13.5546875" customWidth="1"/>
    <col min="12" max="12" width="3.109375" customWidth="1"/>
  </cols>
  <sheetData>
    <row r="1" spans="1:12" ht="17.399999999999999" x14ac:dyDescent="0.3">
      <c r="A1" s="156"/>
      <c r="B1" s="435" t="str">
        <f>IF(BT="NO","802.3at Conformance Report","802.3bt 2Pr Conformance Report")</f>
        <v>802.3at Conformance Report</v>
      </c>
      <c r="C1" s="436"/>
      <c r="D1" s="54"/>
      <c r="E1" s="54"/>
      <c r="F1" s="54"/>
      <c r="G1" s="157"/>
      <c r="H1" s="54"/>
      <c r="I1" s="54"/>
      <c r="J1" s="54"/>
      <c r="K1" s="62"/>
      <c r="L1" s="73"/>
    </row>
    <row r="2" spans="1:12" x14ac:dyDescent="0.25">
      <c r="A2" s="156"/>
      <c r="B2" s="70" t="str">
        <f>Date</f>
        <v>June 5 2025</v>
      </c>
      <c r="C2" s="71">
        <f>Time</f>
        <v>0.65625</v>
      </c>
      <c r="D2" s="437" t="s">
        <v>50</v>
      </c>
      <c r="E2" s="437"/>
      <c r="F2" s="438"/>
      <c r="G2" s="439">
        <f>IF(Test_Count&gt;15,Index,"N/A")</f>
        <v>0.99697885196374625</v>
      </c>
      <c r="H2" s="440"/>
      <c r="I2" s="158"/>
      <c r="J2" s="162" t="s">
        <v>320</v>
      </c>
      <c r="K2" s="159" t="str">
        <f>Version</f>
        <v>5.3.10</v>
      </c>
      <c r="L2" s="73"/>
    </row>
    <row r="3" spans="1:12" x14ac:dyDescent="0.25">
      <c r="A3" s="156"/>
      <c r="B3" s="110" t="s">
        <v>41</v>
      </c>
      <c r="C3" s="170">
        <f>Port_Count</f>
        <v>1</v>
      </c>
      <c r="D3" s="57"/>
      <c r="E3" s="57"/>
      <c r="F3" s="57"/>
      <c r="G3" s="441"/>
      <c r="H3" s="442"/>
      <c r="I3" s="160"/>
      <c r="J3" s="162" t="str">
        <f>Report_Version</f>
        <v xml:space="preserve"> report version 5.3.02</v>
      </c>
      <c r="K3" s="61"/>
      <c r="L3" s="73"/>
    </row>
    <row r="4" spans="1:12" x14ac:dyDescent="0.25">
      <c r="A4" s="156"/>
      <c r="B4" s="110" t="s">
        <v>42</v>
      </c>
      <c r="C4" s="170">
        <f>Loop_Count</f>
        <v>1</v>
      </c>
      <c r="D4" s="161"/>
      <c r="E4" s="186" t="s">
        <v>404</v>
      </c>
      <c r="F4" s="187">
        <f>Test_Count</f>
        <v>19</v>
      </c>
      <c r="G4" s="443"/>
      <c r="H4" s="444"/>
      <c r="I4" s="57"/>
      <c r="J4" s="57"/>
      <c r="K4" s="62"/>
      <c r="L4" s="73"/>
    </row>
    <row r="5" spans="1:12" x14ac:dyDescent="0.25">
      <c r="A5" s="156"/>
      <c r="B5" s="445" t="str">
        <f>Loop1!A5</f>
        <v>PSE Tested: Unspecified Type-2 30W</v>
      </c>
      <c r="C5" s="446"/>
      <c r="D5" s="156"/>
      <c r="E5" s="188" t="s">
        <v>405</v>
      </c>
      <c r="F5" s="187">
        <f>Parm_Count</f>
        <v>106</v>
      </c>
      <c r="G5" s="185" t="str">
        <f>IF(G2="N/A","Need Minimum 16 Tests!","")</f>
        <v/>
      </c>
      <c r="H5" s="156"/>
      <c r="I5" s="156"/>
      <c r="J5" s="57"/>
      <c r="K5" s="62"/>
      <c r="L5" s="73"/>
    </row>
    <row r="6" spans="1:12" x14ac:dyDescent="0.25">
      <c r="A6" s="156"/>
      <c r="B6" s="156"/>
      <c r="C6" s="156"/>
      <c r="D6" s="156"/>
      <c r="E6" s="156"/>
      <c r="F6" s="156"/>
      <c r="G6" s="156"/>
      <c r="H6" s="156"/>
      <c r="I6" s="156"/>
      <c r="J6" s="57"/>
      <c r="K6" s="62"/>
      <c r="L6" s="73"/>
    </row>
    <row r="7" spans="1:12" ht="15.6" x14ac:dyDescent="0.3">
      <c r="A7" s="73"/>
      <c r="B7" s="163"/>
      <c r="C7" s="167"/>
      <c r="D7" s="99"/>
      <c r="E7" s="100"/>
      <c r="F7" s="76"/>
      <c r="G7" s="108" t="s">
        <v>253</v>
      </c>
      <c r="H7" s="78" t="s">
        <v>276</v>
      </c>
      <c r="I7" s="109" t="s">
        <v>255</v>
      </c>
      <c r="J7" s="78" t="s">
        <v>276</v>
      </c>
      <c r="K7" s="168" t="s">
        <v>47</v>
      </c>
      <c r="L7" s="73"/>
    </row>
    <row r="8" spans="1:12" ht="16.2" thickBot="1" x14ac:dyDescent="0.35">
      <c r="A8" s="73"/>
      <c r="B8" s="164" t="s">
        <v>48</v>
      </c>
      <c r="C8" s="66" t="s">
        <v>252</v>
      </c>
      <c r="D8" s="104" t="s">
        <v>249</v>
      </c>
      <c r="E8" s="101" t="s">
        <v>250</v>
      </c>
      <c r="F8" s="68" t="s">
        <v>251</v>
      </c>
      <c r="G8" s="104" t="s">
        <v>254</v>
      </c>
      <c r="H8" s="79"/>
      <c r="I8" s="101" t="s">
        <v>254</v>
      </c>
      <c r="J8" s="79"/>
      <c r="K8" s="169" t="s">
        <v>49</v>
      </c>
      <c r="L8" s="73"/>
    </row>
    <row r="9" spans="1:12" x14ac:dyDescent="0.25">
      <c r="A9" s="73"/>
      <c r="B9" s="25" t="s">
        <v>202</v>
      </c>
      <c r="C9" s="26" t="s">
        <v>685</v>
      </c>
      <c r="D9" s="26">
        <v>101.3</v>
      </c>
      <c r="E9" s="26">
        <v>101.3</v>
      </c>
      <c r="F9" s="26">
        <v>101.3</v>
      </c>
      <c r="G9" s="26">
        <v>400</v>
      </c>
      <c r="H9" s="26" t="s">
        <v>694</v>
      </c>
      <c r="I9" s="26">
        <v>1750</v>
      </c>
      <c r="J9" s="26" t="s">
        <v>695</v>
      </c>
      <c r="K9" s="174">
        <v>3.0211480362537764E-3</v>
      </c>
      <c r="L9" s="73"/>
    </row>
    <row r="10" spans="1:12" x14ac:dyDescent="0.25">
      <c r="A10" s="73"/>
      <c r="B10" s="27"/>
      <c r="C10" s="28"/>
      <c r="D10" s="28"/>
      <c r="E10" s="28"/>
      <c r="F10" s="28"/>
      <c r="G10" s="28"/>
      <c r="H10" s="28"/>
      <c r="I10" s="28"/>
      <c r="J10" s="28"/>
      <c r="K10" s="175"/>
      <c r="L10" s="73"/>
    </row>
    <row r="11" spans="1:12" x14ac:dyDescent="0.25">
      <c r="A11" s="73"/>
      <c r="B11" s="27"/>
      <c r="C11" s="28"/>
      <c r="D11" s="28"/>
      <c r="E11" s="28"/>
      <c r="F11" s="28"/>
      <c r="G11" s="28"/>
      <c r="H11" s="28"/>
      <c r="I11" s="28"/>
      <c r="J11" s="28"/>
      <c r="K11" s="175"/>
      <c r="L11" s="73"/>
    </row>
    <row r="12" spans="1:12" x14ac:dyDescent="0.25">
      <c r="A12" s="73"/>
      <c r="B12" s="27"/>
      <c r="C12" s="28"/>
      <c r="D12" s="28"/>
      <c r="E12" s="28"/>
      <c r="F12" s="28"/>
      <c r="G12" s="28"/>
      <c r="H12" s="28"/>
      <c r="I12" s="28"/>
      <c r="J12" s="28"/>
      <c r="K12" s="175"/>
      <c r="L12" s="73"/>
    </row>
    <row r="13" spans="1:12" x14ac:dyDescent="0.25">
      <c r="A13" s="73"/>
      <c r="B13" s="27"/>
      <c r="C13" s="28"/>
      <c r="D13" s="28"/>
      <c r="E13" s="28"/>
      <c r="F13" s="28"/>
      <c r="G13" s="28"/>
      <c r="H13" s="28"/>
      <c r="I13" s="28"/>
      <c r="J13" s="28"/>
      <c r="K13" s="175"/>
      <c r="L13" s="73"/>
    </row>
    <row r="14" spans="1:12" x14ac:dyDescent="0.25">
      <c r="A14" s="73"/>
      <c r="B14" s="27"/>
      <c r="C14" s="28"/>
      <c r="D14" s="28"/>
      <c r="E14" s="28"/>
      <c r="F14" s="28"/>
      <c r="G14" s="28"/>
      <c r="H14" s="28"/>
      <c r="I14" s="28"/>
      <c r="J14" s="28"/>
      <c r="K14" s="175"/>
      <c r="L14" s="73"/>
    </row>
    <row r="15" spans="1:12" x14ac:dyDescent="0.25">
      <c r="A15" s="73"/>
      <c r="B15" s="27"/>
      <c r="C15" s="28"/>
      <c r="D15" s="28"/>
      <c r="E15" s="28"/>
      <c r="F15" s="28"/>
      <c r="G15" s="28"/>
      <c r="H15" s="28"/>
      <c r="I15" s="28"/>
      <c r="J15" s="28"/>
      <c r="K15" s="175"/>
      <c r="L15" s="73"/>
    </row>
    <row r="16" spans="1:12" x14ac:dyDescent="0.25">
      <c r="A16" s="73"/>
      <c r="B16" s="27"/>
      <c r="C16" s="28"/>
      <c r="D16" s="28"/>
      <c r="E16" s="28"/>
      <c r="F16" s="28"/>
      <c r="G16" s="28"/>
      <c r="H16" s="28"/>
      <c r="I16" s="28"/>
      <c r="J16" s="28"/>
      <c r="K16" s="175"/>
      <c r="L16" s="73"/>
    </row>
    <row r="17" spans="1:12" x14ac:dyDescent="0.25">
      <c r="A17" s="73"/>
      <c r="B17" s="27"/>
      <c r="C17" s="28"/>
      <c r="D17" s="28"/>
      <c r="E17" s="28"/>
      <c r="F17" s="28"/>
      <c r="G17" s="28"/>
      <c r="H17" s="28"/>
      <c r="I17" s="28"/>
      <c r="J17" s="28"/>
      <c r="K17" s="175"/>
      <c r="L17" s="73"/>
    </row>
    <row r="18" spans="1:12" x14ac:dyDescent="0.25">
      <c r="A18" s="73"/>
      <c r="B18" s="27"/>
      <c r="C18" s="28"/>
      <c r="D18" s="28"/>
      <c r="E18" s="28"/>
      <c r="F18" s="28"/>
      <c r="G18" s="28"/>
      <c r="H18" s="28"/>
      <c r="I18" s="28"/>
      <c r="J18" s="28"/>
      <c r="K18" s="175"/>
      <c r="L18" s="73"/>
    </row>
    <row r="19" spans="1:12" x14ac:dyDescent="0.25">
      <c r="A19" s="73"/>
      <c r="B19" s="27"/>
      <c r="C19" s="28"/>
      <c r="D19" s="28"/>
      <c r="E19" s="28"/>
      <c r="F19" s="28"/>
      <c r="G19" s="28"/>
      <c r="H19" s="28"/>
      <c r="I19" s="28"/>
      <c r="J19" s="28"/>
      <c r="K19" s="175"/>
      <c r="L19" s="73"/>
    </row>
    <row r="20" spans="1:12" x14ac:dyDescent="0.25">
      <c r="A20" s="73"/>
      <c r="B20" s="27"/>
      <c r="C20" s="28"/>
      <c r="D20" s="28"/>
      <c r="E20" s="28"/>
      <c r="F20" s="28"/>
      <c r="G20" s="28"/>
      <c r="H20" s="28"/>
      <c r="I20" s="28"/>
      <c r="J20" s="28"/>
      <c r="K20" s="175"/>
      <c r="L20" s="73"/>
    </row>
    <row r="21" spans="1:12" x14ac:dyDescent="0.25">
      <c r="A21" s="73"/>
      <c r="B21" s="27"/>
      <c r="C21" s="28"/>
      <c r="D21" s="28"/>
      <c r="E21" s="28"/>
      <c r="F21" s="28"/>
      <c r="G21" s="28"/>
      <c r="H21" s="28"/>
      <c r="I21" s="28"/>
      <c r="J21" s="28"/>
      <c r="K21" s="175"/>
      <c r="L21" s="73"/>
    </row>
    <row r="22" spans="1:12" x14ac:dyDescent="0.25">
      <c r="A22" s="73"/>
      <c r="B22" s="27"/>
      <c r="C22" s="28"/>
      <c r="D22" s="28"/>
      <c r="E22" s="28"/>
      <c r="F22" s="28"/>
      <c r="G22" s="28"/>
      <c r="H22" s="28"/>
      <c r="I22" s="28"/>
      <c r="J22" s="28"/>
      <c r="K22" s="175"/>
      <c r="L22" s="73"/>
    </row>
    <row r="23" spans="1:12" x14ac:dyDescent="0.25">
      <c r="A23" s="73"/>
      <c r="B23" s="27"/>
      <c r="C23" s="28"/>
      <c r="D23" s="28"/>
      <c r="E23" s="28"/>
      <c r="F23" s="28"/>
      <c r="G23" s="28"/>
      <c r="H23" s="28"/>
      <c r="I23" s="28"/>
      <c r="J23" s="28"/>
      <c r="K23" s="175"/>
      <c r="L23" s="73"/>
    </row>
    <row r="24" spans="1:12" x14ac:dyDescent="0.25">
      <c r="A24" s="73"/>
      <c r="B24" s="27"/>
      <c r="C24" s="28"/>
      <c r="D24" s="28"/>
      <c r="E24" s="28"/>
      <c r="F24" s="28"/>
      <c r="G24" s="28"/>
      <c r="H24" s="28"/>
      <c r="I24" s="28"/>
      <c r="J24" s="28"/>
      <c r="K24" s="175"/>
      <c r="L24" s="73"/>
    </row>
    <row r="25" spans="1:12" x14ac:dyDescent="0.25">
      <c r="A25" s="73"/>
      <c r="B25" s="27"/>
      <c r="C25" s="28"/>
      <c r="D25" s="28"/>
      <c r="E25" s="28"/>
      <c r="F25" s="28"/>
      <c r="G25" s="28"/>
      <c r="H25" s="28"/>
      <c r="I25" s="28"/>
      <c r="J25" s="28"/>
      <c r="K25" s="175"/>
      <c r="L25" s="73"/>
    </row>
    <row r="26" spans="1:12" x14ac:dyDescent="0.25">
      <c r="A26" s="73"/>
      <c r="B26" s="27"/>
      <c r="C26" s="28"/>
      <c r="D26" s="28"/>
      <c r="E26" s="28"/>
      <c r="F26" s="28"/>
      <c r="G26" s="28"/>
      <c r="H26" s="28"/>
      <c r="I26" s="28"/>
      <c r="J26" s="28"/>
      <c r="K26" s="175"/>
      <c r="L26" s="73"/>
    </row>
    <row r="27" spans="1:12" x14ac:dyDescent="0.25">
      <c r="A27" s="73"/>
      <c r="B27" s="27"/>
      <c r="C27" s="28"/>
      <c r="D27" s="28"/>
      <c r="E27" s="28"/>
      <c r="F27" s="28"/>
      <c r="G27" s="28"/>
      <c r="H27" s="28"/>
      <c r="I27" s="28"/>
      <c r="J27" s="28"/>
      <c r="K27" s="175"/>
      <c r="L27" s="73"/>
    </row>
    <row r="28" spans="1:12" x14ac:dyDescent="0.25">
      <c r="A28" s="73"/>
      <c r="B28" s="27"/>
      <c r="C28" s="28"/>
      <c r="D28" s="28"/>
      <c r="E28" s="28"/>
      <c r="F28" s="28"/>
      <c r="G28" s="28"/>
      <c r="H28" s="28"/>
      <c r="I28" s="28"/>
      <c r="J28" s="28"/>
      <c r="K28" s="175"/>
      <c r="L28" s="73"/>
    </row>
    <row r="29" spans="1:12" x14ac:dyDescent="0.25">
      <c r="A29" s="73"/>
      <c r="B29" s="27"/>
      <c r="C29" s="28"/>
      <c r="D29" s="28"/>
      <c r="E29" s="28"/>
      <c r="F29" s="28"/>
      <c r="G29" s="28"/>
      <c r="H29" s="28"/>
      <c r="I29" s="28"/>
      <c r="J29" s="28"/>
      <c r="K29" s="175"/>
      <c r="L29" s="73"/>
    </row>
    <row r="30" spans="1:12" x14ac:dyDescent="0.25">
      <c r="A30" s="73"/>
      <c r="B30" s="27"/>
      <c r="C30" s="28"/>
      <c r="D30" s="28"/>
      <c r="E30" s="28"/>
      <c r="F30" s="28"/>
      <c r="G30" s="28"/>
      <c r="H30" s="28"/>
      <c r="I30" s="28"/>
      <c r="J30" s="28"/>
      <c r="K30" s="175"/>
      <c r="L30" s="73"/>
    </row>
    <row r="31" spans="1:12" x14ac:dyDescent="0.25">
      <c r="A31" s="73"/>
      <c r="B31" s="27"/>
      <c r="C31" s="28"/>
      <c r="D31" s="28"/>
      <c r="E31" s="28"/>
      <c r="F31" s="28"/>
      <c r="G31" s="28"/>
      <c r="H31" s="28"/>
      <c r="I31" s="28"/>
      <c r="J31" s="28"/>
      <c r="K31" s="175"/>
      <c r="L31" s="73"/>
    </row>
    <row r="32" spans="1:12" x14ac:dyDescent="0.25">
      <c r="A32" s="73"/>
      <c r="B32" s="27"/>
      <c r="C32" s="28"/>
      <c r="D32" s="28"/>
      <c r="E32" s="28"/>
      <c r="F32" s="28"/>
      <c r="G32" s="28"/>
      <c r="H32" s="28"/>
      <c r="I32" s="28"/>
      <c r="J32" s="28"/>
      <c r="K32" s="175"/>
      <c r="L32" s="73"/>
    </row>
    <row r="33" spans="1:12" x14ac:dyDescent="0.25">
      <c r="A33" s="73"/>
      <c r="B33" s="27"/>
      <c r="C33" s="28"/>
      <c r="D33" s="28"/>
      <c r="E33" s="28"/>
      <c r="F33" s="28"/>
      <c r="G33" s="28"/>
      <c r="H33" s="28"/>
      <c r="I33" s="28"/>
      <c r="J33" s="28"/>
      <c r="K33" s="175"/>
      <c r="L33" s="73"/>
    </row>
    <row r="34" spans="1:12" x14ac:dyDescent="0.25">
      <c r="A34" s="73"/>
      <c r="B34" s="27"/>
      <c r="C34" s="28"/>
      <c r="D34" s="28"/>
      <c r="E34" s="28"/>
      <c r="F34" s="28"/>
      <c r="G34" s="28"/>
      <c r="H34" s="28"/>
      <c r="I34" s="28"/>
      <c r="J34" s="28"/>
      <c r="K34" s="175"/>
      <c r="L34" s="73"/>
    </row>
    <row r="35" spans="1:12" x14ac:dyDescent="0.25">
      <c r="A35" s="73"/>
      <c r="B35" s="27"/>
      <c r="C35" s="28"/>
      <c r="D35" s="28"/>
      <c r="E35" s="28"/>
      <c r="F35" s="28"/>
      <c r="G35" s="28"/>
      <c r="H35" s="28"/>
      <c r="I35" s="28"/>
      <c r="J35" s="28"/>
      <c r="K35" s="175"/>
      <c r="L35" s="73"/>
    </row>
    <row r="36" spans="1:12" x14ac:dyDescent="0.25">
      <c r="A36" s="73"/>
      <c r="B36" s="27"/>
      <c r="C36" s="28"/>
      <c r="D36" s="28"/>
      <c r="E36" s="28"/>
      <c r="F36" s="28"/>
      <c r="G36" s="28"/>
      <c r="H36" s="28"/>
      <c r="I36" s="28"/>
      <c r="J36" s="28"/>
      <c r="K36" s="175"/>
      <c r="L36" s="73"/>
    </row>
    <row r="37" spans="1:12" x14ac:dyDescent="0.25">
      <c r="A37" s="73"/>
      <c r="B37" s="27"/>
      <c r="C37" s="28"/>
      <c r="D37" s="28"/>
      <c r="E37" s="28"/>
      <c r="F37" s="28"/>
      <c r="G37" s="28"/>
      <c r="H37" s="28"/>
      <c r="I37" s="28"/>
      <c r="J37" s="28"/>
      <c r="K37" s="175"/>
      <c r="L37" s="73"/>
    </row>
    <row r="38" spans="1:12" x14ac:dyDescent="0.25">
      <c r="A38" s="73"/>
      <c r="B38" s="27"/>
      <c r="C38" s="28"/>
      <c r="D38" s="28"/>
      <c r="E38" s="28"/>
      <c r="F38" s="28"/>
      <c r="G38" s="28"/>
      <c r="H38" s="28"/>
      <c r="I38" s="28"/>
      <c r="J38" s="28"/>
      <c r="K38" s="175"/>
      <c r="L38" s="73"/>
    </row>
    <row r="39" spans="1:12" x14ac:dyDescent="0.25">
      <c r="A39" s="73"/>
      <c r="B39" s="27"/>
      <c r="C39" s="28"/>
      <c r="D39" s="28"/>
      <c r="E39" s="28"/>
      <c r="F39" s="28"/>
      <c r="G39" s="28"/>
      <c r="H39" s="28"/>
      <c r="I39" s="28"/>
      <c r="J39" s="28"/>
      <c r="K39" s="175"/>
      <c r="L39" s="73"/>
    </row>
    <row r="40" spans="1:12" x14ac:dyDescent="0.25">
      <c r="A40" s="73"/>
      <c r="B40" s="29"/>
      <c r="C40" s="30"/>
      <c r="D40" s="30"/>
      <c r="E40" s="30"/>
      <c r="F40" s="30"/>
      <c r="G40" s="30"/>
      <c r="H40" s="30"/>
      <c r="I40" s="30"/>
      <c r="J40" s="30"/>
      <c r="K40" s="176"/>
      <c r="L40" s="73"/>
    </row>
    <row r="41" spans="1:12" x14ac:dyDescent="0.25">
      <c r="A41" s="73"/>
      <c r="B41" s="73"/>
      <c r="C41" s="73"/>
      <c r="D41" s="73"/>
      <c r="E41" s="73"/>
      <c r="F41" s="73"/>
      <c r="G41" s="73"/>
      <c r="H41" s="73"/>
      <c r="I41" s="73"/>
      <c r="J41" s="73"/>
      <c r="K41" s="73"/>
      <c r="L41" s="73"/>
    </row>
    <row r="42" spans="1:12" ht="15.6" x14ac:dyDescent="0.3">
      <c r="A42" s="73"/>
      <c r="B42" s="165" t="s">
        <v>51</v>
      </c>
      <c r="C42" s="166"/>
      <c r="D42" s="73"/>
      <c r="E42" s="73"/>
      <c r="F42" s="73"/>
      <c r="G42" s="73"/>
      <c r="H42" s="73"/>
      <c r="I42" s="73"/>
      <c r="J42" s="73"/>
      <c r="K42" s="73"/>
      <c r="L42" s="73"/>
    </row>
    <row r="43" spans="1:12" ht="93.75" customHeight="1" x14ac:dyDescent="0.25">
      <c r="A43" s="73"/>
      <c r="B43" s="447" t="s">
        <v>649</v>
      </c>
      <c r="C43" s="448"/>
      <c r="D43" s="448"/>
      <c r="E43" s="448"/>
      <c r="F43" s="448"/>
      <c r="G43" s="448"/>
      <c r="H43" s="448"/>
      <c r="I43" s="448"/>
      <c r="J43" s="448"/>
      <c r="K43" s="449"/>
      <c r="L43" s="73"/>
    </row>
    <row r="44" spans="1:12" ht="15.75" customHeight="1" x14ac:dyDescent="0.25">
      <c r="A44" s="73"/>
      <c r="B44" s="432" t="s">
        <v>216</v>
      </c>
      <c r="C44" s="433"/>
      <c r="D44" s="433"/>
      <c r="E44" s="433"/>
      <c r="F44" s="433"/>
      <c r="G44" s="433"/>
      <c r="H44" s="433"/>
      <c r="I44" s="433"/>
      <c r="J44" s="433"/>
      <c r="K44" s="434"/>
      <c r="L44" s="73"/>
    </row>
    <row r="45" spans="1:12" ht="17.25" customHeight="1" x14ac:dyDescent="0.25">
      <c r="A45" s="73"/>
      <c r="B45" s="432" t="s">
        <v>217</v>
      </c>
      <c r="C45" s="433"/>
      <c r="D45" s="433"/>
      <c r="E45" s="433"/>
      <c r="F45" s="433"/>
      <c r="G45" s="433"/>
      <c r="H45" s="433"/>
      <c r="I45" s="433"/>
      <c r="J45" s="433"/>
      <c r="K45" s="434"/>
      <c r="L45" s="73"/>
    </row>
    <row r="46" spans="1:12" ht="55.5" customHeight="1" x14ac:dyDescent="0.25">
      <c r="A46" s="73"/>
      <c r="B46" s="432" t="s">
        <v>53</v>
      </c>
      <c r="C46" s="433"/>
      <c r="D46" s="433"/>
      <c r="E46" s="433"/>
      <c r="F46" s="433"/>
      <c r="G46" s="433"/>
      <c r="H46" s="433"/>
      <c r="I46" s="433"/>
      <c r="J46" s="433"/>
      <c r="K46" s="434"/>
      <c r="L46" s="73"/>
    </row>
    <row r="47" spans="1:12" ht="38.25" customHeight="1" x14ac:dyDescent="0.25">
      <c r="A47" s="73"/>
      <c r="B47" s="432" t="s">
        <v>380</v>
      </c>
      <c r="C47" s="433"/>
      <c r="D47" s="433"/>
      <c r="E47" s="433"/>
      <c r="F47" s="433"/>
      <c r="G47" s="433"/>
      <c r="H47" s="433"/>
      <c r="I47" s="433"/>
      <c r="J47" s="433"/>
      <c r="K47" s="434"/>
      <c r="L47" s="73"/>
    </row>
    <row r="48" spans="1:12" ht="9.75" customHeight="1" x14ac:dyDescent="0.25">
      <c r="A48" s="73"/>
      <c r="B48" s="171"/>
      <c r="C48" s="172"/>
      <c r="D48" s="172"/>
      <c r="E48" s="172"/>
      <c r="F48" s="172"/>
      <c r="G48" s="172"/>
      <c r="H48" s="172"/>
      <c r="I48" s="172"/>
      <c r="J48" s="172"/>
      <c r="K48" s="173"/>
      <c r="L48" s="73"/>
    </row>
    <row r="49" spans="1:12" x14ac:dyDescent="0.25">
      <c r="A49" s="73"/>
      <c r="B49" s="73"/>
      <c r="C49" s="73"/>
      <c r="D49" s="73"/>
      <c r="E49" s="73"/>
      <c r="F49" s="73"/>
      <c r="G49" s="73"/>
      <c r="H49" s="73"/>
      <c r="I49" s="73"/>
      <c r="J49" s="73"/>
      <c r="K49" s="73"/>
      <c r="L49" s="73"/>
    </row>
    <row r="50" spans="1:12" x14ac:dyDescent="0.25">
      <c r="A50" s="73"/>
      <c r="B50" s="73"/>
      <c r="C50" s="73"/>
      <c r="D50" s="73"/>
      <c r="E50" s="73"/>
      <c r="F50" s="73"/>
      <c r="G50" s="73"/>
      <c r="H50" s="73"/>
      <c r="I50" s="73"/>
      <c r="J50" s="73"/>
      <c r="K50" s="73"/>
      <c r="L50" s="73"/>
    </row>
  </sheetData>
  <mergeCells count="9">
    <mergeCell ref="B47:K47"/>
    <mergeCell ref="B1:C1"/>
    <mergeCell ref="D2:F2"/>
    <mergeCell ref="G2:H4"/>
    <mergeCell ref="B5:C5"/>
    <mergeCell ref="B44:K44"/>
    <mergeCell ref="B45:K45"/>
    <mergeCell ref="B46:K46"/>
    <mergeCell ref="B43:K43"/>
  </mergeCells>
  <phoneticPr fontId="0" type="noConversion"/>
  <conditionalFormatting sqref="J9:J40 H9:H40">
    <cfRule type="cellIs" dxfId="1" priority="1" stopIfTrue="1" operator="equal">
      <formula>"Fail"</formula>
    </cfRule>
    <cfRule type="cellIs" dxfId="0" priority="2" stopIfTrue="1" operator="equal">
      <formula>"Info"</formula>
    </cfRule>
  </conditionalFormatting>
  <pageMargins left="0.75" right="0.75" top="1" bottom="1" header="0.5" footer="0.5"/>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25</vt:i4>
      </vt:variant>
    </vt:vector>
  </HeadingPairs>
  <TitlesOfParts>
    <vt:vector size="29" baseType="lpstr">
      <vt:lpstr>Loop1</vt:lpstr>
      <vt:lpstr>Limits</vt:lpstr>
      <vt:lpstr>Notes 5.x.x</vt:lpstr>
      <vt:lpstr>Interop</vt:lpstr>
      <vt:lpstr>ALT</vt:lpstr>
      <vt:lpstr>BT</vt:lpstr>
      <vt:lpstr>BT_type</vt:lpstr>
      <vt:lpstr>Date</vt:lpstr>
      <vt:lpstr>HighPwrGrant</vt:lpstr>
      <vt:lpstr>Index</vt:lpstr>
      <vt:lpstr>Loop_Count</vt:lpstr>
      <vt:lpstr>Maximum</vt:lpstr>
      <vt:lpstr>Min_AT_Version</vt:lpstr>
      <vt:lpstr>MinFwVer</vt:lpstr>
      <vt:lpstr>Minimum</vt:lpstr>
      <vt:lpstr>MinReqdFwVer</vt:lpstr>
      <vt:lpstr>Parm_Count</vt:lpstr>
      <vt:lpstr>PD_Pwr</vt:lpstr>
      <vt:lpstr>Port_Count</vt:lpstr>
      <vt:lpstr>Interop!Print_Area</vt:lpstr>
      <vt:lpstr>Loop1!Print_Area</vt:lpstr>
      <vt:lpstr>'Notes 5.x.x'!Print_Area</vt:lpstr>
      <vt:lpstr>PSA</vt:lpstr>
      <vt:lpstr>PSE_Tested</vt:lpstr>
      <vt:lpstr>Report_Version</vt:lpstr>
      <vt:lpstr>Test_Count</vt:lpstr>
      <vt:lpstr>Test_Limits</vt:lpstr>
      <vt:lpstr>Time</vt:lpstr>
      <vt:lpstr>Version</vt:lpstr>
    </vt:vector>
  </TitlesOfParts>
  <Company>DOCSIS Test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PGJ1</dc:creator>
  <cp:lastModifiedBy>Zyuser</cp:lastModifiedBy>
  <cp:lastPrinted>2022-06-09T17:32:56Z</cp:lastPrinted>
  <dcterms:created xsi:type="dcterms:W3CDTF">2004-10-19T17:15:51Z</dcterms:created>
  <dcterms:modified xsi:type="dcterms:W3CDTF">2025-06-05T08:23:54Z</dcterms:modified>
</cp:coreProperties>
</file>