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workbookProtection workbookPassword="8D11" lockStructure="1"/>
  <bookViews>
    <workbookView xWindow="-120" yWindow="-120" windowWidth="29040" windowHeight="15840"/>
  </bookViews>
  <sheets>
    <sheet name="Device Calculator" sheetId="7" r:id="rId1"/>
    <sheet name="Schematic Checklist" sheetId="21" r:id="rId2"/>
    <sheet name="Layout Checklist" sheetId="22" r:id="rId3"/>
    <sheet name="partData" sheetId="8" state="hidden" r:id="rId4"/>
    <sheet name="compensation" sheetId="17" state="hidden" r:id="rId5"/>
    <sheet name="partData (2)" sheetId="9" state="hidden" r:id="rId6"/>
    <sheet name="Extra" sheetId="4" state="hidden" r:id="rId7"/>
  </sheets>
  <externalReferences>
    <externalReference r:id="rId8"/>
    <externalReference r:id="rId9"/>
    <externalReference r:id="rId10"/>
    <externalReference r:id="rId11"/>
  </externalReferences>
  <definedNames>
    <definedName name="_xlnm._FilterDatabase" localSheetId="4" hidden="1">compensation!$AA$8:$AA$18</definedName>
    <definedName name="_xlnm._FilterDatabase" localSheetId="2" hidden="1">'Layout Checklist'!$A$1:$H$1</definedName>
    <definedName name="_xlnm._FilterDatabase" localSheetId="1" hidden="1">'Schematic Checklist'!$A$1:$G$1</definedName>
    <definedName name="ADDR" localSheetId="5">[1]designCalculations!$E$103</definedName>
    <definedName name="ADDR">'Device Calculator'!$C$119</definedName>
    <definedName name="C_1" localSheetId="4">compensation!$G$17</definedName>
    <definedName name="C_2" localSheetId="4">compensation!$G$18</definedName>
    <definedName name="C_3" localSheetId="4">compensation!$G$19</definedName>
    <definedName name="c_couple">'Device Calculator'!$E$92</definedName>
    <definedName name="c_ramp">'Device Calculator'!$E$89</definedName>
    <definedName name="Cboot" localSheetId="5">[1]designCalculations!$E$99</definedName>
    <definedName name="Cboot">'Device Calculator'!$E$84</definedName>
    <definedName name="Cff" localSheetId="5">[1]designCalculations!$E$91</definedName>
    <definedName name="Cin" localSheetId="5">[1]designCalculations!$E$80</definedName>
    <definedName name="Cin">'Device Calculator'!$E$75</definedName>
    <definedName name="Cout" localSheetId="5">[1]designCalculations!$F$66</definedName>
    <definedName name="Cout">'Device Calculator'!$F$62</definedName>
    <definedName name="COUT_1" localSheetId="4">compensation!$B$46</definedName>
    <definedName name="Cout_derating" localSheetId="5">[1]designCalculations!$E$65</definedName>
    <definedName name="Cout_derating">'Device Calculator'!$E$61</definedName>
    <definedName name="Cout_F" localSheetId="3">[0]!Cout*0.000001</definedName>
    <definedName name="Cout_F" localSheetId="5">'partData (2)'!Cout*0.000001</definedName>
    <definedName name="Cout_F">[0]!Cout*0.000001</definedName>
    <definedName name="Cout_nominal" localSheetId="5">[1]designCalculations!$E$62</definedName>
    <definedName name="Cout_nominal">'Device Calculator'!$E$58</definedName>
    <definedName name="Css" localSheetId="5">[1]designCalculations!#REF!</definedName>
    <definedName name="Cvcc" localSheetId="5">[1]designCalculations!$E$95</definedName>
    <definedName name="Cvcc">'Device Calculator'!$E$80</definedName>
    <definedName name="DCGAIN" localSheetId="4">compensation!$B$23</definedName>
    <definedName name="DCR" localSheetId="5">[1]designCalculations!$E$41</definedName>
    <definedName name="DCR">'Device Calculator'!$E$37</definedName>
    <definedName name="DCR_1" localSheetId="4">compensation!$B$11</definedName>
    <definedName name="DCR_Ohm" localSheetId="3">[0]!DCR*0.001</definedName>
    <definedName name="DCR_Ohm" localSheetId="5">'partData (2)'!DCR*0.001</definedName>
    <definedName name="DCR_Ohm">[0]!DCR*0.001</definedName>
    <definedName name="dVo_dc" localSheetId="5">[1]designCalculations!$C$52</definedName>
    <definedName name="dVo_dc">'Device Calculator'!$C$48</definedName>
    <definedName name="dVo_trans" localSheetId="5">[1]designCalculations!$C$51</definedName>
    <definedName name="dVo_trans">'Device Calculator'!$C$47</definedName>
    <definedName name="EAP" localSheetId="4">compensation!$B$51</definedName>
    <definedName name="ESR" localSheetId="5">[1]designCalculations!$F$67</definedName>
    <definedName name="ESR">'Device Calculator'!$F$63</definedName>
    <definedName name="ESR_1" localSheetId="4">compensation!$B$47</definedName>
    <definedName name="ESR_nominal" localSheetId="5">[1]designCalculations!$E$63</definedName>
    <definedName name="ESR_nominal">'Device Calculator'!$E$59</definedName>
    <definedName name="ESR_Ohm" localSheetId="3">[0]!ESR*0.001</definedName>
    <definedName name="ESR_Ohm" localSheetId="5">'partData (2)'!ESR*0.001</definedName>
    <definedName name="ESR_Ohm">[0]!ESR*0.001</definedName>
    <definedName name="f_LC" localSheetId="5">[1]designCalculations!$F$72</definedName>
    <definedName name="f_LC">'Device Calculator'!$F$67</definedName>
    <definedName name="Fco">'Device Calculator'!$C$88</definedName>
    <definedName name="Fp_1_1" localSheetId="4">compensation!$G$7</definedName>
    <definedName name="Fp_2_1" localSheetId="4">compensation!$G$8</definedName>
    <definedName name="fsw" localSheetId="0">'Device Calculator'!$F$29</definedName>
    <definedName name="fsw" localSheetId="5">[1]designCalculations!$F$33</definedName>
    <definedName name="FSW">'Device Calculator'!$F$29</definedName>
    <definedName name="fsw_Hz" localSheetId="3">[0]!FSW*1000</definedName>
    <definedName name="fsw_Hz" localSheetId="5">'partData (2)'!fsw*1000</definedName>
    <definedName name="fsw_Hz">'Device Calculator'!fsw*1000</definedName>
    <definedName name="fsw_select" localSheetId="5">[1]designCalculations!$C$30</definedName>
    <definedName name="fsw_select">'Device Calculator'!$C$26</definedName>
    <definedName name="Fz_1_1" localSheetId="4">compensation!$G$5</definedName>
    <definedName name="Fz_2_1" localSheetId="4">compensation!$G$6</definedName>
    <definedName name="GBWP" localSheetId="4">compensation!$B$22</definedName>
    <definedName name="I_lim_target" localSheetId="5">[1]designCalculations!#REF!</definedName>
    <definedName name="I_lim_typ" localSheetId="5">[1]designCalculations!#REF!</definedName>
    <definedName name="IC" localSheetId="4">compensation!$B$18</definedName>
    <definedName name="Io_max_IC" localSheetId="5">[1]designCalculations!$C$9</definedName>
    <definedName name="Io_max_IC">'Device Calculator'!$C$9</definedName>
    <definedName name="Io_step" localSheetId="5">[1]designCalculations!$C$50</definedName>
    <definedName name="Io_step">'Device Calculator'!$C$46</definedName>
    <definedName name="Iout" localSheetId="5">[1]designCalculations!$C$26</definedName>
    <definedName name="Iout">'Device Calculator'!$C$22</definedName>
    <definedName name="IOUT_max">compensation!$B$6</definedName>
    <definedName name="Iripple_max" localSheetId="5">[1]designCalculations!$F$43</definedName>
    <definedName name="Iripple_max">'Device Calculator'!$F$39</definedName>
    <definedName name="Iripple_min" localSheetId="5">[1]designCalculations!$F$46</definedName>
    <definedName name="Iripple_min">'Device Calculator'!$F$42</definedName>
    <definedName name="Iripple_nom" localSheetId="5">[1]designCalculations!#REF!</definedName>
    <definedName name="Iss" localSheetId="5">[1]designCalculations!#REF!</definedName>
    <definedName name="Ivalley">'Device Calculator'!$F$43</definedName>
    <definedName name="K" localSheetId="5">#REF!</definedName>
    <definedName name="Kind" localSheetId="5">[1]designCalculations!$C$36</definedName>
    <definedName name="Kind">'Device Calculator'!$C$32</definedName>
    <definedName name="Lout" localSheetId="5">[1]designCalculations!$E$40</definedName>
    <definedName name="Lout">'Device Calculator'!$E$36</definedName>
    <definedName name="LOUT_1">compensation!$B$10</definedName>
    <definedName name="Lout_H" localSheetId="3">[0]!Lout*0.000001</definedName>
    <definedName name="Lout_H" localSheetId="5">'partData (2)'!Lout*0.000001</definedName>
    <definedName name="Lout_H">[0]!Lout*0.000001</definedName>
    <definedName name="MLCC" localSheetId="4">compensation!$B$49</definedName>
    <definedName name="MLCC_ESR" localSheetId="4">compensation!$B$50</definedName>
    <definedName name="N_Cout" localSheetId="5">[1]designCalculations!$E$64</definedName>
    <definedName name="N_Cout">'Device Calculator'!$E$60</definedName>
    <definedName name="N_factor">'Device Calculator'!$F$88</definedName>
    <definedName name="OC_clamp">'Device Calculator'!$C$12</definedName>
    <definedName name="PM">'Device Calculator'!$C$89</definedName>
    <definedName name="_xlnm.Print_Area" localSheetId="4">compensation!$A$1:$Q$44</definedName>
    <definedName name="Q_input" localSheetId="5">[1]designCalculations!$D$78</definedName>
    <definedName name="Q_input">'Device Calculator'!$D$73</definedName>
    <definedName name="R_1" localSheetId="4">compensation!$G$13</definedName>
    <definedName name="R_2" localSheetId="4">compensation!$G$14</definedName>
    <definedName name="R_3" localSheetId="4">compensation!$G$15</definedName>
    <definedName name="R_4" localSheetId="4">compensation!$G$16</definedName>
    <definedName name="r_ripple">'Device Calculator'!$E$95</definedName>
    <definedName name="Rdson_HS" localSheetId="5">[1]designCalculations!$C$19</definedName>
    <definedName name="Rdson_HS">'Device Calculator'!$C$15</definedName>
    <definedName name="Rdson_HS_Ohm" localSheetId="3">[0]!Rdson_HS*0.001</definedName>
    <definedName name="Rdson_HS_Ohm" localSheetId="5">'partData (2)'!Rdson_HS*0.001</definedName>
    <definedName name="Rdson_HS_Ohm">Rdson_HS*0.001</definedName>
    <definedName name="Rdson_LS" localSheetId="5">[1]designCalculations!$C$20</definedName>
    <definedName name="Rdson_LS">'Device Calculator'!$C$16</definedName>
    <definedName name="Rdson_LS_Ohm" localSheetId="3">[0]!Rdson_LS*0.001</definedName>
    <definedName name="Rdson_LS_Ohm" localSheetId="5">'partData (2)'!Rdson_LS*0.001</definedName>
    <definedName name="Rdson_LS_Ohm">Rdson_LS*0.001</definedName>
    <definedName name="Ren_b" localSheetId="5">[1]designCalculations!#REF!</definedName>
    <definedName name="Ren_b_eff" localSheetId="5">[1]designCalculations!#REF!</definedName>
    <definedName name="Ren_t" localSheetId="5">[1]designCalculations!#REF!</definedName>
    <definedName name="Rfb_b" localSheetId="5">[1]designCalculations!$E$85</definedName>
    <definedName name="Rfb_b">'Device Calculator'!$E$100</definedName>
    <definedName name="Rfb_t" localSheetId="5">[1]designCalculations!$E$87</definedName>
    <definedName name="Rfb_t">'Device Calculator'!$E$102</definedName>
    <definedName name="RLOAD" localSheetId="4">compensation!$C$54</definedName>
    <definedName name="ROUT_min" localSheetId="4">compensation!$F$54</definedName>
    <definedName name="Rpg" localSheetId="5">[1]designCalculations!$E$101</definedName>
    <definedName name="Rpg">'Device Calculator'!$E$86</definedName>
    <definedName name="Rtrip" localSheetId="5">[1]designCalculations!#REF!</definedName>
    <definedName name="toff_min_max" localSheetId="5">[1]designCalculations!$C$18</definedName>
    <definedName name="toff_min_max">'Device Calculator'!$C$14</definedName>
    <definedName name="toff_min_max_sec" localSheetId="3">[0]!toff_min_max*0.000000001</definedName>
    <definedName name="toff_min_max_sec" localSheetId="5">'partData (2)'!toff_min_max*0.000000001</definedName>
    <definedName name="toff_min_max_sec">toff_min_max*0.000000001</definedName>
    <definedName name="Tol_L" localSheetId="5">[1]designCalculations!$E$42</definedName>
    <definedName name="Tol_L">'Device Calculator'!$E$38</definedName>
    <definedName name="ton_min_max" localSheetId="5">[1]designCalculations!$C$17</definedName>
    <definedName name="ton_min_max">'Device Calculator'!$C$13</definedName>
    <definedName name="Tss_target" localSheetId="5">[1]designCalculations!#REF!</definedName>
    <definedName name="vfb_1">'Device Calculator'!$D$98</definedName>
    <definedName name="vfb_ripple_calc">'Device Calculator'!$D$97</definedName>
    <definedName name="Vi_ripple_target" localSheetId="5">[1]designCalculations!$C$77</definedName>
    <definedName name="Vi_ripple_target">'Device Calculator'!$C$72</definedName>
    <definedName name="VIN" localSheetId="4">compensation!$B$4</definedName>
    <definedName name="Vin_max" localSheetId="5">[1]designCalculations!$C$24</definedName>
    <definedName name="Vin_max">'Device Calculator'!$C$20</definedName>
    <definedName name="Vin_min" localSheetId="5">[1]designCalculations!$C$22</definedName>
    <definedName name="Vin_min">'Device Calculator'!$C$18</definedName>
    <definedName name="Vin_nom">'Device Calculator'!$C$19</definedName>
    <definedName name="vinj_calculated">'Device Calculator'!$D$96</definedName>
    <definedName name="Vout" localSheetId="5">[1]designCalculations!$C$25</definedName>
    <definedName name="Vout">'Device Calculator'!$C$21</definedName>
    <definedName name="VOUT_1">compensation!$B$5</definedName>
    <definedName name="VRAMP" localSheetId="4">compensation!$B$20</definedName>
    <definedName name="VREF" localSheetId="4">compensation!$B$21</definedName>
    <definedName name="Vref" localSheetId="5">[1]designCalculations!$C$8</definedName>
    <definedName name="Vref">'Device Calculator'!$C$8</definedName>
    <definedName name="VRMP" localSheetId="4">compensation!$B$20</definedName>
    <definedName name="Vstart_target" localSheetId="5">[1]designCalculations!#REF!</definedName>
    <definedName name="wCO" localSheetId="4">compensation!$F$55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 i="21" l="1"/>
  <c r="F31" i="21"/>
  <c r="F29" i="21"/>
  <c r="F25" i="21"/>
  <c r="B5" i="17"/>
  <c r="B10" i="17"/>
  <c r="C46" i="7" l="1"/>
  <c r="J17" i="17"/>
  <c r="J16" i="17"/>
  <c r="J15" i="17"/>
  <c r="J14" i="17"/>
  <c r="K13" i="17"/>
  <c r="K4" i="17"/>
  <c r="J11" i="17"/>
  <c r="J10" i="17"/>
  <c r="J9" i="17"/>
  <c r="J8" i="17"/>
  <c r="J7" i="17"/>
  <c r="J6" i="17"/>
  <c r="J5" i="17"/>
  <c r="I5" i="17" s="1"/>
  <c r="B11" i="17"/>
  <c r="B6" i="17"/>
  <c r="B4" i="17"/>
  <c r="C20" i="17" s="1"/>
  <c r="R83" i="17"/>
  <c r="R84" i="17" s="1"/>
  <c r="R82" i="17"/>
  <c r="C82" i="17" s="1"/>
  <c r="R81" i="17"/>
  <c r="C81" i="17"/>
  <c r="B81" i="17" s="1"/>
  <c r="Q80" i="17"/>
  <c r="B80" i="17"/>
  <c r="B47" i="17"/>
  <c r="B46" i="17"/>
  <c r="N5" i="17" s="1"/>
  <c r="B23" i="17"/>
  <c r="B22" i="17"/>
  <c r="B21" i="17"/>
  <c r="W5" i="17"/>
  <c r="S5" i="17"/>
  <c r="W4" i="17"/>
  <c r="S4" i="17"/>
  <c r="W3" i="17"/>
  <c r="S3" i="17"/>
  <c r="G13" i="17" l="1"/>
  <c r="F109" i="7" s="1"/>
  <c r="I8" i="17"/>
  <c r="AB13" i="17"/>
  <c r="G16" i="17"/>
  <c r="AB24" i="17"/>
  <c r="AB12" i="17"/>
  <c r="AB25" i="17"/>
  <c r="AB14" i="17"/>
  <c r="AB27" i="17"/>
  <c r="AB29" i="17"/>
  <c r="AB30" i="17"/>
  <c r="AB16" i="17"/>
  <c r="AB26" i="17"/>
  <c r="B20" i="17" s="1"/>
  <c r="F62" i="17" s="1"/>
  <c r="AB28" i="17"/>
  <c r="AB21" i="17"/>
  <c r="AB22" i="17"/>
  <c r="AB11" i="17"/>
  <c r="AB23" i="17"/>
  <c r="AB31" i="17"/>
  <c r="B82" i="17"/>
  <c r="Q82" i="17"/>
  <c r="R85" i="17"/>
  <c r="C84" i="17"/>
  <c r="C83" i="17"/>
  <c r="Q81" i="17"/>
  <c r="Y83" i="17"/>
  <c r="Y80" i="17"/>
  <c r="H80" i="17"/>
  <c r="Y82" i="17"/>
  <c r="Y81" i="17"/>
  <c r="J21" i="17" l="1"/>
  <c r="F112" i="7"/>
  <c r="H82" i="17"/>
  <c r="X83" i="17"/>
  <c r="W83" i="17"/>
  <c r="H81" i="17"/>
  <c r="Q83" i="17"/>
  <c r="B83" i="17"/>
  <c r="X80" i="17"/>
  <c r="W80" i="17"/>
  <c r="X82" i="17"/>
  <c r="W82" i="17"/>
  <c r="X81" i="17"/>
  <c r="W81" i="17"/>
  <c r="B84" i="17"/>
  <c r="Q84" i="17"/>
  <c r="Y84" i="17"/>
  <c r="C85" i="17"/>
  <c r="R86" i="17"/>
  <c r="E19" i="9"/>
  <c r="D19" i="9" s="1"/>
  <c r="E18" i="9"/>
  <c r="D18" i="9" s="1"/>
  <c r="A18" i="9"/>
  <c r="E21" i="9" s="1"/>
  <c r="D21" i="9" s="1"/>
  <c r="A17" i="9"/>
  <c r="E20" i="9" s="1"/>
  <c r="D20" i="9" s="1"/>
  <c r="A16" i="9"/>
  <c r="E16" i="9" s="1"/>
  <c r="D16" i="9" s="1"/>
  <c r="U9" i="9"/>
  <c r="P9" i="9"/>
  <c r="N9" i="9"/>
  <c r="I9" i="9"/>
  <c r="F9" i="9"/>
  <c r="B9" i="9"/>
  <c r="U8" i="9"/>
  <c r="T8" i="9"/>
  <c r="T9" i="9" s="1"/>
  <c r="S8" i="9"/>
  <c r="S9" i="9" s="1"/>
  <c r="R8" i="9"/>
  <c r="R9" i="9" s="1"/>
  <c r="Q8" i="9"/>
  <c r="Q9" i="9" s="1"/>
  <c r="P8" i="9"/>
  <c r="O8" i="9"/>
  <c r="O9" i="9" s="1"/>
  <c r="N8" i="9"/>
  <c r="M8" i="9"/>
  <c r="M9" i="9" s="1"/>
  <c r="I8" i="9"/>
  <c r="H8" i="9"/>
  <c r="H9" i="9" s="1"/>
  <c r="G8" i="9"/>
  <c r="G9" i="9" s="1"/>
  <c r="F8" i="9"/>
  <c r="E8" i="9"/>
  <c r="E9" i="9" s="1"/>
  <c r="D8" i="9"/>
  <c r="D9" i="9" s="1"/>
  <c r="C8" i="9"/>
  <c r="C9" i="9" s="1"/>
  <c r="B8" i="9"/>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D121" i="7"/>
  <c r="D120" i="7"/>
  <c r="F77" i="7"/>
  <c r="D73" i="7"/>
  <c r="D74" i="7" s="1"/>
  <c r="D71" i="7"/>
  <c r="F63" i="7"/>
  <c r="B17" i="17" s="1"/>
  <c r="B50" i="17" s="1"/>
  <c r="F62" i="7"/>
  <c r="C47" i="7"/>
  <c r="F29" i="7"/>
  <c r="D52" i="7" s="1"/>
  <c r="D27" i="7"/>
  <c r="Q21" i="7"/>
  <c r="Q20" i="7"/>
  <c r="C16" i="7"/>
  <c r="Q19" i="7"/>
  <c r="C15" i="7"/>
  <c r="Q18" i="7"/>
  <c r="C14" i="7"/>
  <c r="Q17" i="7"/>
  <c r="C13" i="7"/>
  <c r="D24" i="7" s="1"/>
  <c r="Q16" i="7"/>
  <c r="Q15" i="7"/>
  <c r="C12" i="7"/>
  <c r="Q14" i="7"/>
  <c r="C11" i="7"/>
  <c r="C10" i="7"/>
  <c r="Q12" i="7"/>
  <c r="C9" i="7"/>
  <c r="D35" i="7" s="1"/>
  <c r="C8" i="7"/>
  <c r="C7" i="7"/>
  <c r="C6" i="7"/>
  <c r="C5" i="7"/>
  <c r="D54" i="7" l="1"/>
  <c r="B16" i="17"/>
  <c r="B49" i="17" s="1"/>
  <c r="I83" i="17" s="1"/>
  <c r="H83" i="17"/>
  <c r="R87" i="17"/>
  <c r="C86" i="17"/>
  <c r="B85" i="17"/>
  <c r="Q85" i="17"/>
  <c r="Y85" i="17"/>
  <c r="X84" i="17"/>
  <c r="W84" i="17"/>
  <c r="H84" i="17"/>
  <c r="D33" i="7"/>
  <c r="F42" i="7"/>
  <c r="F43" i="7" s="1"/>
  <c r="E17" i="9"/>
  <c r="D17" i="9" s="1"/>
  <c r="D25" i="7"/>
  <c r="F76" i="7"/>
  <c r="F65" i="7"/>
  <c r="F68" i="7"/>
  <c r="Q13" i="7"/>
  <c r="D34" i="7"/>
  <c r="F124" i="7"/>
  <c r="D55" i="7"/>
  <c r="F64" i="7"/>
  <c r="D50" i="7"/>
  <c r="D51" i="7"/>
  <c r="F39" i="7"/>
  <c r="F40" i="7" s="1"/>
  <c r="F67" i="7"/>
  <c r="N6" i="17" l="1"/>
  <c r="I80" i="17"/>
  <c r="J80" i="17" s="1"/>
  <c r="L80" i="17" s="1"/>
  <c r="I81" i="17"/>
  <c r="J81" i="17" s="1"/>
  <c r="L81" i="17" s="1"/>
  <c r="I82" i="17"/>
  <c r="J82" i="17" s="1"/>
  <c r="L82" i="17" s="1"/>
  <c r="I84" i="17"/>
  <c r="J84" i="17" s="1"/>
  <c r="L84" i="17" s="1"/>
  <c r="J83" i="17"/>
  <c r="L83" i="17" s="1"/>
  <c r="B86" i="17"/>
  <c r="Q86" i="17"/>
  <c r="Y86" i="17"/>
  <c r="R88" i="17"/>
  <c r="C87" i="17"/>
  <c r="X85" i="17"/>
  <c r="W85" i="17"/>
  <c r="H85" i="17"/>
  <c r="I85" i="17"/>
  <c r="F66" i="7"/>
  <c r="D49" i="7"/>
  <c r="D53" i="7" s="1"/>
  <c r="F41" i="7"/>
  <c r="D56" i="7"/>
  <c r="D57" i="7" s="1"/>
  <c r="Q87" i="17" l="1"/>
  <c r="B87" i="17"/>
  <c r="Y87" i="17"/>
  <c r="C88" i="17"/>
  <c r="R89" i="17"/>
  <c r="X86" i="17"/>
  <c r="W86" i="17"/>
  <c r="I86" i="17"/>
  <c r="H86" i="17"/>
  <c r="J85" i="17"/>
  <c r="L85" i="17" s="1"/>
  <c r="R90" i="17" l="1"/>
  <c r="C89" i="17"/>
  <c r="Q88" i="17"/>
  <c r="B88" i="17"/>
  <c r="Y88" i="17"/>
  <c r="X87" i="17"/>
  <c r="W87" i="17"/>
  <c r="J86" i="17"/>
  <c r="L86" i="17" s="1"/>
  <c r="I87" i="17"/>
  <c r="H87" i="17"/>
  <c r="J87" i="17" l="1"/>
  <c r="L87" i="17" s="1"/>
  <c r="X88" i="17"/>
  <c r="W88" i="17"/>
  <c r="I88" i="17"/>
  <c r="H88" i="17"/>
  <c r="B89" i="17"/>
  <c r="Q89" i="17"/>
  <c r="Y89" i="17"/>
  <c r="R91" i="17"/>
  <c r="C90" i="17"/>
  <c r="J88" i="17" l="1"/>
  <c r="L88" i="17" s="1"/>
  <c r="B90" i="17"/>
  <c r="Q90" i="17"/>
  <c r="Y90" i="17"/>
  <c r="C91" i="17"/>
  <c r="R92" i="17"/>
  <c r="X89" i="17"/>
  <c r="W89" i="17"/>
  <c r="I89" i="17"/>
  <c r="H89" i="17"/>
  <c r="J89" i="17" l="1"/>
  <c r="L89" i="17" s="1"/>
  <c r="C92" i="17"/>
  <c r="R93" i="17"/>
  <c r="Q91" i="17"/>
  <c r="B91" i="17"/>
  <c r="Y91" i="17"/>
  <c r="W90" i="17"/>
  <c r="X90" i="17"/>
  <c r="I90" i="17"/>
  <c r="H90" i="17"/>
  <c r="X91" i="17" l="1"/>
  <c r="W91" i="17"/>
  <c r="I91" i="17"/>
  <c r="H91" i="17"/>
  <c r="R94" i="17"/>
  <c r="C93" i="17"/>
  <c r="Q92" i="17"/>
  <c r="B92" i="17"/>
  <c r="Y92" i="17"/>
  <c r="J90" i="17"/>
  <c r="L90" i="17" s="1"/>
  <c r="J91" i="17" l="1"/>
  <c r="L91" i="17" s="1"/>
  <c r="B93" i="17"/>
  <c r="Q93" i="17"/>
  <c r="Y93" i="17"/>
  <c r="C94" i="17"/>
  <c r="R95" i="17"/>
  <c r="X92" i="17"/>
  <c r="W92" i="17"/>
  <c r="I92" i="17"/>
  <c r="H92" i="17"/>
  <c r="J92" i="17" l="1"/>
  <c r="L92" i="17" s="1"/>
  <c r="C95" i="17"/>
  <c r="R96" i="17"/>
  <c r="B94" i="17"/>
  <c r="Q94" i="17"/>
  <c r="Y94" i="17"/>
  <c r="W93" i="17"/>
  <c r="X93" i="17"/>
  <c r="I93" i="17"/>
  <c r="H93" i="17"/>
  <c r="J93" i="17" l="1"/>
  <c r="L93" i="17" s="1"/>
  <c r="W94" i="17"/>
  <c r="X94" i="17"/>
  <c r="I94" i="17"/>
  <c r="H94" i="17"/>
  <c r="C96" i="17"/>
  <c r="R97" i="17"/>
  <c r="B95" i="17"/>
  <c r="Q95" i="17"/>
  <c r="Y95" i="17"/>
  <c r="J94" i="17" l="1"/>
  <c r="L94" i="17" s="1"/>
  <c r="R98" i="17"/>
  <c r="C97" i="17"/>
  <c r="B96" i="17"/>
  <c r="Q96" i="17"/>
  <c r="Y96" i="17"/>
  <c r="X95" i="17"/>
  <c r="W95" i="17"/>
  <c r="H95" i="17"/>
  <c r="I95" i="17"/>
  <c r="X96" i="17" l="1"/>
  <c r="W96" i="17"/>
  <c r="I96" i="17"/>
  <c r="H96" i="17"/>
  <c r="J95" i="17"/>
  <c r="L95" i="17" s="1"/>
  <c r="Q97" i="17"/>
  <c r="B97" i="17"/>
  <c r="Y97" i="17"/>
  <c r="R99" i="17"/>
  <c r="C98" i="17"/>
  <c r="J96" i="17" l="1"/>
  <c r="L96" i="17" s="1"/>
  <c r="I97" i="17"/>
  <c r="H97" i="17"/>
  <c r="B98" i="17"/>
  <c r="Q98" i="17"/>
  <c r="Y98" i="17"/>
  <c r="C99" i="17"/>
  <c r="R100" i="17"/>
  <c r="X97" i="17"/>
  <c r="W97" i="17"/>
  <c r="J97" i="17" l="1"/>
  <c r="L97" i="17" s="1"/>
  <c r="I98" i="17"/>
  <c r="H98" i="17"/>
  <c r="R101" i="17"/>
  <c r="C100" i="17"/>
  <c r="Q99" i="17"/>
  <c r="B99" i="17"/>
  <c r="Y99" i="17"/>
  <c r="W98" i="17"/>
  <c r="X98" i="17"/>
  <c r="J98" i="17" l="1"/>
  <c r="L98" i="17" s="1"/>
  <c r="Q100" i="17"/>
  <c r="B100" i="17"/>
  <c r="Y100" i="17"/>
  <c r="R102" i="17"/>
  <c r="C101" i="17"/>
  <c r="X99" i="17"/>
  <c r="W99" i="17"/>
  <c r="I99" i="17"/>
  <c r="H99" i="17"/>
  <c r="J99" i="17" l="1"/>
  <c r="L99" i="17" s="1"/>
  <c r="B101" i="17"/>
  <c r="Q101" i="17"/>
  <c r="Y101" i="17"/>
  <c r="R103" i="17"/>
  <c r="C102" i="17"/>
  <c r="X100" i="17"/>
  <c r="W100" i="17"/>
  <c r="I100" i="17"/>
  <c r="H100" i="17"/>
  <c r="B102" i="17" l="1"/>
  <c r="Q102" i="17"/>
  <c r="Y102" i="17"/>
  <c r="C103" i="17"/>
  <c r="R104" i="17"/>
  <c r="W101" i="17"/>
  <c r="X101" i="17"/>
  <c r="I101" i="17"/>
  <c r="H101" i="17"/>
  <c r="J100" i="17"/>
  <c r="L100" i="17" s="1"/>
  <c r="J101" i="17" l="1"/>
  <c r="L101" i="17" s="1"/>
  <c r="C104" i="17"/>
  <c r="R105" i="17"/>
  <c r="Q103" i="17"/>
  <c r="B103" i="17"/>
  <c r="Y103" i="17"/>
  <c r="W102" i="17"/>
  <c r="X102" i="17"/>
  <c r="I102" i="17"/>
  <c r="H102" i="17"/>
  <c r="J102" i="17" l="1"/>
  <c r="L102" i="17" s="1"/>
  <c r="X103" i="17"/>
  <c r="W103" i="17"/>
  <c r="I103" i="17"/>
  <c r="H103" i="17"/>
  <c r="R106" i="17"/>
  <c r="C105" i="17"/>
  <c r="Q104" i="17"/>
  <c r="B104" i="17"/>
  <c r="Y104" i="17"/>
  <c r="J103" i="17" l="1"/>
  <c r="L103" i="17" s="1"/>
  <c r="R107" i="17"/>
  <c r="C106" i="17"/>
  <c r="X104" i="17"/>
  <c r="W104" i="17"/>
  <c r="I104" i="17"/>
  <c r="H104" i="17"/>
  <c r="Q105" i="17"/>
  <c r="B105" i="17"/>
  <c r="Y105" i="17"/>
  <c r="J104" i="17" l="1"/>
  <c r="L104" i="17" s="1"/>
  <c r="X105" i="17"/>
  <c r="W105" i="17"/>
  <c r="Q106" i="17"/>
  <c r="B106" i="17"/>
  <c r="Y106" i="17"/>
  <c r="I105" i="17"/>
  <c r="H105" i="17"/>
  <c r="C107" i="17"/>
  <c r="R108" i="17"/>
  <c r="W106" i="17" l="1"/>
  <c r="X106" i="17"/>
  <c r="I106" i="17"/>
  <c r="H106" i="17"/>
  <c r="R109" i="17"/>
  <c r="C108" i="17"/>
  <c r="Q107" i="17"/>
  <c r="B107" i="17"/>
  <c r="Y107" i="17"/>
  <c r="J105" i="17"/>
  <c r="L105" i="17" s="1"/>
  <c r="J106" i="17" l="1"/>
  <c r="L106" i="17" s="1"/>
  <c r="I107" i="17"/>
  <c r="H107" i="17"/>
  <c r="Q108" i="17"/>
  <c r="B108" i="17"/>
  <c r="Y108" i="17"/>
  <c r="R110" i="17"/>
  <c r="C109" i="17"/>
  <c r="X107" i="17"/>
  <c r="W107" i="17"/>
  <c r="J107" i="17" l="1"/>
  <c r="L107" i="17" s="1"/>
  <c r="C110" i="17"/>
  <c r="R111" i="17"/>
  <c r="X108" i="17"/>
  <c r="W108" i="17"/>
  <c r="I108" i="17"/>
  <c r="H108" i="17"/>
  <c r="B109" i="17"/>
  <c r="Q109" i="17"/>
  <c r="Y109" i="17"/>
  <c r="J108" i="17" l="1"/>
  <c r="L108" i="17" s="1"/>
  <c r="W109" i="17"/>
  <c r="X109" i="17"/>
  <c r="I109" i="17"/>
  <c r="H109" i="17"/>
  <c r="C111" i="17"/>
  <c r="R112" i="17"/>
  <c r="B110" i="17"/>
  <c r="Q110" i="17"/>
  <c r="Y110" i="17"/>
  <c r="J109" i="17" l="1"/>
  <c r="L109" i="17" s="1"/>
  <c r="B111" i="17"/>
  <c r="Q111" i="17"/>
  <c r="Y111" i="17"/>
  <c r="W110" i="17"/>
  <c r="X110" i="17"/>
  <c r="I110" i="17"/>
  <c r="H110" i="17"/>
  <c r="R113" i="17"/>
  <c r="C112" i="17"/>
  <c r="X111" i="17" l="1"/>
  <c r="W111" i="17"/>
  <c r="B112" i="17"/>
  <c r="Q112" i="17"/>
  <c r="Y112" i="17"/>
  <c r="R114" i="17"/>
  <c r="C113" i="17"/>
  <c r="H111" i="17"/>
  <c r="I111" i="17"/>
  <c r="J110" i="17"/>
  <c r="L110" i="17" s="1"/>
  <c r="J111" i="17" l="1"/>
  <c r="L111" i="17" s="1"/>
  <c r="Q113" i="17"/>
  <c r="B113" i="17"/>
  <c r="Y113" i="17"/>
  <c r="R115" i="17"/>
  <c r="C114" i="17"/>
  <c r="X112" i="17"/>
  <c r="W112" i="17"/>
  <c r="I112" i="17"/>
  <c r="H112" i="17"/>
  <c r="Q114" i="17" l="1"/>
  <c r="B114" i="17"/>
  <c r="Y114" i="17"/>
  <c r="C115" i="17"/>
  <c r="R116" i="17"/>
  <c r="X113" i="17"/>
  <c r="W113" i="17"/>
  <c r="I113" i="17"/>
  <c r="H113" i="17"/>
  <c r="J112" i="17"/>
  <c r="L112" i="17" s="1"/>
  <c r="R117" i="17" l="1"/>
  <c r="C116" i="17"/>
  <c r="Q115" i="17"/>
  <c r="B115" i="17"/>
  <c r="Y115" i="17"/>
  <c r="W114" i="17"/>
  <c r="X114" i="17"/>
  <c r="I114" i="17"/>
  <c r="H114" i="17"/>
  <c r="J113" i="17"/>
  <c r="L113" i="17" s="1"/>
  <c r="J114" i="17" l="1"/>
  <c r="L114" i="17" s="1"/>
  <c r="X115" i="17"/>
  <c r="W115" i="17"/>
  <c r="H115" i="17"/>
  <c r="I115" i="17"/>
  <c r="B116" i="17"/>
  <c r="Q116" i="17"/>
  <c r="Y116" i="17"/>
  <c r="R118" i="17"/>
  <c r="C117" i="17"/>
  <c r="J115" i="17" l="1"/>
  <c r="L115" i="17" s="1"/>
  <c r="Q117" i="17"/>
  <c r="Y117" i="17"/>
  <c r="B117" i="17"/>
  <c r="X116" i="17"/>
  <c r="W116" i="17"/>
  <c r="R119" i="17"/>
  <c r="C118" i="17"/>
  <c r="I116" i="17"/>
  <c r="H116" i="17"/>
  <c r="J116" i="17" l="1"/>
  <c r="L116" i="17" s="1"/>
  <c r="X117" i="17"/>
  <c r="W117" i="17"/>
  <c r="H117" i="17"/>
  <c r="I117" i="17"/>
  <c r="Q118" i="17"/>
  <c r="B118" i="17"/>
  <c r="Y118" i="17"/>
  <c r="C119" i="17"/>
  <c r="R120" i="17"/>
  <c r="J117" i="17" l="1"/>
  <c r="L117" i="17" s="1"/>
  <c r="C120" i="17"/>
  <c r="R121" i="17"/>
  <c r="W118" i="17"/>
  <c r="X118" i="17"/>
  <c r="Q119" i="17"/>
  <c r="B119" i="17"/>
  <c r="Y119" i="17"/>
  <c r="I118" i="17"/>
  <c r="H118" i="17"/>
  <c r="J118" i="17" l="1"/>
  <c r="L118" i="17" s="1"/>
  <c r="R122" i="17"/>
  <c r="C121" i="17"/>
  <c r="Q120" i="17"/>
  <c r="B120" i="17"/>
  <c r="Y120" i="17"/>
  <c r="W119" i="17"/>
  <c r="X119" i="17"/>
  <c r="I119" i="17"/>
  <c r="H119" i="17"/>
  <c r="J119" i="17" l="1"/>
  <c r="L119" i="17" s="1"/>
  <c r="I120" i="17"/>
  <c r="H120" i="17"/>
  <c r="Q121" i="17"/>
  <c r="B121" i="17"/>
  <c r="Y121" i="17"/>
  <c r="R123" i="17"/>
  <c r="C122" i="17"/>
  <c r="X120" i="17"/>
  <c r="W120" i="17"/>
  <c r="J120" i="17" l="1"/>
  <c r="L120" i="17" s="1"/>
  <c r="B122" i="17"/>
  <c r="Q122" i="17"/>
  <c r="Y122" i="17"/>
  <c r="C123" i="17"/>
  <c r="R124" i="17"/>
  <c r="X121" i="17"/>
  <c r="W121" i="17"/>
  <c r="I121" i="17"/>
  <c r="H121" i="17"/>
  <c r="J121" i="17" l="1"/>
  <c r="L121" i="17" s="1"/>
  <c r="R125" i="17"/>
  <c r="C124" i="17"/>
  <c r="B123" i="17"/>
  <c r="Q123" i="17"/>
  <c r="Y123" i="17"/>
  <c r="X122" i="17"/>
  <c r="W122" i="17"/>
  <c r="I122" i="17"/>
  <c r="H122" i="17"/>
  <c r="X123" i="17" l="1"/>
  <c r="W123" i="17"/>
  <c r="I123" i="17"/>
  <c r="H123" i="17"/>
  <c r="B124" i="17"/>
  <c r="Q124" i="17"/>
  <c r="Y124" i="17"/>
  <c r="R126" i="17"/>
  <c r="C125" i="17"/>
  <c r="J122" i="17"/>
  <c r="L122" i="17" s="1"/>
  <c r="J123" i="17" l="1"/>
  <c r="L123" i="17" s="1"/>
  <c r="I124" i="17"/>
  <c r="H124" i="17"/>
  <c r="B125" i="17"/>
  <c r="Q125" i="17"/>
  <c r="Y125" i="17"/>
  <c r="C126" i="17"/>
  <c r="R127" i="17"/>
  <c r="X124" i="17"/>
  <c r="W124" i="17"/>
  <c r="J124" i="17" l="1"/>
  <c r="L124" i="17" s="1"/>
  <c r="C127" i="17"/>
  <c r="R128" i="17"/>
  <c r="B126" i="17"/>
  <c r="Q126" i="17"/>
  <c r="Y126" i="17"/>
  <c r="X125" i="17"/>
  <c r="W125" i="17"/>
  <c r="I125" i="17"/>
  <c r="H125" i="17"/>
  <c r="J125" i="17" l="1"/>
  <c r="L125" i="17" s="1"/>
  <c r="X126" i="17"/>
  <c r="W126" i="17"/>
  <c r="I126" i="17"/>
  <c r="H126" i="17"/>
  <c r="C128" i="17"/>
  <c r="R129" i="17"/>
  <c r="Q127" i="17"/>
  <c r="B127" i="17"/>
  <c r="Y127" i="17"/>
  <c r="J126" i="17" l="1"/>
  <c r="L126" i="17" s="1"/>
  <c r="I127" i="17"/>
  <c r="H127" i="17"/>
  <c r="R130" i="17"/>
  <c r="C129" i="17"/>
  <c r="Q128" i="17"/>
  <c r="B128" i="17"/>
  <c r="Y128" i="17"/>
  <c r="X127" i="17"/>
  <c r="W127" i="17"/>
  <c r="J127" i="17" l="1"/>
  <c r="L127" i="17" s="1"/>
  <c r="X128" i="17"/>
  <c r="W128" i="17"/>
  <c r="I128" i="17"/>
  <c r="H128" i="17"/>
  <c r="B129" i="17"/>
  <c r="Q129" i="17"/>
  <c r="Y129" i="17"/>
  <c r="C130" i="17"/>
  <c r="R131" i="17"/>
  <c r="J128" i="17" l="1"/>
  <c r="L128" i="17" s="1"/>
  <c r="C131" i="17"/>
  <c r="R132" i="17"/>
  <c r="Q130" i="17"/>
  <c r="B130" i="17"/>
  <c r="Y130" i="17"/>
  <c r="X129" i="17"/>
  <c r="W129" i="17"/>
  <c r="I129" i="17"/>
  <c r="H129" i="17"/>
  <c r="J129" i="17" l="1"/>
  <c r="L129" i="17" s="1"/>
  <c r="I130" i="17"/>
  <c r="H130" i="17"/>
  <c r="R133" i="17"/>
  <c r="C132" i="17"/>
  <c r="Q131" i="17"/>
  <c r="B131" i="17"/>
  <c r="Y131" i="17"/>
  <c r="X130" i="17"/>
  <c r="W130" i="17"/>
  <c r="J130" i="17" l="1"/>
  <c r="L130" i="17" s="1"/>
  <c r="W131" i="17"/>
  <c r="X131" i="17"/>
  <c r="I131" i="17"/>
  <c r="H131" i="17"/>
  <c r="Q132" i="17"/>
  <c r="B132" i="17"/>
  <c r="Y132" i="17"/>
  <c r="R134" i="17"/>
  <c r="C133" i="17"/>
  <c r="J131" i="17" l="1"/>
  <c r="L131" i="17" s="1"/>
  <c r="X132" i="17"/>
  <c r="W132" i="17"/>
  <c r="I132" i="17"/>
  <c r="H132" i="17"/>
  <c r="Q133" i="17"/>
  <c r="B133" i="17"/>
  <c r="Y133" i="17"/>
  <c r="R135" i="17"/>
  <c r="C134" i="17"/>
  <c r="J132" i="17" l="1"/>
  <c r="L132" i="17" s="1"/>
  <c r="I133" i="17"/>
  <c r="H133" i="17"/>
  <c r="Q134" i="17"/>
  <c r="B134" i="17"/>
  <c r="Y134" i="17"/>
  <c r="C135" i="17"/>
  <c r="R136" i="17"/>
  <c r="X133" i="17"/>
  <c r="W133" i="17"/>
  <c r="J133" i="17" l="1"/>
  <c r="L133" i="17" s="1"/>
  <c r="R137" i="17"/>
  <c r="C136" i="17"/>
  <c r="Q135" i="17"/>
  <c r="B135" i="17"/>
  <c r="Y135" i="17"/>
  <c r="X134" i="17"/>
  <c r="W134" i="17"/>
  <c r="I134" i="17"/>
  <c r="H134" i="17"/>
  <c r="J134" i="17" l="1"/>
  <c r="L134" i="17" s="1"/>
  <c r="I135" i="17"/>
  <c r="H135" i="17"/>
  <c r="B136" i="17"/>
  <c r="Q136" i="17"/>
  <c r="Y136" i="17"/>
  <c r="R138" i="17"/>
  <c r="C137" i="17"/>
  <c r="X135" i="17"/>
  <c r="W135" i="17"/>
  <c r="J135" i="17" l="1"/>
  <c r="L135" i="17" s="1"/>
  <c r="Q137" i="17"/>
  <c r="B137" i="17"/>
  <c r="Y137" i="17"/>
  <c r="R139" i="17"/>
  <c r="C138" i="17"/>
  <c r="W136" i="17"/>
  <c r="X136" i="17"/>
  <c r="I136" i="17"/>
  <c r="H136" i="17"/>
  <c r="J136" i="17" l="1"/>
  <c r="L136" i="17" s="1"/>
  <c r="Q138" i="17"/>
  <c r="B138" i="17"/>
  <c r="Y138" i="17"/>
  <c r="R140" i="17"/>
  <c r="C139" i="17"/>
  <c r="W137" i="17"/>
  <c r="X137" i="17"/>
  <c r="I137" i="17"/>
  <c r="H137" i="17"/>
  <c r="Q139" i="17" l="1"/>
  <c r="B139" i="17"/>
  <c r="Y139" i="17"/>
  <c r="R141" i="17"/>
  <c r="C140" i="17"/>
  <c r="X138" i="17"/>
  <c r="W138" i="17"/>
  <c r="I138" i="17"/>
  <c r="H138" i="17"/>
  <c r="J137" i="17"/>
  <c r="L137" i="17" s="1"/>
  <c r="B140" i="17" l="1"/>
  <c r="Q140" i="17"/>
  <c r="Y140" i="17"/>
  <c r="R142" i="17"/>
  <c r="C141" i="17"/>
  <c r="X139" i="17"/>
  <c r="W139" i="17"/>
  <c r="I139" i="17"/>
  <c r="H139" i="17"/>
  <c r="J138" i="17"/>
  <c r="L138" i="17" s="1"/>
  <c r="J139" i="17" l="1"/>
  <c r="L139" i="17" s="1"/>
  <c r="B141" i="17"/>
  <c r="Q141" i="17"/>
  <c r="Y141" i="17"/>
  <c r="C142" i="17"/>
  <c r="R143" i="17"/>
  <c r="W140" i="17"/>
  <c r="X140" i="17"/>
  <c r="H140" i="17"/>
  <c r="I140" i="17"/>
  <c r="J140" i="17" l="1"/>
  <c r="L140" i="17" s="1"/>
  <c r="R144" i="17"/>
  <c r="C143" i="17"/>
  <c r="B142" i="17"/>
  <c r="Q142" i="17"/>
  <c r="Y142" i="17"/>
  <c r="W141" i="17"/>
  <c r="X141" i="17"/>
  <c r="I141" i="17"/>
  <c r="H141" i="17"/>
  <c r="X142" i="17" l="1"/>
  <c r="W142" i="17"/>
  <c r="H142" i="17"/>
  <c r="I142" i="17"/>
  <c r="B143" i="17"/>
  <c r="Q143" i="17"/>
  <c r="Y143" i="17"/>
  <c r="R145" i="17"/>
  <c r="C144" i="17"/>
  <c r="J141" i="17"/>
  <c r="L141" i="17" s="1"/>
  <c r="J142" i="17" l="1"/>
  <c r="L142" i="17" s="1"/>
  <c r="Q144" i="17"/>
  <c r="B144" i="17"/>
  <c r="Y144" i="17"/>
  <c r="X143" i="17"/>
  <c r="W143" i="17"/>
  <c r="C145" i="17"/>
  <c r="R146" i="17"/>
  <c r="I143" i="17"/>
  <c r="H143" i="17"/>
  <c r="J143" i="17" l="1"/>
  <c r="L143" i="17" s="1"/>
  <c r="X144" i="17"/>
  <c r="W144" i="17"/>
  <c r="I144" i="17"/>
  <c r="H144" i="17"/>
  <c r="Q145" i="17"/>
  <c r="B145" i="17"/>
  <c r="Y145" i="17"/>
  <c r="C146" i="17"/>
  <c r="R147" i="17"/>
  <c r="J144" i="17" l="1"/>
  <c r="L144" i="17" s="1"/>
  <c r="R148" i="17"/>
  <c r="C147" i="17"/>
  <c r="W145" i="17"/>
  <c r="X145" i="17"/>
  <c r="B146" i="17"/>
  <c r="Q146" i="17"/>
  <c r="Y146" i="17"/>
  <c r="I145" i="17"/>
  <c r="H145" i="17"/>
  <c r="J145" i="17" l="1"/>
  <c r="L145" i="17" s="1"/>
  <c r="I146" i="17"/>
  <c r="H146" i="17"/>
  <c r="Q147" i="17"/>
  <c r="B147" i="17"/>
  <c r="Y147" i="17"/>
  <c r="C148" i="17"/>
  <c r="R149" i="17"/>
  <c r="W146" i="17"/>
  <c r="X146" i="17"/>
  <c r="J146" i="17" l="1"/>
  <c r="L146" i="17" s="1"/>
  <c r="W147" i="17"/>
  <c r="X147" i="17"/>
  <c r="H147" i="17"/>
  <c r="I147" i="17"/>
  <c r="C149" i="17"/>
  <c r="R150" i="17"/>
  <c r="Q148" i="17"/>
  <c r="B148" i="17"/>
  <c r="Y148" i="17"/>
  <c r="H148" i="17" l="1"/>
  <c r="I148" i="17"/>
  <c r="R151" i="17"/>
  <c r="C150" i="17"/>
  <c r="B149" i="17"/>
  <c r="Q149" i="17"/>
  <c r="Y149" i="17"/>
  <c r="J147" i="17"/>
  <c r="L147" i="17" s="1"/>
  <c r="W148" i="17"/>
  <c r="X148" i="17"/>
  <c r="J148" i="17" l="1"/>
  <c r="L148" i="17" s="1"/>
  <c r="X149" i="17"/>
  <c r="W149" i="17"/>
  <c r="I149" i="17"/>
  <c r="H149" i="17"/>
  <c r="B150" i="17"/>
  <c r="Q150" i="17"/>
  <c r="Y150" i="17"/>
  <c r="C151" i="17"/>
  <c r="R152" i="17"/>
  <c r="J149" i="17" l="1"/>
  <c r="L149" i="17" s="1"/>
  <c r="X150" i="17"/>
  <c r="W150" i="17"/>
  <c r="I150" i="17"/>
  <c r="H150" i="17"/>
  <c r="R153" i="17"/>
  <c r="C152" i="17"/>
  <c r="Q151" i="17"/>
  <c r="B151" i="17"/>
  <c r="Y151" i="17"/>
  <c r="J150" i="17" l="1"/>
  <c r="L150" i="17" s="1"/>
  <c r="H151" i="17"/>
  <c r="I151" i="17"/>
  <c r="B152" i="17"/>
  <c r="Q152" i="17"/>
  <c r="Y152" i="17"/>
  <c r="C153" i="17"/>
  <c r="R154" i="17"/>
  <c r="W151" i="17"/>
  <c r="X151" i="17"/>
  <c r="J151" i="17" l="1"/>
  <c r="L151" i="17" s="1"/>
  <c r="C154" i="17"/>
  <c r="R155" i="17"/>
  <c r="Q153" i="17"/>
  <c r="B153" i="17"/>
  <c r="Y153" i="17"/>
  <c r="W152" i="17"/>
  <c r="X152" i="17"/>
  <c r="I152" i="17"/>
  <c r="H152" i="17"/>
  <c r="J152" i="17" l="1"/>
  <c r="L152" i="17" s="1"/>
  <c r="X153" i="17"/>
  <c r="W153" i="17"/>
  <c r="I153" i="17"/>
  <c r="H153" i="17"/>
  <c r="C155" i="17"/>
  <c r="R156" i="17"/>
  <c r="B154" i="17"/>
  <c r="Q154" i="17"/>
  <c r="Y154" i="17"/>
  <c r="J153" i="17" l="1"/>
  <c r="L153" i="17" s="1"/>
  <c r="I154" i="17"/>
  <c r="H154" i="17"/>
  <c r="R157" i="17"/>
  <c r="C156" i="17"/>
  <c r="B155" i="17"/>
  <c r="Q155" i="17"/>
  <c r="Y155" i="17"/>
  <c r="W154" i="17"/>
  <c r="X154" i="17"/>
  <c r="J154" i="17" l="1"/>
  <c r="L154" i="17" s="1"/>
  <c r="W155" i="17"/>
  <c r="X155" i="17"/>
  <c r="H155" i="17"/>
  <c r="I155" i="17"/>
  <c r="B156" i="17"/>
  <c r="Q156" i="17"/>
  <c r="Y156" i="17"/>
  <c r="R158" i="17"/>
  <c r="C157" i="17"/>
  <c r="J155" i="17" l="1"/>
  <c r="L155" i="17" s="1"/>
  <c r="H156" i="17"/>
  <c r="I156" i="17"/>
  <c r="Q157" i="17"/>
  <c r="B157" i="17"/>
  <c r="Y157" i="17"/>
  <c r="C158" i="17"/>
  <c r="R159" i="17"/>
  <c r="W156" i="17"/>
  <c r="X156" i="17"/>
  <c r="I157" i="17" l="1"/>
  <c r="H157" i="17"/>
  <c r="J156" i="17"/>
  <c r="L156" i="17" s="1"/>
  <c r="R160" i="17"/>
  <c r="C159" i="17"/>
  <c r="B158" i="17"/>
  <c r="Q158" i="17"/>
  <c r="Y158" i="17"/>
  <c r="W157" i="17"/>
  <c r="X157" i="17"/>
  <c r="J157" i="17" l="1"/>
  <c r="L157" i="17" s="1"/>
  <c r="I158" i="17"/>
  <c r="H158" i="17"/>
  <c r="B159" i="17"/>
  <c r="Q159" i="17"/>
  <c r="Y159" i="17"/>
  <c r="C160" i="17"/>
  <c r="R161" i="17"/>
  <c r="W158" i="17"/>
  <c r="X158" i="17"/>
  <c r="J158" i="17" l="1"/>
  <c r="L158" i="17" s="1"/>
  <c r="R162" i="17"/>
  <c r="C161" i="17"/>
  <c r="Q160" i="17"/>
  <c r="B160" i="17"/>
  <c r="Y160" i="17"/>
  <c r="W159" i="17"/>
  <c r="X159" i="17"/>
  <c r="H159" i="17"/>
  <c r="I159" i="17"/>
  <c r="J159" i="17" l="1"/>
  <c r="L159" i="17" s="1"/>
  <c r="W160" i="17"/>
  <c r="X160" i="17"/>
  <c r="I160" i="17"/>
  <c r="H160" i="17"/>
  <c r="Q161" i="17"/>
  <c r="B161" i="17"/>
  <c r="Y161" i="17"/>
  <c r="R163" i="17"/>
  <c r="C162" i="17"/>
  <c r="J160" i="17" l="1"/>
  <c r="L160" i="17" s="1"/>
  <c r="B162" i="17"/>
  <c r="Q162" i="17"/>
  <c r="Y162" i="17"/>
  <c r="W161" i="17"/>
  <c r="X161" i="17"/>
  <c r="R164" i="17"/>
  <c r="C163" i="17"/>
  <c r="H161" i="17"/>
  <c r="I161" i="17"/>
  <c r="J161" i="17" l="1"/>
  <c r="L161" i="17" s="1"/>
  <c r="W162" i="17"/>
  <c r="X162" i="17"/>
  <c r="I162" i="17"/>
  <c r="H162" i="17"/>
  <c r="Q163" i="17"/>
  <c r="B163" i="17"/>
  <c r="Y163" i="17"/>
  <c r="R165" i="17"/>
  <c r="C164" i="17"/>
  <c r="J162" i="17" l="1"/>
  <c r="L162" i="17" s="1"/>
  <c r="Q164" i="17"/>
  <c r="B164" i="17"/>
  <c r="Y164" i="17"/>
  <c r="X163" i="17"/>
  <c r="W163" i="17"/>
  <c r="H163" i="17"/>
  <c r="I163" i="17"/>
  <c r="C165" i="17"/>
  <c r="R166" i="17"/>
  <c r="J163" i="17" l="1"/>
  <c r="L163" i="17" s="1"/>
  <c r="W164" i="17"/>
  <c r="X164" i="17"/>
  <c r="H164" i="17"/>
  <c r="I164" i="17"/>
  <c r="C166" i="17"/>
  <c r="R167" i="17"/>
  <c r="Q165" i="17"/>
  <c r="B165" i="17"/>
  <c r="Y165" i="17"/>
  <c r="C167" i="17" l="1"/>
  <c r="R168" i="17"/>
  <c r="B166" i="17"/>
  <c r="Q166" i="17"/>
  <c r="Y166" i="17"/>
  <c r="J164" i="17"/>
  <c r="L164" i="17" s="1"/>
  <c r="X165" i="17"/>
  <c r="W165" i="17"/>
  <c r="H165" i="17"/>
  <c r="I165" i="17"/>
  <c r="J165" i="17" l="1"/>
  <c r="L165" i="17" s="1"/>
  <c r="W166" i="17"/>
  <c r="X166" i="17"/>
  <c r="I166" i="17"/>
  <c r="H166" i="17"/>
  <c r="C168" i="17"/>
  <c r="R169" i="17"/>
  <c r="B167" i="17"/>
  <c r="Q167" i="17"/>
  <c r="Y167" i="17"/>
  <c r="J166" i="17" l="1"/>
  <c r="L166" i="17" s="1"/>
  <c r="Q168" i="17"/>
  <c r="B168" i="17"/>
  <c r="Y168" i="17"/>
  <c r="W167" i="17"/>
  <c r="X167" i="17"/>
  <c r="I167" i="17"/>
  <c r="H167" i="17"/>
  <c r="R170" i="17"/>
  <c r="C169" i="17"/>
  <c r="J167" i="17" l="1"/>
  <c r="L167" i="17" s="1"/>
  <c r="B169" i="17"/>
  <c r="Q169" i="17"/>
  <c r="Y169" i="17"/>
  <c r="X168" i="17"/>
  <c r="W168" i="17"/>
  <c r="R171" i="17"/>
  <c r="C170" i="17"/>
  <c r="I168" i="17"/>
  <c r="H168" i="17"/>
  <c r="J168" i="17" l="1"/>
  <c r="L168" i="17" s="1"/>
  <c r="C171" i="17"/>
  <c r="R172" i="17"/>
  <c r="W169" i="17"/>
  <c r="X169" i="17"/>
  <c r="I169" i="17"/>
  <c r="H169" i="17"/>
  <c r="B170" i="17"/>
  <c r="Q170" i="17"/>
  <c r="Y170" i="17"/>
  <c r="J169" i="17" l="1"/>
  <c r="L169" i="17" s="1"/>
  <c r="I170" i="17"/>
  <c r="H170" i="17"/>
  <c r="R173" i="17"/>
  <c r="C172" i="17"/>
  <c r="B171" i="17"/>
  <c r="Q171" i="17"/>
  <c r="Y171" i="17"/>
  <c r="X170" i="17"/>
  <c r="W170" i="17"/>
  <c r="J170" i="17" l="1"/>
  <c r="L170" i="17" s="1"/>
  <c r="Q172" i="17"/>
  <c r="B172" i="17"/>
  <c r="Y172" i="17"/>
  <c r="R174" i="17"/>
  <c r="C173" i="17"/>
  <c r="W171" i="17"/>
  <c r="X171" i="17"/>
  <c r="H171" i="17"/>
  <c r="I171" i="17"/>
  <c r="Q173" i="17" l="1"/>
  <c r="B173" i="17"/>
  <c r="Y173" i="17"/>
  <c r="C174" i="17"/>
  <c r="R175" i="17"/>
  <c r="X172" i="17"/>
  <c r="W172" i="17"/>
  <c r="H172" i="17"/>
  <c r="I172" i="17"/>
  <c r="J171" i="17"/>
  <c r="L171" i="17" s="1"/>
  <c r="J172" i="17" l="1"/>
  <c r="L172" i="17" s="1"/>
  <c r="C175" i="17"/>
  <c r="R176" i="17"/>
  <c r="Q174" i="17"/>
  <c r="B174" i="17"/>
  <c r="Y174" i="17"/>
  <c r="W173" i="17"/>
  <c r="X173" i="17"/>
  <c r="I173" i="17"/>
  <c r="H173" i="17"/>
  <c r="J173" i="17" l="1"/>
  <c r="L173" i="17" s="1"/>
  <c r="X174" i="17"/>
  <c r="W174" i="17"/>
  <c r="H174" i="17"/>
  <c r="I174" i="17"/>
  <c r="R177" i="17"/>
  <c r="C176" i="17"/>
  <c r="Q175" i="17"/>
  <c r="B175" i="17"/>
  <c r="Y175" i="17"/>
  <c r="J174" i="17" l="1"/>
  <c r="L174" i="17" s="1"/>
  <c r="H175" i="17"/>
  <c r="I175" i="17"/>
  <c r="Q176" i="17"/>
  <c r="B176" i="17"/>
  <c r="Y176" i="17"/>
  <c r="C177" i="17"/>
  <c r="R178" i="17"/>
  <c r="W175" i="17"/>
  <c r="X175" i="17"/>
  <c r="J175" i="17" l="1"/>
  <c r="L175" i="17" s="1"/>
  <c r="R179" i="17"/>
  <c r="C178" i="17"/>
  <c r="B177" i="17"/>
  <c r="Q177" i="17"/>
  <c r="Y177" i="17"/>
  <c r="W176" i="17"/>
  <c r="X176" i="17"/>
  <c r="I176" i="17"/>
  <c r="H176" i="17"/>
  <c r="J176" i="17" l="1"/>
  <c r="L176" i="17" s="1"/>
  <c r="W177" i="17"/>
  <c r="X177" i="17"/>
  <c r="I177" i="17"/>
  <c r="H177" i="17"/>
  <c r="B178" i="17"/>
  <c r="Q178" i="17"/>
  <c r="Y178" i="17"/>
  <c r="C179" i="17"/>
  <c r="R180" i="17"/>
  <c r="J177" i="17" l="1"/>
  <c r="L177" i="17" s="1"/>
  <c r="R181" i="17"/>
  <c r="C180" i="17"/>
  <c r="Q179" i="17"/>
  <c r="B179" i="17"/>
  <c r="Y179" i="17"/>
  <c r="X178" i="17"/>
  <c r="W178" i="17"/>
  <c r="I178" i="17"/>
  <c r="H178" i="17"/>
  <c r="J178" i="17" l="1"/>
  <c r="L178" i="17" s="1"/>
  <c r="W179" i="17"/>
  <c r="X179" i="17"/>
  <c r="I179" i="17"/>
  <c r="H179" i="17"/>
  <c r="B180" i="17"/>
  <c r="Q180" i="17"/>
  <c r="Y180" i="17"/>
  <c r="C181" i="17"/>
  <c r="R182" i="17"/>
  <c r="J179" i="17" l="1"/>
  <c r="L179" i="17" s="1"/>
  <c r="B181" i="17"/>
  <c r="Q181" i="17"/>
  <c r="Y181" i="17"/>
  <c r="W180" i="17"/>
  <c r="X180" i="17"/>
  <c r="H180" i="17"/>
  <c r="I180" i="17"/>
  <c r="C182" i="17"/>
  <c r="R183" i="17"/>
  <c r="J180" i="17" l="1"/>
  <c r="L180" i="17" s="1"/>
  <c r="W181" i="17"/>
  <c r="X181" i="17"/>
  <c r="C183" i="17"/>
  <c r="R184" i="17"/>
  <c r="H181" i="17"/>
  <c r="I181" i="17"/>
  <c r="B182" i="17"/>
  <c r="Q182" i="17"/>
  <c r="Y182" i="17"/>
  <c r="J181" i="17" l="1"/>
  <c r="L181" i="17" s="1"/>
  <c r="C184" i="17"/>
  <c r="R185" i="17"/>
  <c r="Q183" i="17"/>
  <c r="B183" i="17"/>
  <c r="Y183" i="17"/>
  <c r="W182" i="17"/>
  <c r="X182" i="17"/>
  <c r="H182" i="17"/>
  <c r="I182" i="17"/>
  <c r="J182" i="17" l="1"/>
  <c r="L182" i="17" s="1"/>
  <c r="W183" i="17"/>
  <c r="X183" i="17"/>
  <c r="I183" i="17"/>
  <c r="H183" i="17"/>
  <c r="C185" i="17"/>
  <c r="R186" i="17"/>
  <c r="B184" i="17"/>
  <c r="Q184" i="17"/>
  <c r="Y184" i="17"/>
  <c r="J183" i="17" l="1"/>
  <c r="L183" i="17" s="1"/>
  <c r="C186" i="17"/>
  <c r="R187" i="17"/>
  <c r="B185" i="17"/>
  <c r="Q185" i="17"/>
  <c r="Y185" i="17"/>
  <c r="W184" i="17"/>
  <c r="X184" i="17"/>
  <c r="I184" i="17"/>
  <c r="H184" i="17"/>
  <c r="J184" i="17" l="1"/>
  <c r="L184" i="17" s="1"/>
  <c r="W185" i="17"/>
  <c r="X185" i="17"/>
  <c r="I185" i="17"/>
  <c r="H185" i="17"/>
  <c r="R188" i="17"/>
  <c r="C187" i="17"/>
  <c r="B186" i="17"/>
  <c r="Q186" i="17"/>
  <c r="Y186" i="17"/>
  <c r="J185" i="17" l="1"/>
  <c r="L185" i="17" s="1"/>
  <c r="Q187" i="17"/>
  <c r="B187" i="17"/>
  <c r="Y187" i="17"/>
  <c r="R189" i="17"/>
  <c r="C188" i="17"/>
  <c r="I186" i="17"/>
  <c r="H186" i="17"/>
  <c r="X186" i="17"/>
  <c r="W186" i="17"/>
  <c r="B188" i="17" l="1"/>
  <c r="Q188" i="17"/>
  <c r="Y188" i="17"/>
  <c r="R190" i="17"/>
  <c r="C189" i="17"/>
  <c r="W187" i="17"/>
  <c r="X187" i="17"/>
  <c r="I187" i="17"/>
  <c r="H187" i="17"/>
  <c r="J186" i="17"/>
  <c r="L186" i="17" s="1"/>
  <c r="B189" i="17" l="1"/>
  <c r="Q189" i="17"/>
  <c r="Y189" i="17"/>
  <c r="C190" i="17"/>
  <c r="R191" i="17"/>
  <c r="X188" i="17"/>
  <c r="W188" i="17"/>
  <c r="H188" i="17"/>
  <c r="I188" i="17"/>
  <c r="J187" i="17"/>
  <c r="L187" i="17" s="1"/>
  <c r="J188" i="17" l="1"/>
  <c r="L188" i="17" s="1"/>
  <c r="R192" i="17"/>
  <c r="C191" i="17"/>
  <c r="Q190" i="17"/>
  <c r="B190" i="17"/>
  <c r="Y190" i="17"/>
  <c r="W189" i="17"/>
  <c r="X189" i="17"/>
  <c r="H189" i="17"/>
  <c r="I189" i="17"/>
  <c r="X190" i="17" l="1"/>
  <c r="W190" i="17"/>
  <c r="I190" i="17"/>
  <c r="H190" i="17"/>
  <c r="Q191" i="17"/>
  <c r="B191" i="17"/>
  <c r="Y191" i="17"/>
  <c r="C192" i="17"/>
  <c r="R193" i="17"/>
  <c r="J189" i="17"/>
  <c r="L189" i="17" s="1"/>
  <c r="J190" i="17" l="1"/>
  <c r="L190" i="17" s="1"/>
  <c r="W191" i="17"/>
  <c r="X191" i="17"/>
  <c r="I191" i="17"/>
  <c r="H191" i="17"/>
  <c r="C193" i="17"/>
  <c r="R194" i="17"/>
  <c r="B192" i="17"/>
  <c r="Q192" i="17"/>
  <c r="Y192" i="17"/>
  <c r="J191" i="17" l="1"/>
  <c r="L191" i="17" s="1"/>
  <c r="X192" i="17"/>
  <c r="W192" i="17"/>
  <c r="I192" i="17"/>
  <c r="H192" i="17"/>
  <c r="R195" i="17"/>
  <c r="C194" i="17"/>
  <c r="Q193" i="17"/>
  <c r="B193" i="17"/>
  <c r="Y193" i="17"/>
  <c r="J192" i="17" l="1"/>
  <c r="L192" i="17" s="1"/>
  <c r="B194" i="17"/>
  <c r="Q194" i="17"/>
  <c r="Y194" i="17"/>
  <c r="R196" i="17"/>
  <c r="C195" i="17"/>
  <c r="W193" i="17"/>
  <c r="X193" i="17"/>
  <c r="I193" i="17"/>
  <c r="H193" i="17"/>
  <c r="Q195" i="17" l="1"/>
  <c r="B195" i="17"/>
  <c r="Y195" i="17"/>
  <c r="R197" i="17"/>
  <c r="C196" i="17"/>
  <c r="X194" i="17"/>
  <c r="W194" i="17"/>
  <c r="I194" i="17"/>
  <c r="H194" i="17"/>
  <c r="J193" i="17"/>
  <c r="L193" i="17" s="1"/>
  <c r="J194" i="17" l="1"/>
  <c r="L194" i="17" s="1"/>
  <c r="B196" i="17"/>
  <c r="Q196" i="17"/>
  <c r="Y196" i="17"/>
  <c r="R198" i="17"/>
  <c r="C197" i="17"/>
  <c r="W195" i="17"/>
  <c r="X195" i="17"/>
  <c r="I195" i="17"/>
  <c r="H195" i="17"/>
  <c r="B197" i="17" l="1"/>
  <c r="Q197" i="17"/>
  <c r="Y197" i="17"/>
  <c r="C198" i="17"/>
  <c r="R199" i="17"/>
  <c r="X196" i="17"/>
  <c r="W196" i="17"/>
  <c r="H196" i="17"/>
  <c r="I196" i="17"/>
  <c r="J195" i="17"/>
  <c r="L195" i="17" s="1"/>
  <c r="J196" i="17" l="1"/>
  <c r="L196" i="17" s="1"/>
  <c r="R200" i="17"/>
  <c r="C199" i="17"/>
  <c r="B198" i="17"/>
  <c r="Q198" i="17"/>
  <c r="Y198" i="17"/>
  <c r="W197" i="17"/>
  <c r="X197" i="17"/>
  <c r="H197" i="17"/>
  <c r="I197" i="17"/>
  <c r="J197" i="17" l="1"/>
  <c r="L197" i="17" s="1"/>
  <c r="W198" i="17"/>
  <c r="X198" i="17"/>
  <c r="H198" i="17"/>
  <c r="I198" i="17"/>
  <c r="Q199" i="17"/>
  <c r="B199" i="17"/>
  <c r="Y199" i="17"/>
  <c r="C200" i="17"/>
  <c r="R201" i="17"/>
  <c r="J198" i="17" l="1"/>
  <c r="L198" i="17" s="1"/>
  <c r="W199" i="17"/>
  <c r="X199" i="17"/>
  <c r="H199" i="17"/>
  <c r="I199" i="17"/>
  <c r="C201" i="17"/>
  <c r="R202" i="17"/>
  <c r="B200" i="17"/>
  <c r="Q200" i="17"/>
  <c r="Y200" i="17"/>
  <c r="J199" i="17" l="1"/>
  <c r="L199" i="17" s="1"/>
  <c r="R203" i="17"/>
  <c r="C202" i="17"/>
  <c r="Q201" i="17"/>
  <c r="B201" i="17"/>
  <c r="Y201" i="17"/>
  <c r="X200" i="17"/>
  <c r="W200" i="17"/>
  <c r="H200" i="17"/>
  <c r="I200" i="17"/>
  <c r="W201" i="17" l="1"/>
  <c r="X201" i="17"/>
  <c r="H201" i="17"/>
  <c r="I201" i="17"/>
  <c r="J200" i="17"/>
  <c r="L200" i="17" s="1"/>
  <c r="B202" i="17"/>
  <c r="Q202" i="17"/>
  <c r="Y202" i="17"/>
  <c r="C203" i="17"/>
  <c r="R204" i="17"/>
  <c r="J201" i="17" l="1"/>
  <c r="L201" i="17" s="1"/>
  <c r="I202" i="17"/>
  <c r="H202" i="17"/>
  <c r="R205" i="17"/>
  <c r="C204" i="17"/>
  <c r="B203" i="17"/>
  <c r="Q203" i="17"/>
  <c r="Y203" i="17"/>
  <c r="X202" i="17"/>
  <c r="W202" i="17"/>
  <c r="J202" i="17" l="1"/>
  <c r="L202" i="17" s="1"/>
  <c r="B204" i="17"/>
  <c r="Q204" i="17"/>
  <c r="Y204" i="17"/>
  <c r="R206" i="17"/>
  <c r="C205" i="17"/>
  <c r="X203" i="17"/>
  <c r="W203" i="17"/>
  <c r="I203" i="17"/>
  <c r="H203" i="17"/>
  <c r="J203" i="17" l="1"/>
  <c r="L203" i="17" s="1"/>
  <c r="Q205" i="17"/>
  <c r="B205" i="17"/>
  <c r="Y205" i="17"/>
  <c r="R207" i="17"/>
  <c r="C206" i="17"/>
  <c r="X204" i="17"/>
  <c r="W204" i="17"/>
  <c r="I204" i="17"/>
  <c r="H204" i="17"/>
  <c r="J204" i="17" l="1"/>
  <c r="L204" i="17" s="1"/>
  <c r="Q206" i="17"/>
  <c r="B206" i="17"/>
  <c r="Y206" i="17"/>
  <c r="C207" i="17"/>
  <c r="R208" i="17"/>
  <c r="X205" i="17"/>
  <c r="W205" i="17"/>
  <c r="H205" i="17"/>
  <c r="I205" i="17"/>
  <c r="J205" i="17" l="1"/>
  <c r="L205" i="17" s="1"/>
  <c r="R209" i="17"/>
  <c r="C208" i="17"/>
  <c r="Q207" i="17"/>
  <c r="B207" i="17"/>
  <c r="Y207" i="17"/>
  <c r="X206" i="17"/>
  <c r="W206" i="17"/>
  <c r="H206" i="17"/>
  <c r="I206" i="17"/>
  <c r="J206" i="17" l="1"/>
  <c r="L206" i="17" s="1"/>
  <c r="W207" i="17"/>
  <c r="X207" i="17"/>
  <c r="I207" i="17"/>
  <c r="H207" i="17"/>
  <c r="Q208" i="17"/>
  <c r="B208" i="17"/>
  <c r="Y208" i="17"/>
  <c r="C209" i="17"/>
  <c r="R210" i="17"/>
  <c r="J207" i="17" l="1"/>
  <c r="L207" i="17" s="1"/>
  <c r="X208" i="17"/>
  <c r="W208" i="17"/>
  <c r="I208" i="17"/>
  <c r="H208" i="17"/>
  <c r="C210" i="17"/>
  <c r="R211" i="17"/>
  <c r="Q209" i="17"/>
  <c r="B209" i="17"/>
  <c r="Y209" i="17"/>
  <c r="J208" i="17" l="1"/>
  <c r="L208" i="17" s="1"/>
  <c r="C211" i="17"/>
  <c r="R212" i="17"/>
  <c r="Q210" i="17"/>
  <c r="B210" i="17"/>
  <c r="Y210" i="17"/>
  <c r="W209" i="17"/>
  <c r="X209" i="17"/>
  <c r="I209" i="17"/>
  <c r="H209" i="17"/>
  <c r="J209" i="17" l="1"/>
  <c r="L209" i="17" s="1"/>
  <c r="X210" i="17"/>
  <c r="W210" i="17"/>
  <c r="H210" i="17"/>
  <c r="I210" i="17"/>
  <c r="R213" i="17"/>
  <c r="C212" i="17"/>
  <c r="Q211" i="17"/>
  <c r="B211" i="17"/>
  <c r="Y211" i="17"/>
  <c r="B212" i="17" l="1"/>
  <c r="Q212" i="17"/>
  <c r="Y212" i="17"/>
  <c r="R214" i="17"/>
  <c r="C213" i="17"/>
  <c r="J210" i="17"/>
  <c r="L210" i="17" s="1"/>
  <c r="X211" i="17"/>
  <c r="W211" i="17"/>
  <c r="H211" i="17"/>
  <c r="I211" i="17"/>
  <c r="J211" i="17" l="1"/>
  <c r="L211" i="17" s="1"/>
  <c r="B213" i="17"/>
  <c r="Q213" i="17"/>
  <c r="Y213" i="17"/>
  <c r="C214" i="17"/>
  <c r="R215" i="17"/>
  <c r="X212" i="17"/>
  <c r="W212" i="17"/>
  <c r="I212" i="17"/>
  <c r="H212" i="17"/>
  <c r="J212" i="17" l="1"/>
  <c r="L212" i="17" s="1"/>
  <c r="C215" i="17"/>
  <c r="R216" i="17"/>
  <c r="B214" i="17"/>
  <c r="Q214" i="17"/>
  <c r="Y214" i="17"/>
  <c r="W213" i="17"/>
  <c r="X213" i="17"/>
  <c r="I213" i="17"/>
  <c r="H213" i="17"/>
  <c r="J213" i="17" l="1"/>
  <c r="L213" i="17" s="1"/>
  <c r="X214" i="17"/>
  <c r="W214" i="17"/>
  <c r="I214" i="17"/>
  <c r="H214" i="17"/>
  <c r="R217" i="17"/>
  <c r="C216" i="17"/>
  <c r="B215" i="17"/>
  <c r="Q215" i="17"/>
  <c r="Y215" i="17"/>
  <c r="J214" i="17" l="1"/>
  <c r="L214" i="17" s="1"/>
  <c r="B216" i="17"/>
  <c r="Q216" i="17"/>
  <c r="Y216" i="17"/>
  <c r="R218" i="17"/>
  <c r="C217" i="17"/>
  <c r="W215" i="17"/>
  <c r="X215" i="17"/>
  <c r="I215" i="17"/>
  <c r="H215" i="17"/>
  <c r="J215" i="17" l="1"/>
  <c r="L215" i="17" s="1"/>
  <c r="B217" i="17"/>
  <c r="Q217" i="17"/>
  <c r="Y217" i="17"/>
  <c r="R219" i="17"/>
  <c r="C218" i="17"/>
  <c r="X216" i="17"/>
  <c r="W216" i="17"/>
  <c r="I216" i="17"/>
  <c r="H216" i="17"/>
  <c r="J216" i="17" l="1"/>
  <c r="L216" i="17" s="1"/>
  <c r="B218" i="17"/>
  <c r="Q218" i="17"/>
  <c r="Y218" i="17"/>
  <c r="C219" i="17"/>
  <c r="R220" i="17"/>
  <c r="X217" i="17"/>
  <c r="W217" i="17"/>
  <c r="H217" i="17"/>
  <c r="I217" i="17"/>
  <c r="J217" i="17" l="1"/>
  <c r="L217" i="17" s="1"/>
  <c r="R221" i="17"/>
  <c r="C220" i="17"/>
  <c r="B219" i="17"/>
  <c r="Q219" i="17"/>
  <c r="Y219" i="17"/>
  <c r="X218" i="17"/>
  <c r="W218" i="17"/>
  <c r="I218" i="17"/>
  <c r="H218" i="17"/>
  <c r="X219" i="17" l="1"/>
  <c r="W219" i="17"/>
  <c r="I219" i="17"/>
  <c r="H219" i="17"/>
  <c r="Q220" i="17"/>
  <c r="B220" i="17"/>
  <c r="Y220" i="17"/>
  <c r="R222" i="17"/>
  <c r="C221" i="17"/>
  <c r="J218" i="17"/>
  <c r="L218" i="17" s="1"/>
  <c r="J219" i="17" l="1"/>
  <c r="L219" i="17" s="1"/>
  <c r="B221" i="17"/>
  <c r="Q221" i="17"/>
  <c r="Y221" i="17"/>
  <c r="C222" i="17"/>
  <c r="R223" i="17"/>
  <c r="X220" i="17"/>
  <c r="W220" i="17"/>
  <c r="I220" i="17"/>
  <c r="H220" i="17"/>
  <c r="J220" i="17" l="1"/>
  <c r="L220" i="17" s="1"/>
  <c r="R224" i="17"/>
  <c r="C223" i="17"/>
  <c r="B222" i="17"/>
  <c r="Q222" i="17"/>
  <c r="Y222" i="17"/>
  <c r="X221" i="17"/>
  <c r="W221" i="17"/>
  <c r="H221" i="17"/>
  <c r="I221" i="17"/>
  <c r="J221" i="17" l="1"/>
  <c r="L221" i="17" s="1"/>
  <c r="X222" i="17"/>
  <c r="W222" i="17"/>
  <c r="H222" i="17"/>
  <c r="I222" i="17"/>
  <c r="Q223" i="17"/>
  <c r="B223" i="17"/>
  <c r="Y223" i="17"/>
  <c r="R225" i="17"/>
  <c r="C224" i="17"/>
  <c r="I223" i="17" l="1"/>
  <c r="H223" i="17"/>
  <c r="J222" i="17"/>
  <c r="L222" i="17" s="1"/>
  <c r="Q224" i="17"/>
  <c r="B224" i="17"/>
  <c r="Y224" i="17"/>
  <c r="C225" i="17"/>
  <c r="R226" i="17"/>
  <c r="W223" i="17"/>
  <c r="X223" i="17"/>
  <c r="J223" i="17" l="1"/>
  <c r="L223" i="17" s="1"/>
  <c r="H224" i="17"/>
  <c r="I224" i="17"/>
  <c r="C226" i="17"/>
  <c r="R227" i="17"/>
  <c r="Q225" i="17"/>
  <c r="B225" i="17"/>
  <c r="Y225" i="17"/>
  <c r="W224" i="17"/>
  <c r="X224" i="17"/>
  <c r="J224" i="17" l="1"/>
  <c r="L224" i="17" s="1"/>
  <c r="C227" i="17"/>
  <c r="R228" i="17"/>
  <c r="B226" i="17"/>
  <c r="Q226" i="17"/>
  <c r="Y226" i="17"/>
  <c r="H225" i="17"/>
  <c r="I225" i="17"/>
  <c r="X225" i="17"/>
  <c r="W225" i="17"/>
  <c r="J225" i="17" l="1"/>
  <c r="L225" i="17" s="1"/>
  <c r="X226" i="17"/>
  <c r="W226" i="17"/>
  <c r="H226" i="17"/>
  <c r="I226" i="17"/>
  <c r="R229" i="17"/>
  <c r="C228" i="17"/>
  <c r="Q227" i="17"/>
  <c r="B227" i="17"/>
  <c r="Y227" i="17"/>
  <c r="J226" i="17" l="1"/>
  <c r="L226" i="17" s="1"/>
  <c r="W227" i="17"/>
  <c r="X227" i="17"/>
  <c r="I227" i="17"/>
  <c r="H227" i="17"/>
  <c r="B228" i="17"/>
  <c r="Q228" i="17"/>
  <c r="Y228" i="17"/>
  <c r="R230" i="17"/>
  <c r="C229" i="17"/>
  <c r="Q229" i="17" l="1"/>
  <c r="B229" i="17"/>
  <c r="Y229" i="17"/>
  <c r="C230" i="17"/>
  <c r="R231" i="17"/>
  <c r="W228" i="17"/>
  <c r="X228" i="17"/>
  <c r="H228" i="17"/>
  <c r="I228" i="17"/>
  <c r="J227" i="17"/>
  <c r="L227" i="17" s="1"/>
  <c r="C231" i="17" l="1"/>
  <c r="R232" i="17"/>
  <c r="Q230" i="17"/>
  <c r="B230" i="17"/>
  <c r="Y230" i="17"/>
  <c r="W229" i="17"/>
  <c r="X229" i="17"/>
  <c r="H229" i="17"/>
  <c r="I229" i="17"/>
  <c r="J228" i="17"/>
  <c r="L228" i="17" s="1"/>
  <c r="J229" i="17" l="1"/>
  <c r="L229" i="17" s="1"/>
  <c r="X230" i="17"/>
  <c r="W230" i="17"/>
  <c r="H230" i="17"/>
  <c r="I230" i="17"/>
  <c r="R233" i="17"/>
  <c r="C232" i="17"/>
  <c r="Q231" i="17"/>
  <c r="B231" i="17"/>
  <c r="Y231" i="17"/>
  <c r="J230" i="17" l="1"/>
  <c r="L230" i="17" s="1"/>
  <c r="H231" i="17"/>
  <c r="I231" i="17"/>
  <c r="B232" i="17"/>
  <c r="Q232" i="17"/>
  <c r="Y232" i="17"/>
  <c r="R234" i="17"/>
  <c r="C233" i="17"/>
  <c r="W231" i="17"/>
  <c r="X231" i="17"/>
  <c r="J231" i="17" l="1"/>
  <c r="L231" i="17" s="1"/>
  <c r="Q233" i="17"/>
  <c r="B233" i="17"/>
  <c r="Y233" i="17"/>
  <c r="R235" i="17"/>
  <c r="C234" i="17"/>
  <c r="W232" i="17"/>
  <c r="X232" i="17"/>
  <c r="H232" i="17"/>
  <c r="I232" i="17"/>
  <c r="J232" i="17" l="1"/>
  <c r="L232" i="17" s="1"/>
  <c r="Q234" i="17"/>
  <c r="B234" i="17"/>
  <c r="Y234" i="17"/>
  <c r="R236" i="17"/>
  <c r="C235" i="17"/>
  <c r="X233" i="17"/>
  <c r="W233" i="17"/>
  <c r="H233" i="17"/>
  <c r="I233" i="17"/>
  <c r="J233" i="17" l="1"/>
  <c r="L233" i="17" s="1"/>
  <c r="Q235" i="17"/>
  <c r="B235" i="17"/>
  <c r="Y235" i="17"/>
  <c r="R237" i="17"/>
  <c r="C236" i="17"/>
  <c r="X234" i="17"/>
  <c r="W234" i="17"/>
  <c r="I234" i="17"/>
  <c r="H234" i="17"/>
  <c r="J234" i="17" l="1"/>
  <c r="L234" i="17" s="1"/>
  <c r="B236" i="17"/>
  <c r="Q236" i="17"/>
  <c r="Y236" i="17"/>
  <c r="C237" i="17"/>
  <c r="R238" i="17"/>
  <c r="W235" i="17"/>
  <c r="X235" i="17"/>
  <c r="I235" i="17"/>
  <c r="H235" i="17"/>
  <c r="J235" i="17" l="1"/>
  <c r="L235" i="17" s="1"/>
  <c r="R239" i="17"/>
  <c r="C238" i="17"/>
  <c r="B237" i="17"/>
  <c r="Q237" i="17"/>
  <c r="Y237" i="17"/>
  <c r="W236" i="17"/>
  <c r="X236" i="17"/>
  <c r="H236" i="17"/>
  <c r="I236" i="17"/>
  <c r="J236" i="17" l="1"/>
  <c r="L236" i="17" s="1"/>
  <c r="W237" i="17"/>
  <c r="X237" i="17"/>
  <c r="H237" i="17"/>
  <c r="I237" i="17"/>
  <c r="Q238" i="17"/>
  <c r="B238" i="17"/>
  <c r="Y238" i="17"/>
  <c r="C239" i="17"/>
  <c r="R240" i="17"/>
  <c r="I238" i="17" l="1"/>
  <c r="H238" i="17"/>
  <c r="X238" i="17"/>
  <c r="W238" i="17"/>
  <c r="J237" i="17"/>
  <c r="L237" i="17" s="1"/>
  <c r="C240" i="17"/>
  <c r="R241" i="17"/>
  <c r="Q239" i="17"/>
  <c r="B239" i="17"/>
  <c r="Y239" i="17"/>
  <c r="J238" i="17" l="1"/>
  <c r="L238" i="17" s="1"/>
  <c r="C241" i="17"/>
  <c r="R242" i="17"/>
  <c r="B240" i="17"/>
  <c r="Q240" i="17"/>
  <c r="Y240" i="17"/>
  <c r="H239" i="17"/>
  <c r="I239" i="17"/>
  <c r="W239" i="17"/>
  <c r="X239" i="17"/>
  <c r="J239" i="17" l="1"/>
  <c r="L239" i="17" s="1"/>
  <c r="X240" i="17"/>
  <c r="W240" i="17"/>
  <c r="I240" i="17"/>
  <c r="H240" i="17"/>
  <c r="C242" i="17"/>
  <c r="R243" i="17"/>
  <c r="Q241" i="17"/>
  <c r="B241" i="17"/>
  <c r="Y241" i="17"/>
  <c r="J240" i="17" l="1"/>
  <c r="L240" i="17" s="1"/>
  <c r="C243" i="17"/>
  <c r="R244" i="17"/>
  <c r="Q242" i="17"/>
  <c r="B242" i="17"/>
  <c r="Y242" i="17"/>
  <c r="X241" i="17"/>
  <c r="W241" i="17"/>
  <c r="H241" i="17"/>
  <c r="I241" i="17"/>
  <c r="J241" i="17" l="1"/>
  <c r="L241" i="17" s="1"/>
  <c r="X242" i="17"/>
  <c r="W242" i="17"/>
  <c r="H242" i="17"/>
  <c r="I242" i="17"/>
  <c r="R245" i="17"/>
  <c r="C244" i="17"/>
  <c r="Q243" i="17"/>
  <c r="B243" i="17"/>
  <c r="Y243" i="17"/>
  <c r="J242" i="17" l="1"/>
  <c r="L242" i="17" s="1"/>
  <c r="R246" i="17"/>
  <c r="C245" i="17"/>
  <c r="W243" i="17"/>
  <c r="X243" i="17"/>
  <c r="H243" i="17"/>
  <c r="I243" i="17"/>
  <c r="B244" i="17"/>
  <c r="Q244" i="17"/>
  <c r="Y244" i="17"/>
  <c r="J243" i="17" l="1"/>
  <c r="L243" i="17" s="1"/>
  <c r="W244" i="17"/>
  <c r="X244" i="17"/>
  <c r="I244" i="17"/>
  <c r="H244" i="17"/>
  <c r="B245" i="17"/>
  <c r="Q245" i="17"/>
  <c r="Y245" i="17"/>
  <c r="R247" i="17"/>
  <c r="C246" i="17"/>
  <c r="J244" i="17" l="1"/>
  <c r="L244" i="17" s="1"/>
  <c r="Q246" i="17"/>
  <c r="B246" i="17"/>
  <c r="Y246" i="17"/>
  <c r="C247" i="17"/>
  <c r="R248" i="17"/>
  <c r="X245" i="17"/>
  <c r="W245" i="17"/>
  <c r="H245" i="17"/>
  <c r="I245" i="17"/>
  <c r="J245" i="17" l="1"/>
  <c r="L245" i="17" s="1"/>
  <c r="C248" i="17"/>
  <c r="R249" i="17"/>
  <c r="Q247" i="17"/>
  <c r="B247" i="17"/>
  <c r="Y247" i="17"/>
  <c r="X246" i="17"/>
  <c r="W246" i="17"/>
  <c r="I246" i="17"/>
  <c r="H246" i="17"/>
  <c r="J246" i="17" l="1"/>
  <c r="L246" i="17" s="1"/>
  <c r="W247" i="17"/>
  <c r="X247" i="17"/>
  <c r="I247" i="17"/>
  <c r="H247" i="17"/>
  <c r="R250" i="17"/>
  <c r="C249" i="17"/>
  <c r="B248" i="17"/>
  <c r="Q248" i="17"/>
  <c r="Y248" i="17"/>
  <c r="J247" i="17" l="1"/>
  <c r="L247" i="17" s="1"/>
  <c r="Q249" i="17"/>
  <c r="B249" i="17"/>
  <c r="Y249" i="17"/>
  <c r="R251" i="17"/>
  <c r="C250" i="17"/>
  <c r="X248" i="17"/>
  <c r="W248" i="17"/>
  <c r="I248" i="17"/>
  <c r="H248" i="17"/>
  <c r="B250" i="17" l="1"/>
  <c r="Q250" i="17"/>
  <c r="Y250" i="17"/>
  <c r="C251" i="17"/>
  <c r="R252" i="17"/>
  <c r="W249" i="17"/>
  <c r="X249" i="17"/>
  <c r="J248" i="17"/>
  <c r="L248" i="17" s="1"/>
  <c r="I249" i="17"/>
  <c r="H249" i="17"/>
  <c r="J249" i="17" l="1"/>
  <c r="L249" i="17" s="1"/>
  <c r="C252" i="17"/>
  <c r="R253" i="17"/>
  <c r="Q251" i="17"/>
  <c r="B251" i="17"/>
  <c r="Y251" i="17"/>
  <c r="X250" i="17"/>
  <c r="W250" i="17"/>
  <c r="I250" i="17"/>
  <c r="H250" i="17"/>
  <c r="J250" i="17" l="1"/>
  <c r="L250" i="17" s="1"/>
  <c r="W251" i="17"/>
  <c r="X251" i="17"/>
  <c r="I251" i="17"/>
  <c r="H251" i="17"/>
  <c r="C253" i="17"/>
  <c r="R254" i="17"/>
  <c r="B252" i="17"/>
  <c r="Q252" i="17"/>
  <c r="Y252" i="17"/>
  <c r="J251" i="17" l="1"/>
  <c r="L251" i="17" s="1"/>
  <c r="R255" i="17"/>
  <c r="C254" i="17"/>
  <c r="B253" i="17"/>
  <c r="Q253" i="17"/>
  <c r="Y253" i="17"/>
  <c r="W252" i="17"/>
  <c r="X252" i="17"/>
  <c r="I252" i="17"/>
  <c r="H252" i="17"/>
  <c r="J252" i="17" l="1"/>
  <c r="L252" i="17" s="1"/>
  <c r="W253" i="17"/>
  <c r="X253" i="17"/>
  <c r="I253" i="17"/>
  <c r="H253" i="17"/>
  <c r="B254" i="17"/>
  <c r="Q254" i="17"/>
  <c r="Y254" i="17"/>
  <c r="C255" i="17"/>
  <c r="R256" i="17"/>
  <c r="J253" i="17" l="1"/>
  <c r="L253" i="17" s="1"/>
  <c r="I254" i="17"/>
  <c r="H254" i="17"/>
  <c r="C256" i="17"/>
  <c r="R257" i="17"/>
  <c r="Q255" i="17"/>
  <c r="B255" i="17"/>
  <c r="Y255" i="17"/>
  <c r="X254" i="17"/>
  <c r="W254" i="17"/>
  <c r="J254" i="17" l="1"/>
  <c r="L254" i="17" s="1"/>
  <c r="H255" i="17"/>
  <c r="I255" i="17"/>
  <c r="C257" i="17"/>
  <c r="R258" i="17"/>
  <c r="B256" i="17"/>
  <c r="Q256" i="17"/>
  <c r="Y256" i="17"/>
  <c r="W255" i="17"/>
  <c r="X255" i="17"/>
  <c r="J255" i="17" l="1"/>
  <c r="L255" i="17" s="1"/>
  <c r="W256" i="17"/>
  <c r="X256" i="17"/>
  <c r="H256" i="17"/>
  <c r="I256" i="17"/>
  <c r="R259" i="17"/>
  <c r="C258" i="17"/>
  <c r="B257" i="17"/>
  <c r="Q257" i="17"/>
  <c r="Y257" i="17"/>
  <c r="I257" i="17" l="1"/>
  <c r="H257" i="17"/>
  <c r="W257" i="17"/>
  <c r="X257" i="17"/>
  <c r="Q258" i="17"/>
  <c r="B258" i="17"/>
  <c r="Y258" i="17"/>
  <c r="R260" i="17"/>
  <c r="C259" i="17"/>
  <c r="J256" i="17"/>
  <c r="L256" i="17" s="1"/>
  <c r="J257" i="17" l="1"/>
  <c r="L257" i="17" s="1"/>
  <c r="X258" i="17"/>
  <c r="W258" i="17"/>
  <c r="I258" i="17"/>
  <c r="H258" i="17"/>
  <c r="Q259" i="17"/>
  <c r="B259" i="17"/>
  <c r="Y259" i="17"/>
  <c r="C260" i="17"/>
  <c r="R261" i="17"/>
  <c r="J258" i="17" l="1"/>
  <c r="L258" i="17" s="1"/>
  <c r="I259" i="17"/>
  <c r="H259" i="17"/>
  <c r="B260" i="17"/>
  <c r="Q260" i="17"/>
  <c r="Y260" i="17"/>
  <c r="W259" i="17"/>
  <c r="X259" i="17"/>
  <c r="R262" i="17"/>
  <c r="C261" i="17"/>
  <c r="J259" i="17" l="1"/>
  <c r="L259" i="17" s="1"/>
  <c r="X260" i="17"/>
  <c r="W260" i="17"/>
  <c r="H260" i="17"/>
  <c r="I260" i="17"/>
  <c r="B261" i="17"/>
  <c r="Q261" i="17"/>
  <c r="Y261" i="17"/>
  <c r="R263" i="17"/>
  <c r="C262" i="17"/>
  <c r="J260" i="17" l="1"/>
  <c r="L260" i="17" s="1"/>
  <c r="X261" i="17"/>
  <c r="W261" i="17"/>
  <c r="I261" i="17"/>
  <c r="H261" i="17"/>
  <c r="C263" i="17"/>
  <c r="R264" i="17"/>
  <c r="Q262" i="17"/>
  <c r="B262" i="17"/>
  <c r="Y262" i="17"/>
  <c r="J261" i="17" l="1"/>
  <c r="L261" i="17" s="1"/>
  <c r="C264" i="17"/>
  <c r="R265" i="17"/>
  <c r="Q263" i="17"/>
  <c r="B263" i="17"/>
  <c r="Y263" i="17"/>
  <c r="W262" i="17"/>
  <c r="X262" i="17"/>
  <c r="I262" i="17"/>
  <c r="H262" i="17"/>
  <c r="J262" i="17" l="1"/>
  <c r="L262" i="17" s="1"/>
  <c r="W263" i="17"/>
  <c r="X263" i="17"/>
  <c r="H263" i="17"/>
  <c r="I263" i="17"/>
  <c r="R266" i="17"/>
  <c r="C265" i="17"/>
  <c r="B264" i="17"/>
  <c r="Q264" i="17"/>
  <c r="Y264" i="17"/>
  <c r="R267" i="17" l="1"/>
  <c r="C266" i="17"/>
  <c r="B265" i="17"/>
  <c r="Q265" i="17"/>
  <c r="Y265" i="17"/>
  <c r="J263" i="17"/>
  <c r="L263" i="17" s="1"/>
  <c r="W264" i="17"/>
  <c r="X264" i="17"/>
  <c r="H264" i="17"/>
  <c r="I264" i="17"/>
  <c r="X265" i="17" l="1"/>
  <c r="W265" i="17"/>
  <c r="H265" i="17"/>
  <c r="I265" i="17"/>
  <c r="J264" i="17"/>
  <c r="L264" i="17" s="1"/>
  <c r="Q266" i="17"/>
  <c r="B266" i="17"/>
  <c r="Y266" i="17"/>
  <c r="R268" i="17"/>
  <c r="C267" i="17"/>
  <c r="J265" i="17" l="1"/>
  <c r="L265" i="17" s="1"/>
  <c r="B267" i="17"/>
  <c r="Q267" i="17"/>
  <c r="Y267" i="17"/>
  <c r="R269" i="17"/>
  <c r="C268" i="17"/>
  <c r="W266" i="17"/>
  <c r="X266" i="17"/>
  <c r="I266" i="17"/>
  <c r="H266" i="17"/>
  <c r="J266" i="17" l="1"/>
  <c r="L266" i="17" s="1"/>
  <c r="W267" i="17"/>
  <c r="X267" i="17"/>
  <c r="I267" i="17"/>
  <c r="H267" i="17"/>
  <c r="C269" i="17"/>
  <c r="R270" i="17"/>
  <c r="Q268" i="17"/>
  <c r="B268" i="17"/>
  <c r="Y268" i="17"/>
  <c r="J267" i="17" l="1"/>
  <c r="L267" i="17" s="1"/>
  <c r="C270" i="17"/>
  <c r="R271" i="17"/>
  <c r="Q269" i="17"/>
  <c r="B269" i="17"/>
  <c r="Y269" i="17"/>
  <c r="W268" i="17"/>
  <c r="X268" i="17"/>
  <c r="H268" i="17"/>
  <c r="I268" i="17"/>
  <c r="J268" i="17" l="1"/>
  <c r="L268" i="17" s="1"/>
  <c r="W269" i="17"/>
  <c r="X269" i="17"/>
  <c r="H269" i="17"/>
  <c r="I269" i="17"/>
  <c r="R272" i="17"/>
  <c r="C271" i="17"/>
  <c r="Q270" i="17"/>
  <c r="B270" i="17"/>
  <c r="Y270" i="17"/>
  <c r="J269" i="17" l="1"/>
  <c r="L269" i="17" s="1"/>
  <c r="R273" i="17"/>
  <c r="C272" i="17"/>
  <c r="B271" i="17"/>
  <c r="Q271" i="17"/>
  <c r="Y271" i="17"/>
  <c r="W270" i="17"/>
  <c r="X270" i="17"/>
  <c r="I270" i="17"/>
  <c r="H270" i="17"/>
  <c r="J270" i="17" l="1"/>
  <c r="L270" i="17" s="1"/>
  <c r="X271" i="17"/>
  <c r="W271" i="17"/>
  <c r="H271" i="17"/>
  <c r="I271" i="17"/>
  <c r="B272" i="17"/>
  <c r="Q272" i="17"/>
  <c r="Y272" i="17"/>
  <c r="C273" i="17"/>
  <c r="R274" i="17"/>
  <c r="J271" i="17" l="1"/>
  <c r="L271" i="17" s="1"/>
  <c r="C274" i="17"/>
  <c r="R275" i="17"/>
  <c r="Q273" i="17"/>
  <c r="B273" i="17"/>
  <c r="Y273" i="17"/>
  <c r="W272" i="17"/>
  <c r="X272" i="17"/>
  <c r="I272" i="17"/>
  <c r="H272" i="17"/>
  <c r="J272" i="17" l="1"/>
  <c r="L272" i="17" s="1"/>
  <c r="X273" i="17"/>
  <c r="W273" i="17"/>
  <c r="H273" i="17"/>
  <c r="I273" i="17"/>
  <c r="R276" i="17"/>
  <c r="C275" i="17"/>
  <c r="B274" i="17"/>
  <c r="Q274" i="17"/>
  <c r="Y274" i="17"/>
  <c r="J273" i="17" l="1"/>
  <c r="L273" i="17" s="1"/>
  <c r="I274" i="17"/>
  <c r="H274" i="17"/>
  <c r="B275" i="17"/>
  <c r="Q275" i="17"/>
  <c r="Y275" i="17"/>
  <c r="R277" i="17"/>
  <c r="C276" i="17"/>
  <c r="W274" i="17"/>
  <c r="X274" i="17"/>
  <c r="J274" i="17" l="1"/>
  <c r="L274" i="17" s="1"/>
  <c r="B276" i="17"/>
  <c r="Q276" i="17"/>
  <c r="Y276" i="17"/>
  <c r="C277" i="17"/>
  <c r="R278" i="17"/>
  <c r="X275" i="17"/>
  <c r="W275" i="17"/>
  <c r="H275" i="17"/>
  <c r="I275" i="17"/>
  <c r="J275" i="17" l="1"/>
  <c r="L275" i="17" s="1"/>
  <c r="R279" i="17"/>
  <c r="C278" i="17"/>
  <c r="Q277" i="17"/>
  <c r="B277" i="17"/>
  <c r="Y277" i="17"/>
  <c r="W276" i="17"/>
  <c r="X276" i="17"/>
  <c r="I276" i="17"/>
  <c r="H276" i="17"/>
  <c r="J276" i="17" l="1"/>
  <c r="L276" i="17" s="1"/>
  <c r="X277" i="17"/>
  <c r="W277" i="17"/>
  <c r="I277" i="17"/>
  <c r="H277" i="17"/>
  <c r="B278" i="17"/>
  <c r="Q278" i="17"/>
  <c r="Y278" i="17"/>
  <c r="R280" i="17"/>
  <c r="C279" i="17"/>
  <c r="J277" i="17" l="1"/>
  <c r="L277" i="17" s="1"/>
  <c r="I278" i="17"/>
  <c r="H278" i="17"/>
  <c r="R281" i="17"/>
  <c r="C280" i="17"/>
  <c r="B279" i="17"/>
  <c r="Q279" i="17"/>
  <c r="Y279" i="17"/>
  <c r="W278" i="17"/>
  <c r="X278" i="17"/>
  <c r="J278" i="17" l="1"/>
  <c r="L278" i="17" s="1"/>
  <c r="Q280" i="17"/>
  <c r="B280" i="17"/>
  <c r="Y280" i="17"/>
  <c r="C281" i="17"/>
  <c r="R282" i="17"/>
  <c r="X279" i="17"/>
  <c r="W279" i="17"/>
  <c r="H279" i="17"/>
  <c r="I279" i="17"/>
  <c r="R283" i="17" l="1"/>
  <c r="C282" i="17"/>
  <c r="Q281" i="17"/>
  <c r="B281" i="17"/>
  <c r="Y281" i="17"/>
  <c r="X280" i="17"/>
  <c r="W280" i="17"/>
  <c r="I280" i="17"/>
  <c r="H280" i="17"/>
  <c r="J279" i="17"/>
  <c r="L279" i="17" s="1"/>
  <c r="X281" i="17" l="1"/>
  <c r="W281" i="17"/>
  <c r="I281" i="17"/>
  <c r="H281" i="17"/>
  <c r="Q282" i="17"/>
  <c r="B282" i="17"/>
  <c r="Y282" i="17"/>
  <c r="R284" i="17"/>
  <c r="C283" i="17"/>
  <c r="J280" i="17"/>
  <c r="L280" i="17" s="1"/>
  <c r="J281" i="17" l="1"/>
  <c r="L281" i="17" s="1"/>
  <c r="I282" i="17"/>
  <c r="H282" i="17"/>
  <c r="W282" i="17"/>
  <c r="X282" i="17"/>
  <c r="B283" i="17"/>
  <c r="Q283" i="17"/>
  <c r="Y283" i="17"/>
  <c r="R285" i="17"/>
  <c r="C284" i="17"/>
  <c r="J282" i="17" l="1"/>
  <c r="L282" i="17" s="1"/>
  <c r="B284" i="17"/>
  <c r="Q284" i="17"/>
  <c r="Y284" i="17"/>
  <c r="W283" i="17"/>
  <c r="X283" i="17"/>
  <c r="H283" i="17"/>
  <c r="I283" i="17"/>
  <c r="R286" i="17"/>
  <c r="C285" i="17"/>
  <c r="W284" i="17" l="1"/>
  <c r="X284" i="17"/>
  <c r="H284" i="17"/>
  <c r="I284" i="17"/>
  <c r="Q285" i="17"/>
  <c r="B285" i="17"/>
  <c r="Y285" i="17"/>
  <c r="R287" i="17"/>
  <c r="C286" i="17"/>
  <c r="J283" i="17"/>
  <c r="L283" i="17" s="1"/>
  <c r="J284" i="17" l="1"/>
  <c r="L284" i="17" s="1"/>
  <c r="I285" i="17"/>
  <c r="H285" i="17"/>
  <c r="Q286" i="17"/>
  <c r="B286" i="17"/>
  <c r="Y286" i="17"/>
  <c r="C287" i="17"/>
  <c r="R288" i="17"/>
  <c r="W285" i="17"/>
  <c r="X285" i="17"/>
  <c r="J285" i="17" l="1"/>
  <c r="L285" i="17" s="1"/>
  <c r="I286" i="17"/>
  <c r="H286" i="17"/>
  <c r="C288" i="17"/>
  <c r="R289" i="17"/>
  <c r="B287" i="17"/>
  <c r="Q287" i="17"/>
  <c r="Y287" i="17"/>
  <c r="W286" i="17"/>
  <c r="X286" i="17"/>
  <c r="J286" i="17" l="1"/>
  <c r="L286" i="17" s="1"/>
  <c r="R290" i="17"/>
  <c r="C289" i="17"/>
  <c r="Q288" i="17"/>
  <c r="B288" i="17"/>
  <c r="Y288" i="17"/>
  <c r="X287" i="17"/>
  <c r="W287" i="17"/>
  <c r="I287" i="17"/>
  <c r="H287" i="17"/>
  <c r="X288" i="17" l="1"/>
  <c r="W288" i="17"/>
  <c r="J287" i="17"/>
  <c r="L287" i="17" s="1"/>
  <c r="H288" i="17"/>
  <c r="I288" i="17"/>
  <c r="B289" i="17"/>
  <c r="Q289" i="17"/>
  <c r="Y289" i="17"/>
  <c r="C290" i="17"/>
  <c r="R291" i="17"/>
  <c r="J288" i="17" l="1"/>
  <c r="L288" i="17" s="1"/>
  <c r="Q290" i="17"/>
  <c r="B290" i="17"/>
  <c r="Y290" i="17"/>
  <c r="R292" i="17"/>
  <c r="C291" i="17"/>
  <c r="I289" i="17"/>
  <c r="H289" i="17"/>
  <c r="X289" i="17"/>
  <c r="W289" i="17"/>
  <c r="J289" i="17" l="1"/>
  <c r="L289" i="17" s="1"/>
  <c r="B291" i="17"/>
  <c r="Q291" i="17"/>
  <c r="Y291" i="17"/>
  <c r="C292" i="17"/>
  <c r="R293" i="17"/>
  <c r="W290" i="17"/>
  <c r="X290" i="17"/>
  <c r="H290" i="17"/>
  <c r="I290" i="17"/>
  <c r="J290" i="17" l="1"/>
  <c r="L290" i="17" s="1"/>
  <c r="R294" i="17"/>
  <c r="C293" i="17"/>
  <c r="B292" i="17"/>
  <c r="Q292" i="17"/>
  <c r="Y292" i="17"/>
  <c r="X291" i="17"/>
  <c r="W291" i="17"/>
  <c r="H291" i="17"/>
  <c r="I291" i="17"/>
  <c r="J291" i="17" l="1"/>
  <c r="L291" i="17" s="1"/>
  <c r="W292" i="17"/>
  <c r="X292" i="17"/>
  <c r="H292" i="17"/>
  <c r="I292" i="17"/>
  <c r="Q293" i="17"/>
  <c r="B293" i="17"/>
  <c r="Y293" i="17"/>
  <c r="R295" i="17"/>
  <c r="C294" i="17"/>
  <c r="I293" i="17" l="1"/>
  <c r="H293" i="17"/>
  <c r="J292" i="17"/>
  <c r="L292" i="17" s="1"/>
  <c r="B294" i="17"/>
  <c r="Q294" i="17"/>
  <c r="Y294" i="17"/>
  <c r="C295" i="17"/>
  <c r="R296" i="17"/>
  <c r="W293" i="17"/>
  <c r="X293" i="17"/>
  <c r="J293" i="17" l="1"/>
  <c r="L293" i="17" s="1"/>
  <c r="W294" i="17"/>
  <c r="X294" i="17"/>
  <c r="H294" i="17"/>
  <c r="I294" i="17"/>
  <c r="R297" i="17"/>
  <c r="C296" i="17"/>
  <c r="B295" i="17"/>
  <c r="Q295" i="17"/>
  <c r="Y295" i="17"/>
  <c r="J294" i="17" l="1"/>
  <c r="L294" i="17" s="1"/>
  <c r="Q296" i="17"/>
  <c r="B296" i="17"/>
  <c r="Y296" i="17"/>
  <c r="R298" i="17"/>
  <c r="C297" i="17"/>
  <c r="X295" i="17"/>
  <c r="W295" i="17"/>
  <c r="H295" i="17"/>
  <c r="I295" i="17"/>
  <c r="Q297" i="17" l="1"/>
  <c r="B297" i="17"/>
  <c r="Y297" i="17"/>
  <c r="R299" i="17"/>
  <c r="C298" i="17"/>
  <c r="W296" i="17"/>
  <c r="X296" i="17"/>
  <c r="I296" i="17"/>
  <c r="H296" i="17"/>
  <c r="J295" i="17"/>
  <c r="L295" i="17" s="1"/>
  <c r="J296" i="17" l="1"/>
  <c r="L296" i="17" s="1"/>
  <c r="B298" i="17"/>
  <c r="Q298" i="17"/>
  <c r="Y298" i="17"/>
  <c r="C299" i="17"/>
  <c r="R300" i="17"/>
  <c r="W297" i="17"/>
  <c r="X297" i="17"/>
  <c r="I297" i="17"/>
  <c r="H297" i="17"/>
  <c r="J297" i="17" l="1"/>
  <c r="L297" i="17" s="1"/>
  <c r="C300" i="17"/>
  <c r="R301" i="17"/>
  <c r="B299" i="17"/>
  <c r="Q299" i="17"/>
  <c r="Y299" i="17"/>
  <c r="W298" i="17"/>
  <c r="X298" i="17"/>
  <c r="H298" i="17"/>
  <c r="I298" i="17"/>
  <c r="J298" i="17" l="1"/>
  <c r="L298" i="17" s="1"/>
  <c r="W299" i="17"/>
  <c r="X299" i="17"/>
  <c r="I299" i="17"/>
  <c r="H299" i="17"/>
  <c r="R302" i="17"/>
  <c r="C301" i="17"/>
  <c r="Q300" i="17"/>
  <c r="B300" i="17"/>
  <c r="Y300" i="17"/>
  <c r="J299" i="17" l="1"/>
  <c r="L299" i="17" s="1"/>
  <c r="Q301" i="17"/>
  <c r="B301" i="17"/>
  <c r="Y301" i="17"/>
  <c r="R303" i="17"/>
  <c r="C302" i="17"/>
  <c r="W300" i="17"/>
  <c r="X300" i="17"/>
  <c r="I300" i="17"/>
  <c r="H300" i="17"/>
  <c r="J300" i="17" l="1"/>
  <c r="L300" i="17" s="1"/>
  <c r="B302" i="17"/>
  <c r="Q302" i="17"/>
  <c r="Y302" i="17"/>
  <c r="C303" i="17"/>
  <c r="R304" i="17"/>
  <c r="I301" i="17"/>
  <c r="H301" i="17"/>
  <c r="W301" i="17"/>
  <c r="X301" i="17"/>
  <c r="B303" i="17" l="1"/>
  <c r="Q303" i="17"/>
  <c r="Y303" i="17"/>
  <c r="W302" i="17"/>
  <c r="X302" i="17"/>
  <c r="I302" i="17"/>
  <c r="H302" i="17"/>
  <c r="J301" i="17"/>
  <c r="L301" i="17" s="1"/>
  <c r="C304" i="17"/>
  <c r="R305" i="17"/>
  <c r="R306" i="17" l="1"/>
  <c r="C305" i="17"/>
  <c r="Q304" i="17"/>
  <c r="B304" i="17"/>
  <c r="Y304" i="17"/>
  <c r="X303" i="17"/>
  <c r="W303" i="17"/>
  <c r="I303" i="17"/>
  <c r="H303" i="17"/>
  <c r="J302" i="17"/>
  <c r="L302" i="17" s="1"/>
  <c r="J303" i="17" l="1"/>
  <c r="L303" i="17" s="1"/>
  <c r="I304" i="17"/>
  <c r="H304" i="17"/>
  <c r="W304" i="17"/>
  <c r="X304" i="17"/>
  <c r="Q305" i="17"/>
  <c r="B305" i="17"/>
  <c r="Y305" i="17"/>
  <c r="R307" i="17"/>
  <c r="C306" i="17"/>
  <c r="J304" i="17" l="1"/>
  <c r="L304" i="17" s="1"/>
  <c r="B306" i="17"/>
  <c r="Q306" i="17"/>
  <c r="Y306" i="17"/>
  <c r="C307" i="17"/>
  <c r="R308" i="17"/>
  <c r="I305" i="17"/>
  <c r="H305" i="17"/>
  <c r="X305" i="17"/>
  <c r="W305" i="17"/>
  <c r="C308" i="17" l="1"/>
  <c r="R309" i="17"/>
  <c r="B307" i="17"/>
  <c r="Q307" i="17"/>
  <c r="Y307" i="17"/>
  <c r="W306" i="17"/>
  <c r="X306" i="17"/>
  <c r="H306" i="17"/>
  <c r="I306" i="17"/>
  <c r="J305" i="17"/>
  <c r="L305" i="17" s="1"/>
  <c r="X307" i="17" l="1"/>
  <c r="W307" i="17"/>
  <c r="I307" i="17"/>
  <c r="H307" i="17"/>
  <c r="R310" i="17"/>
  <c r="C309" i="17"/>
  <c r="B308" i="17"/>
  <c r="Q308" i="17"/>
  <c r="Y308" i="17"/>
  <c r="J306" i="17"/>
  <c r="L306" i="17" s="1"/>
  <c r="J307" i="17" l="1"/>
  <c r="L307" i="17" s="1"/>
  <c r="Q309" i="17"/>
  <c r="B309" i="17"/>
  <c r="Y309" i="17"/>
  <c r="R311" i="17"/>
  <c r="C310" i="17"/>
  <c r="I308" i="17"/>
  <c r="H308" i="17"/>
  <c r="W308" i="17"/>
  <c r="X308" i="17"/>
  <c r="J308" i="17" l="1"/>
  <c r="L308" i="17" s="1"/>
  <c r="B310" i="17"/>
  <c r="Q310" i="17"/>
  <c r="Y310" i="17"/>
  <c r="C311" i="17"/>
  <c r="R312" i="17"/>
  <c r="X309" i="17"/>
  <c r="W309" i="17"/>
  <c r="I309" i="17"/>
  <c r="H309" i="17"/>
  <c r="J309" i="17" l="1"/>
  <c r="L309" i="17" s="1"/>
  <c r="C312" i="17"/>
  <c r="R313" i="17"/>
  <c r="B311" i="17"/>
  <c r="Q311" i="17"/>
  <c r="Y311" i="17"/>
  <c r="W310" i="17"/>
  <c r="X310" i="17"/>
  <c r="H310" i="17"/>
  <c r="I310" i="17"/>
  <c r="J310" i="17" l="1"/>
  <c r="L310" i="17" s="1"/>
  <c r="W311" i="17"/>
  <c r="X311" i="17"/>
  <c r="I311" i="17"/>
  <c r="H311" i="17"/>
  <c r="R314" i="17"/>
  <c r="C313" i="17"/>
  <c r="B312" i="17"/>
  <c r="Q312" i="17"/>
  <c r="Y312" i="17"/>
  <c r="J311" i="17" l="1"/>
  <c r="L311" i="17" s="1"/>
  <c r="R315" i="17"/>
  <c r="C314" i="17"/>
  <c r="Q313" i="17"/>
  <c r="B313" i="17"/>
  <c r="Y313" i="17"/>
  <c r="W312" i="17"/>
  <c r="X312" i="17"/>
  <c r="I312" i="17"/>
  <c r="H312" i="17"/>
  <c r="J312" i="17" l="1"/>
  <c r="L312" i="17" s="1"/>
  <c r="W313" i="17"/>
  <c r="X313" i="17"/>
  <c r="I313" i="17"/>
  <c r="H313" i="17"/>
  <c r="B314" i="17"/>
  <c r="Q314" i="17"/>
  <c r="Y314" i="17"/>
  <c r="C315" i="17"/>
  <c r="R316" i="17"/>
  <c r="J313" i="17" l="1"/>
  <c r="L313" i="17" s="1"/>
  <c r="I314" i="17"/>
  <c r="H314" i="17"/>
  <c r="C316" i="17"/>
  <c r="R317" i="17"/>
  <c r="B315" i="17"/>
  <c r="Q315" i="17"/>
  <c r="Y315" i="17"/>
  <c r="W314" i="17"/>
  <c r="X314" i="17"/>
  <c r="J314" i="17" l="1"/>
  <c r="L314" i="17" s="1"/>
  <c r="R318" i="17"/>
  <c r="C317" i="17"/>
  <c r="Q316" i="17"/>
  <c r="B316" i="17"/>
  <c r="Y316" i="17"/>
  <c r="X315" i="17"/>
  <c r="W315" i="17"/>
  <c r="I315" i="17"/>
  <c r="H315" i="17"/>
  <c r="J315" i="17" l="1"/>
  <c r="L315" i="17" s="1"/>
  <c r="W316" i="17"/>
  <c r="X316" i="17"/>
  <c r="I316" i="17"/>
  <c r="H316" i="17"/>
  <c r="Q317" i="17"/>
  <c r="B317" i="17"/>
  <c r="Y317" i="17"/>
  <c r="R319" i="17"/>
  <c r="C318" i="17"/>
  <c r="J316" i="17" l="1"/>
  <c r="L316" i="17" s="1"/>
  <c r="B318" i="17"/>
  <c r="Q318" i="17"/>
  <c r="Y318" i="17"/>
  <c r="X317" i="17"/>
  <c r="W317" i="17"/>
  <c r="I317" i="17"/>
  <c r="H317" i="17"/>
  <c r="C319" i="17"/>
  <c r="R320" i="17"/>
  <c r="W318" i="17" l="1"/>
  <c r="X318" i="17"/>
  <c r="I318" i="17"/>
  <c r="H318" i="17"/>
  <c r="C320" i="17"/>
  <c r="R321" i="17"/>
  <c r="B319" i="17"/>
  <c r="Q319" i="17"/>
  <c r="Y319" i="17"/>
  <c r="J317" i="17"/>
  <c r="L317" i="17" s="1"/>
  <c r="J318" i="17" l="1"/>
  <c r="L318" i="17" s="1"/>
  <c r="R322" i="17"/>
  <c r="C321" i="17"/>
  <c r="Q320" i="17"/>
  <c r="B320" i="17"/>
  <c r="Y320" i="17"/>
  <c r="X319" i="17"/>
  <c r="W319" i="17"/>
  <c r="I319" i="17"/>
  <c r="H319" i="17"/>
  <c r="J319" i="17" l="1"/>
  <c r="L319" i="17" s="1"/>
  <c r="W320" i="17"/>
  <c r="X320" i="17"/>
  <c r="I320" i="17"/>
  <c r="H320" i="17"/>
  <c r="Q321" i="17"/>
  <c r="B321" i="17"/>
  <c r="Y321" i="17"/>
  <c r="R323" i="17"/>
  <c r="C322" i="17"/>
  <c r="J320" i="17" l="1"/>
  <c r="L320" i="17" s="1"/>
  <c r="B322" i="17"/>
  <c r="Q322" i="17"/>
  <c r="Y322" i="17"/>
  <c r="C323" i="17"/>
  <c r="R324" i="17"/>
  <c r="X321" i="17"/>
  <c r="W321" i="17"/>
  <c r="I321" i="17"/>
  <c r="H321" i="17"/>
  <c r="J321" i="17" l="1"/>
  <c r="L321" i="17" s="1"/>
  <c r="C324" i="17"/>
  <c r="R325" i="17"/>
  <c r="B323" i="17"/>
  <c r="Q323" i="17"/>
  <c r="Y323" i="17"/>
  <c r="W322" i="17"/>
  <c r="X322" i="17"/>
  <c r="I322" i="17"/>
  <c r="H322" i="17"/>
  <c r="J322" i="17" l="1"/>
  <c r="L322" i="17" s="1"/>
  <c r="W323" i="17"/>
  <c r="X323" i="17"/>
  <c r="I323" i="17"/>
  <c r="H323" i="17"/>
  <c r="R326" i="17"/>
  <c r="C325" i="17"/>
  <c r="B324" i="17"/>
  <c r="Q324" i="17"/>
  <c r="Y324" i="17"/>
  <c r="J323" i="17" l="1"/>
  <c r="L323" i="17" s="1"/>
  <c r="Q325" i="17"/>
  <c r="B325" i="17"/>
  <c r="Y325" i="17"/>
  <c r="R327" i="17"/>
  <c r="C326" i="17"/>
  <c r="W324" i="17"/>
  <c r="X324" i="17"/>
  <c r="I324" i="17"/>
  <c r="H324" i="17"/>
  <c r="B326" i="17" l="1"/>
  <c r="Q326" i="17"/>
  <c r="Y326" i="17"/>
  <c r="C327" i="17"/>
  <c r="R328" i="17"/>
  <c r="X325" i="17"/>
  <c r="W325" i="17"/>
  <c r="J324" i="17"/>
  <c r="L324" i="17" s="1"/>
  <c r="I325" i="17"/>
  <c r="H325" i="17"/>
  <c r="J325" i="17" l="1"/>
  <c r="L325" i="17" s="1"/>
  <c r="C328" i="17"/>
  <c r="R329" i="17"/>
  <c r="B327" i="17"/>
  <c r="Q327" i="17"/>
  <c r="Y327" i="17"/>
  <c r="W326" i="17"/>
  <c r="X326" i="17"/>
  <c r="H326" i="17"/>
  <c r="I326" i="17"/>
  <c r="J326" i="17" l="1"/>
  <c r="L326" i="17" s="1"/>
  <c r="X327" i="17"/>
  <c r="W327" i="17"/>
  <c r="I327" i="17"/>
  <c r="H327" i="17"/>
  <c r="R330" i="17"/>
  <c r="C330" i="17" s="1"/>
  <c r="C329" i="17"/>
  <c r="Q328" i="17"/>
  <c r="B328" i="17"/>
  <c r="Y328" i="17"/>
  <c r="J327" i="17" l="1"/>
  <c r="L327" i="17" s="1"/>
  <c r="I328" i="17"/>
  <c r="H328" i="17"/>
  <c r="Q329" i="17"/>
  <c r="B329" i="17"/>
  <c r="Y329" i="17"/>
  <c r="B330" i="17"/>
  <c r="Q330" i="17"/>
  <c r="Y330" i="17"/>
  <c r="W328" i="17"/>
  <c r="X328" i="17"/>
  <c r="J328" i="17" l="1"/>
  <c r="L328" i="17" s="1"/>
  <c r="H330" i="17"/>
  <c r="I330" i="17"/>
  <c r="X329" i="17"/>
  <c r="W329" i="17"/>
  <c r="I329" i="17"/>
  <c r="H329" i="17"/>
  <c r="W330" i="17"/>
  <c r="X330" i="17"/>
  <c r="J329" i="17" l="1"/>
  <c r="L329" i="17" s="1"/>
  <c r="J330" i="17"/>
  <c r="L330" i="17" s="1"/>
  <c r="B8" i="17" l="1"/>
  <c r="F54" i="17"/>
  <c r="T5" i="17" l="1"/>
  <c r="U5" i="17" s="1"/>
  <c r="V5" i="17" s="1"/>
  <c r="D94" i="7"/>
  <c r="F55" i="17"/>
  <c r="F59" i="17" s="1"/>
  <c r="B7" i="17"/>
  <c r="N4" i="17" l="1"/>
  <c r="F60" i="17"/>
  <c r="F61" i="17" s="1"/>
  <c r="M328" i="17"/>
  <c r="N328" i="17" s="1"/>
  <c r="M321" i="17"/>
  <c r="N321" i="17" s="1"/>
  <c r="M216" i="17"/>
  <c r="N216" i="17" s="1"/>
  <c r="S216" i="17" s="1"/>
  <c r="M172" i="17"/>
  <c r="N172" i="17" s="1"/>
  <c r="M263" i="17"/>
  <c r="N263" i="17" s="1"/>
  <c r="M211" i="17"/>
  <c r="N211" i="17" s="1"/>
  <c r="M298" i="17"/>
  <c r="N298" i="17" s="1"/>
  <c r="S298" i="17" s="1"/>
  <c r="M103" i="17"/>
  <c r="N103" i="17" s="1"/>
  <c r="M150" i="17"/>
  <c r="N150" i="17" s="1"/>
  <c r="M181" i="17"/>
  <c r="N181" i="17" s="1"/>
  <c r="M294" i="17"/>
  <c r="N294" i="17" s="1"/>
  <c r="S294" i="17" s="1"/>
  <c r="M148" i="17"/>
  <c r="N148" i="17" s="1"/>
  <c r="M184" i="17"/>
  <c r="N184" i="17" s="1"/>
  <c r="S184" i="17" s="1"/>
  <c r="M212" i="17"/>
  <c r="N212" i="17" s="1"/>
  <c r="M131" i="17"/>
  <c r="N131" i="17" s="1"/>
  <c r="M266" i="17"/>
  <c r="N266" i="17" s="1"/>
  <c r="M281" i="17"/>
  <c r="N281" i="17" s="1"/>
  <c r="M97" i="17"/>
  <c r="N97" i="17" s="1"/>
  <c r="M113" i="17"/>
  <c r="N113" i="17" s="1"/>
  <c r="O113" i="17" s="1"/>
  <c r="M144" i="17"/>
  <c r="N144" i="17" s="1"/>
  <c r="M126" i="17"/>
  <c r="N126" i="17" s="1"/>
  <c r="M125" i="17"/>
  <c r="N125" i="17" s="1"/>
  <c r="O125" i="17" s="1"/>
  <c r="M124" i="17"/>
  <c r="N124" i="17" s="1"/>
  <c r="S124" i="17" s="1"/>
  <c r="M138" i="17"/>
  <c r="N138" i="17" s="1"/>
  <c r="O138" i="17" s="1"/>
  <c r="M153" i="17"/>
  <c r="N153" i="17" s="1"/>
  <c r="M209" i="17"/>
  <c r="N209" i="17" s="1"/>
  <c r="O209" i="17" s="1"/>
  <c r="M225" i="17"/>
  <c r="N225" i="17" s="1"/>
  <c r="O225" i="17" s="1"/>
  <c r="M239" i="17"/>
  <c r="N239" i="17" s="1"/>
  <c r="M238" i="17"/>
  <c r="N238" i="17" s="1"/>
  <c r="O238" i="17" s="1"/>
  <c r="M273" i="17"/>
  <c r="N273" i="17" s="1"/>
  <c r="M304" i="17"/>
  <c r="N304" i="17" s="1"/>
  <c r="M303" i="17"/>
  <c r="N303" i="17" s="1"/>
  <c r="O303" i="17" s="1"/>
  <c r="M289" i="17"/>
  <c r="N289" i="17" s="1"/>
  <c r="M305" i="17"/>
  <c r="N305" i="17" s="1"/>
  <c r="M234" i="17"/>
  <c r="N234" i="17" s="1"/>
  <c r="S234" i="17" s="1"/>
  <c r="M257" i="17"/>
  <c r="N257" i="17" s="1"/>
  <c r="M249" i="17"/>
  <c r="N249" i="17" s="1"/>
  <c r="M235" i="17"/>
  <c r="N235" i="17" s="1"/>
  <c r="P235" i="17" s="1"/>
  <c r="M189" i="17"/>
  <c r="N189" i="17" s="1"/>
  <c r="O189" i="17" s="1"/>
  <c r="M207" i="17"/>
  <c r="N207" i="17" s="1"/>
  <c r="M204" i="17"/>
  <c r="N204" i="17" s="1"/>
  <c r="M137" i="17"/>
  <c r="N137" i="17" s="1"/>
  <c r="M220" i="17"/>
  <c r="N220" i="17" s="1"/>
  <c r="M170" i="17"/>
  <c r="N170" i="17" s="1"/>
  <c r="O170" i="17" s="1"/>
  <c r="M187" i="17"/>
  <c r="N187" i="17"/>
  <c r="S187" i="17" s="1"/>
  <c r="M254" i="17"/>
  <c r="N254" i="17" s="1"/>
  <c r="P254" i="17" s="1"/>
  <c r="M271" i="17"/>
  <c r="N271" i="17" s="1"/>
  <c r="M288" i="17"/>
  <c r="N288" i="17" s="1"/>
  <c r="O288" i="17" s="1"/>
  <c r="M311" i="17"/>
  <c r="N311" i="17" s="1"/>
  <c r="P311" i="17" s="1"/>
  <c r="M206" i="17"/>
  <c r="N206" i="17" s="1"/>
  <c r="M278" i="17"/>
  <c r="N278" i="17"/>
  <c r="S278" i="17" s="1"/>
  <c r="M312" i="17"/>
  <c r="N312" i="17" s="1"/>
  <c r="M261" i="17"/>
  <c r="N261" i="17" s="1"/>
  <c r="M210" i="17"/>
  <c r="N210" i="17"/>
  <c r="S210" i="17" s="1"/>
  <c r="M327" i="17"/>
  <c r="N327" i="17" s="1"/>
  <c r="S327" i="17" s="1"/>
  <c r="M87" i="17"/>
  <c r="N87" i="17" s="1"/>
  <c r="P87" i="17" s="1"/>
  <c r="M134" i="17"/>
  <c r="N134" i="17" s="1"/>
  <c r="M165" i="17"/>
  <c r="N165" i="17" s="1"/>
  <c r="M197" i="17"/>
  <c r="N197" i="17" s="1"/>
  <c r="O197" i="17" s="1"/>
  <c r="M115" i="17"/>
  <c r="N115" i="17" s="1"/>
  <c r="M246" i="17"/>
  <c r="N246" i="17" s="1"/>
  <c r="M243" i="17"/>
  <c r="N243" i="17" s="1"/>
  <c r="P243" i="17" s="1"/>
  <c r="M274" i="17"/>
  <c r="N274" i="17" s="1"/>
  <c r="M251" i="17"/>
  <c r="N251" i="17"/>
  <c r="O251" i="17" s="1"/>
  <c r="M318" i="17"/>
  <c r="N318" i="17" s="1"/>
  <c r="P318" i="17" s="1"/>
  <c r="M313" i="17"/>
  <c r="N313" i="17" s="1"/>
  <c r="M282" i="17"/>
  <c r="N282" i="17" s="1"/>
  <c r="M129" i="17"/>
  <c r="N129" i="17" s="1"/>
  <c r="M143" i="17"/>
  <c r="N143" i="17" s="1"/>
  <c r="M142" i="17"/>
  <c r="N142" i="17" s="1"/>
  <c r="P142" i="17" s="1"/>
  <c r="M141" i="17"/>
  <c r="N141" i="17" s="1"/>
  <c r="S141" i="17" s="1"/>
  <c r="M123" i="17"/>
  <c r="N123" i="17" s="1"/>
  <c r="M154" i="17"/>
  <c r="N154" i="17" s="1"/>
  <c r="M284" i="17"/>
  <c r="N284" i="17" s="1"/>
  <c r="S284" i="17" s="1"/>
  <c r="M217" i="17"/>
  <c r="N217" i="17" s="1"/>
  <c r="O217" i="17" s="1"/>
  <c r="M256" i="17"/>
  <c r="N256" i="17" s="1"/>
  <c r="M255" i="17"/>
  <c r="N255" i="17" s="1"/>
  <c r="M237" i="17"/>
  <c r="N237" i="17" s="1"/>
  <c r="M320" i="17"/>
  <c r="N320" i="17" s="1"/>
  <c r="M201" i="17"/>
  <c r="N201" i="17" s="1"/>
  <c r="M236" i="17"/>
  <c r="N236" i="17" s="1"/>
  <c r="P236" i="17" s="1"/>
  <c r="M191" i="17"/>
  <c r="N191" i="17" s="1"/>
  <c r="M91" i="17"/>
  <c r="N91" i="17" s="1"/>
  <c r="S91" i="17" s="1"/>
  <c r="M221" i="17"/>
  <c r="N221" i="17" s="1"/>
  <c r="P221" i="17" s="1"/>
  <c r="M287" i="17"/>
  <c r="N287" i="17" s="1"/>
  <c r="M186" i="17"/>
  <c r="N186" i="17" s="1"/>
  <c r="O186" i="17" s="1"/>
  <c r="M252" i="17"/>
  <c r="N252" i="17" s="1"/>
  <c r="O252" i="17" s="1"/>
  <c r="M107" i="17"/>
  <c r="N107" i="17" s="1"/>
  <c r="P107" i="17" s="1"/>
  <c r="M230" i="17"/>
  <c r="N230" i="17" s="1"/>
  <c r="M168" i="17"/>
  <c r="N168" i="17" s="1"/>
  <c r="M292" i="17"/>
  <c r="N292" i="17"/>
  <c r="O292" i="17" s="1"/>
  <c r="M231" i="17"/>
  <c r="N231" i="17" s="1"/>
  <c r="O231" i="17" s="1"/>
  <c r="M196" i="17"/>
  <c r="N196" i="17" s="1"/>
  <c r="M248" i="17"/>
  <c r="N248" i="17" s="1"/>
  <c r="P248" i="17" s="1"/>
  <c r="M199" i="17"/>
  <c r="N199" i="17" s="1"/>
  <c r="O199" i="17" s="1"/>
  <c r="M264" i="17"/>
  <c r="N264" i="17" s="1"/>
  <c r="P264" i="17" s="1"/>
  <c r="M118" i="17"/>
  <c r="N118" i="17" s="1"/>
  <c r="M149" i="17"/>
  <c r="N149" i="17" s="1"/>
  <c r="M228" i="17"/>
  <c r="N228" i="17" s="1"/>
  <c r="M99" i="17"/>
  <c r="N99" i="17" s="1"/>
  <c r="M324" i="17"/>
  <c r="N324" i="17" s="1"/>
  <c r="M194" i="17"/>
  <c r="N194" i="17" s="1"/>
  <c r="M114" i="17"/>
  <c r="N114" i="17" s="1"/>
  <c r="M268" i="17"/>
  <c r="N268" i="17" s="1"/>
  <c r="O268" i="17" s="1"/>
  <c r="M297" i="17"/>
  <c r="N297" i="17"/>
  <c r="M314" i="17"/>
  <c r="N314" i="17" s="1"/>
  <c r="M330" i="17"/>
  <c r="N330" i="17" s="1"/>
  <c r="O330" i="17" s="1"/>
  <c r="M301" i="17"/>
  <c r="N301" i="17" s="1"/>
  <c r="M160" i="17"/>
  <c r="N160" i="17" s="1"/>
  <c r="M159" i="17"/>
  <c r="N159" i="17" s="1"/>
  <c r="M158" i="17"/>
  <c r="N158" i="17" s="1"/>
  <c r="M140" i="17"/>
  <c r="N140" i="17" s="1"/>
  <c r="M139" i="17"/>
  <c r="N139" i="17" s="1"/>
  <c r="M169" i="17"/>
  <c r="N169" i="17" s="1"/>
  <c r="M185" i="17"/>
  <c r="N185" i="17" s="1"/>
  <c r="P185" i="17" s="1"/>
  <c r="M241" i="17"/>
  <c r="N241" i="17" s="1"/>
  <c r="P241" i="17" s="1"/>
  <c r="M272" i="17"/>
  <c r="N272" i="17" s="1"/>
  <c r="M219" i="17"/>
  <c r="N219" i="17" s="1"/>
  <c r="M205" i="17"/>
  <c r="N205" i="17" s="1"/>
  <c r="M223" i="17"/>
  <c r="N223" i="17" s="1"/>
  <c r="M222" i="17"/>
  <c r="N222" i="17" s="1"/>
  <c r="M253" i="17"/>
  <c r="N253" i="17" s="1"/>
  <c r="M270" i="17"/>
  <c r="N270" i="17" s="1"/>
  <c r="O270" i="17" s="1"/>
  <c r="M240" i="17"/>
  <c r="N240" i="17" s="1"/>
  <c r="O240" i="17" s="1"/>
  <c r="M276" i="17"/>
  <c r="N276" i="17" s="1"/>
  <c r="M262" i="17"/>
  <c r="N262" i="17" s="1"/>
  <c r="M307" i="17"/>
  <c r="N307" i="17" s="1"/>
  <c r="P307" i="17" s="1"/>
  <c r="M309" i="17"/>
  <c r="N309" i="17" s="1"/>
  <c r="S309" i="17" s="1"/>
  <c r="M227" i="17"/>
  <c r="N227" i="17" s="1"/>
  <c r="O227" i="17" s="1"/>
  <c r="M152" i="17"/>
  <c r="N152" i="17" s="1"/>
  <c r="O152" i="17" s="1"/>
  <c r="M183" i="17"/>
  <c r="N183" i="17" s="1"/>
  <c r="P183" i="17" s="1"/>
  <c r="M326" i="17"/>
  <c r="N326" i="17" s="1"/>
  <c r="M102" i="17"/>
  <c r="N102" i="17" s="1"/>
  <c r="M133" i="17"/>
  <c r="N133" i="17" s="1"/>
  <c r="M116" i="17"/>
  <c r="N116" i="17" s="1"/>
  <c r="M279" i="17"/>
  <c r="N279" i="17" s="1"/>
  <c r="S279" i="17" s="1"/>
  <c r="M323" i="17"/>
  <c r="N323" i="17" s="1"/>
  <c r="O323" i="17" s="1"/>
  <c r="M296" i="17"/>
  <c r="N296" i="17" s="1"/>
  <c r="M84" i="17"/>
  <c r="N84" i="17" s="1"/>
  <c r="M285" i="17"/>
  <c r="N285" i="17" s="1"/>
  <c r="O285" i="17" s="1"/>
  <c r="M283" i="17"/>
  <c r="N283" i="17" s="1"/>
  <c r="S283" i="17" s="1"/>
  <c r="M299" i="17"/>
  <c r="N299" i="17" s="1"/>
  <c r="M329" i="17"/>
  <c r="N329" i="17" s="1"/>
  <c r="O329" i="17" s="1"/>
  <c r="M89" i="17"/>
  <c r="N89" i="17" s="1"/>
  <c r="S89" i="17" s="1"/>
  <c r="M145" i="17"/>
  <c r="N145" i="17" s="1"/>
  <c r="O145" i="17" s="1"/>
  <c r="M176" i="17"/>
  <c r="N176" i="17" s="1"/>
  <c r="M175" i="17"/>
  <c r="N175" i="17" s="1"/>
  <c r="P175" i="17" s="1"/>
  <c r="M157" i="17"/>
  <c r="N157" i="17" s="1"/>
  <c r="O157" i="17" s="1"/>
  <c r="M156" i="17"/>
  <c r="N156" i="17" s="1"/>
  <c r="S156" i="17" s="1"/>
  <c r="M188" i="17"/>
  <c r="N188" i="17" s="1"/>
  <c r="M267" i="17"/>
  <c r="N267" i="17" s="1"/>
  <c r="M224" i="17"/>
  <c r="N224" i="17" s="1"/>
  <c r="S224" i="17" s="1"/>
  <c r="M122" i="17"/>
  <c r="N122" i="17" s="1"/>
  <c r="O122" i="17" s="1"/>
  <c r="M291" i="17"/>
  <c r="N291" i="17" s="1"/>
  <c r="M308" i="17"/>
  <c r="N308" i="17" s="1"/>
  <c r="M322" i="17"/>
  <c r="N322" i="17"/>
  <c r="O322" i="17" s="1"/>
  <c r="M260" i="17"/>
  <c r="N260" i="17" s="1"/>
  <c r="S260" i="17" s="1"/>
  <c r="M226" i="17"/>
  <c r="N226" i="17" s="1"/>
  <c r="M136" i="17"/>
  <c r="N136" i="17" s="1"/>
  <c r="P136" i="17" s="1"/>
  <c r="M167" i="17"/>
  <c r="N167" i="17" s="1"/>
  <c r="P167" i="17" s="1"/>
  <c r="M214" i="17"/>
  <c r="N214" i="17"/>
  <c r="M86" i="17"/>
  <c r="N86" i="17" s="1"/>
  <c r="O86" i="17" s="1"/>
  <c r="M117" i="17"/>
  <c r="N117" i="17" s="1"/>
  <c r="M100" i="17"/>
  <c r="N100" i="17" s="1"/>
  <c r="O100" i="17" s="1"/>
  <c r="M245" i="17"/>
  <c r="N245" i="17" s="1"/>
  <c r="O245" i="17" s="1"/>
  <c r="M163" i="17"/>
  <c r="N163" i="17" s="1"/>
  <c r="O163" i="17" s="1"/>
  <c r="M247" i="17"/>
  <c r="N247" i="17" s="1"/>
  <c r="O247" i="17" s="1"/>
  <c r="M218" i="17"/>
  <c r="N218" i="17" s="1"/>
  <c r="M302" i="17"/>
  <c r="N302" i="17" s="1"/>
  <c r="M300" i="17"/>
  <c r="N300" i="17" s="1"/>
  <c r="M316" i="17"/>
  <c r="N316" i="17" s="1"/>
  <c r="M315" i="17"/>
  <c r="N315" i="17" s="1"/>
  <c r="M90" i="17"/>
  <c r="N90" i="17" s="1"/>
  <c r="O90" i="17" s="1"/>
  <c r="M105" i="17"/>
  <c r="N105" i="17"/>
  <c r="O105" i="17" s="1"/>
  <c r="M161" i="17"/>
  <c r="N161" i="17" s="1"/>
  <c r="M192" i="17"/>
  <c r="N192" i="17" s="1"/>
  <c r="M174" i="17"/>
  <c r="N174" i="17" s="1"/>
  <c r="O174" i="17" s="1"/>
  <c r="M173" i="17"/>
  <c r="N173" i="17" s="1"/>
  <c r="O173" i="17" s="1"/>
  <c r="M155" i="17"/>
  <c r="N155" i="17"/>
  <c r="O155" i="17" s="1"/>
  <c r="M171" i="17"/>
  <c r="N171" i="17" s="1"/>
  <c r="O171" i="17" s="1"/>
  <c r="M202" i="17"/>
  <c r="N202" i="17" s="1"/>
  <c r="M203" i="17"/>
  <c r="N203" i="17" s="1"/>
  <c r="O203" i="17" s="1"/>
  <c r="M177" i="17"/>
  <c r="N177" i="17"/>
  <c r="P177" i="17" s="1"/>
  <c r="M269" i="17"/>
  <c r="N269" i="17" s="1"/>
  <c r="M286" i="17"/>
  <c r="N286" i="17" s="1"/>
  <c r="M190" i="17"/>
  <c r="N190" i="17" s="1"/>
  <c r="O190" i="17" s="1"/>
  <c r="M193" i="17"/>
  <c r="N193" i="17" s="1"/>
  <c r="M147" i="17"/>
  <c r="N147" i="17" s="1"/>
  <c r="M132" i="17"/>
  <c r="N132" i="17" s="1"/>
  <c r="O132" i="17" s="1"/>
  <c r="M258" i="17"/>
  <c r="N258" i="17" s="1"/>
  <c r="O258" i="17" s="1"/>
  <c r="M259" i="17"/>
  <c r="N259" i="17" s="1"/>
  <c r="M295" i="17"/>
  <c r="N295" i="17" s="1"/>
  <c r="M120" i="17"/>
  <c r="N120" i="17" s="1"/>
  <c r="O120" i="17" s="1"/>
  <c r="M151" i="17"/>
  <c r="N151" i="17" s="1"/>
  <c r="M198" i="17"/>
  <c r="N198" i="17" s="1"/>
  <c r="O198" i="17" s="1"/>
  <c r="M280" i="17"/>
  <c r="N280" i="17" s="1"/>
  <c r="O280" i="17" s="1"/>
  <c r="M101" i="17"/>
  <c r="N101" i="17" s="1"/>
  <c r="M83" i="17"/>
  <c r="N83" i="17" s="1"/>
  <c r="M164" i="17"/>
  <c r="N164" i="17" s="1"/>
  <c r="O164" i="17" s="1"/>
  <c r="M162" i="17"/>
  <c r="N162" i="17" s="1"/>
  <c r="O162" i="17" s="1"/>
  <c r="M325" i="17"/>
  <c r="N325" i="17" s="1"/>
  <c r="O325" i="17" s="1"/>
  <c r="M233" i="17"/>
  <c r="N233" i="17" s="1"/>
  <c r="M319" i="17"/>
  <c r="N319" i="17" s="1"/>
  <c r="M317" i="17"/>
  <c r="N317" i="17"/>
  <c r="O317" i="17" s="1"/>
  <c r="M94" i="17"/>
  <c r="N94" i="17" s="1"/>
  <c r="O94" i="17" s="1"/>
  <c r="M93" i="17"/>
  <c r="N93" i="17" s="1"/>
  <c r="O93" i="17" s="1"/>
  <c r="M82" i="17"/>
  <c r="N82" i="17" s="1"/>
  <c r="M106" i="17"/>
  <c r="N106" i="17" s="1"/>
  <c r="M121" i="17"/>
  <c r="N121" i="17" s="1"/>
  <c r="O121" i="17" s="1"/>
  <c r="M208" i="17"/>
  <c r="N208" i="17" s="1"/>
  <c r="O208" i="17" s="1"/>
  <c r="M108" i="17"/>
  <c r="N108" i="17" s="1"/>
  <c r="O108" i="17" s="1"/>
  <c r="M290" i="17"/>
  <c r="N290" i="17" s="1"/>
  <c r="O290" i="17" s="1"/>
  <c r="M179" i="17"/>
  <c r="N179" i="17" s="1"/>
  <c r="M98" i="17"/>
  <c r="N98" i="17" s="1"/>
  <c r="M306" i="17"/>
  <c r="N306" i="17" s="1"/>
  <c r="O306" i="17" s="1"/>
  <c r="M229" i="17"/>
  <c r="N229" i="17" s="1"/>
  <c r="M104" i="17"/>
  <c r="N104" i="17"/>
  <c r="O104" i="17" s="1"/>
  <c r="M135" i="17"/>
  <c r="N135" i="17"/>
  <c r="O135" i="17" s="1"/>
  <c r="M182" i="17"/>
  <c r="N182" i="17" s="1"/>
  <c r="M310" i="17"/>
  <c r="N310" i="17" s="1"/>
  <c r="O310" i="17" s="1"/>
  <c r="M85" i="17"/>
  <c r="N85" i="17" s="1"/>
  <c r="O85" i="17" s="1"/>
  <c r="M215" i="17"/>
  <c r="N215" i="17" s="1"/>
  <c r="O215" i="17" s="1"/>
  <c r="M195" i="17"/>
  <c r="N195" i="17" s="1"/>
  <c r="M200" i="17"/>
  <c r="N200" i="17" s="1"/>
  <c r="M244" i="17"/>
  <c r="N244" i="17" s="1"/>
  <c r="M250" i="17"/>
  <c r="N250" i="17" s="1"/>
  <c r="M96" i="17"/>
  <c r="N96" i="17" s="1"/>
  <c r="O96" i="17" s="1"/>
  <c r="M95" i="17"/>
  <c r="N95" i="17" s="1"/>
  <c r="O95" i="17" s="1"/>
  <c r="M111" i="17"/>
  <c r="N111" i="17" s="1"/>
  <c r="M110" i="17"/>
  <c r="N110" i="17" s="1"/>
  <c r="M92" i="17"/>
  <c r="N92" i="17" s="1"/>
  <c r="O92" i="17" s="1"/>
  <c r="M130" i="17"/>
  <c r="N130" i="17" s="1"/>
  <c r="O130" i="17" s="1"/>
  <c r="M178" i="17"/>
  <c r="N178" i="17" s="1"/>
  <c r="M242" i="17"/>
  <c r="N242" i="17" s="1"/>
  <c r="M180" i="17"/>
  <c r="N180" i="17" s="1"/>
  <c r="M88" i="17"/>
  <c r="N88" i="17" s="1"/>
  <c r="M119" i="17"/>
  <c r="N119" i="17" s="1"/>
  <c r="O119" i="17" s="1"/>
  <c r="M166" i="17"/>
  <c r="N166" i="17" s="1"/>
  <c r="M277" i="17"/>
  <c r="N277" i="17"/>
  <c r="O277" i="17" s="1"/>
  <c r="M232" i="17"/>
  <c r="N232" i="17" s="1"/>
  <c r="O232" i="17" s="1"/>
  <c r="M213" i="17"/>
  <c r="N213" i="17" s="1"/>
  <c r="M146" i="17"/>
  <c r="N146" i="17" s="1"/>
  <c r="M293" i="17"/>
  <c r="N293" i="17" s="1"/>
  <c r="M275" i="17"/>
  <c r="N275" i="17" s="1"/>
  <c r="O275" i="17" s="1"/>
  <c r="M265" i="17"/>
  <c r="N265" i="17" s="1"/>
  <c r="O265" i="17" s="1"/>
  <c r="M81" i="17"/>
  <c r="N81" i="17" s="1"/>
  <c r="O81" i="17" s="1"/>
  <c r="M112" i="17"/>
  <c r="N112" i="17" s="1"/>
  <c r="M128" i="17"/>
  <c r="N128" i="17" s="1"/>
  <c r="M127" i="17"/>
  <c r="N127" i="17" s="1"/>
  <c r="O127" i="17" s="1"/>
  <c r="M109" i="17"/>
  <c r="N109" i="17" s="1"/>
  <c r="M80" i="17"/>
  <c r="N80" i="17" s="1"/>
  <c r="O80" i="17" s="1"/>
  <c r="P203" i="17" l="1"/>
  <c r="P164" i="17"/>
  <c r="S317" i="17"/>
  <c r="S94" i="17"/>
  <c r="P125" i="17"/>
  <c r="P265" i="17"/>
  <c r="P189" i="17"/>
  <c r="S107" i="17"/>
  <c r="S92" i="17"/>
  <c r="P120" i="17"/>
  <c r="S217" i="17"/>
  <c r="S306" i="17"/>
  <c r="S132" i="17"/>
  <c r="S245" i="17"/>
  <c r="P91" i="17"/>
  <c r="S251" i="17"/>
  <c r="S87" i="17"/>
  <c r="P306" i="17"/>
  <c r="P280" i="17"/>
  <c r="S170" i="17"/>
  <c r="S285" i="17"/>
  <c r="P247" i="17"/>
  <c r="S303" i="17"/>
  <c r="S138" i="17"/>
  <c r="P92" i="17"/>
  <c r="S247" i="17"/>
  <c r="S199" i="17"/>
  <c r="P252" i="17"/>
  <c r="P95" i="17"/>
  <c r="P163" i="17"/>
  <c r="S240" i="17"/>
  <c r="S197" i="17"/>
  <c r="P121" i="17"/>
  <c r="S105" i="17"/>
  <c r="S163" i="17"/>
  <c r="P258" i="17"/>
  <c r="S90" i="17"/>
  <c r="P245" i="17"/>
  <c r="P127" i="17"/>
  <c r="S277" i="17"/>
  <c r="S310" i="17"/>
  <c r="P290" i="17"/>
  <c r="O296" i="17"/>
  <c r="S296" i="17"/>
  <c r="P296" i="17"/>
  <c r="S292" i="17"/>
  <c r="O176" i="17"/>
  <c r="S176" i="17"/>
  <c r="O230" i="17"/>
  <c r="S230" i="17"/>
  <c r="S330" i="17"/>
  <c r="P230" i="17"/>
  <c r="O154" i="17"/>
  <c r="S154" i="17"/>
  <c r="P154" i="17"/>
  <c r="P234" i="17"/>
  <c r="S225" i="17"/>
  <c r="O297" i="17"/>
  <c r="P297" i="17"/>
  <c r="S297" i="17"/>
  <c r="P210" i="17"/>
  <c r="P201" i="17"/>
  <c r="S201" i="17"/>
  <c r="S265" i="17"/>
  <c r="O177" i="17"/>
  <c r="S177" i="17"/>
  <c r="P174" i="17"/>
  <c r="O320" i="17"/>
  <c r="S320" i="17"/>
  <c r="S80" i="17"/>
  <c r="S270" i="17"/>
  <c r="S268" i="17"/>
  <c r="O115" i="17"/>
  <c r="S115" i="17"/>
  <c r="S164" i="17"/>
  <c r="S203" i="17"/>
  <c r="P105" i="17"/>
  <c r="S194" i="17"/>
  <c r="P194" i="17"/>
  <c r="S231" i="17"/>
  <c r="P320" i="17"/>
  <c r="P304" i="17"/>
  <c r="S304" i="17"/>
  <c r="S127" i="17"/>
  <c r="S85" i="17"/>
  <c r="S282" i="17"/>
  <c r="P282" i="17"/>
  <c r="S288" i="17"/>
  <c r="P199" i="17"/>
  <c r="O195" i="17"/>
  <c r="S195" i="17"/>
  <c r="P195" i="17"/>
  <c r="O319" i="17"/>
  <c r="P319" i="17"/>
  <c r="S319" i="17"/>
  <c r="O316" i="17"/>
  <c r="P316" i="17"/>
  <c r="S316" i="17"/>
  <c r="O300" i="17"/>
  <c r="P300" i="17"/>
  <c r="S300" i="17"/>
  <c r="O269" i="17"/>
  <c r="P269" i="17"/>
  <c r="S269" i="17"/>
  <c r="O302" i="17"/>
  <c r="S302" i="17"/>
  <c r="P302" i="17"/>
  <c r="O286" i="17"/>
  <c r="S286" i="17"/>
  <c r="P286" i="17"/>
  <c r="O218" i="17"/>
  <c r="P218" i="17"/>
  <c r="S218" i="17"/>
  <c r="O242" i="17"/>
  <c r="P242" i="17"/>
  <c r="S242" i="17"/>
  <c r="O178" i="17"/>
  <c r="S178" i="17"/>
  <c r="P178" i="17"/>
  <c r="O200" i="17"/>
  <c r="P200" i="17"/>
  <c r="S200" i="17"/>
  <c r="O229" i="17"/>
  <c r="P229" i="17"/>
  <c r="S229" i="17"/>
  <c r="O88" i="17"/>
  <c r="P88" i="17"/>
  <c r="S88" i="17"/>
  <c r="O106" i="17"/>
  <c r="P106" i="17"/>
  <c r="S106" i="17"/>
  <c r="O295" i="17"/>
  <c r="P295" i="17"/>
  <c r="S295" i="17"/>
  <c r="O192" i="17"/>
  <c r="P192" i="17"/>
  <c r="S192" i="17"/>
  <c r="S117" i="17"/>
  <c r="O117" i="17"/>
  <c r="P117" i="17"/>
  <c r="O293" i="17"/>
  <c r="P293" i="17"/>
  <c r="S293" i="17"/>
  <c r="O259" i="17"/>
  <c r="P259" i="17"/>
  <c r="S259" i="17"/>
  <c r="O161" i="17"/>
  <c r="S161" i="17"/>
  <c r="P161" i="17"/>
  <c r="O291" i="17"/>
  <c r="S291" i="17"/>
  <c r="P291" i="17"/>
  <c r="O82" i="17"/>
  <c r="P82" i="17"/>
  <c r="S82" i="17"/>
  <c r="O109" i="17"/>
  <c r="P109" i="17"/>
  <c r="S109" i="17"/>
  <c r="O146" i="17"/>
  <c r="S146" i="17"/>
  <c r="P146" i="17"/>
  <c r="O276" i="17"/>
  <c r="S276" i="17"/>
  <c r="P276" i="17"/>
  <c r="O151" i="17"/>
  <c r="S151" i="17"/>
  <c r="P151" i="17"/>
  <c r="O213" i="17"/>
  <c r="S213" i="17"/>
  <c r="P213" i="17"/>
  <c r="O250" i="17"/>
  <c r="P250" i="17"/>
  <c r="S250" i="17"/>
  <c r="O267" i="17"/>
  <c r="P267" i="17"/>
  <c r="S267" i="17"/>
  <c r="S133" i="17"/>
  <c r="O133" i="17"/>
  <c r="P133" i="17"/>
  <c r="O188" i="17"/>
  <c r="S188" i="17"/>
  <c r="P188" i="17"/>
  <c r="O179" i="17"/>
  <c r="S179" i="17"/>
  <c r="P179" i="17"/>
  <c r="O101" i="17"/>
  <c r="S101" i="17"/>
  <c r="P101" i="17"/>
  <c r="O202" i="17"/>
  <c r="S202" i="17"/>
  <c r="P202" i="17"/>
  <c r="O98" i="17"/>
  <c r="S98" i="17"/>
  <c r="P98" i="17"/>
  <c r="O128" i="17"/>
  <c r="S128" i="17"/>
  <c r="P128" i="17"/>
  <c r="O111" i="17"/>
  <c r="S111" i="17"/>
  <c r="P111" i="17"/>
  <c r="O180" i="17"/>
  <c r="S180" i="17"/>
  <c r="P180" i="17"/>
  <c r="O147" i="17"/>
  <c r="S147" i="17"/>
  <c r="P147" i="17"/>
  <c r="O233" i="17"/>
  <c r="P233" i="17"/>
  <c r="S233" i="17"/>
  <c r="O110" i="17"/>
  <c r="S110" i="17"/>
  <c r="P110" i="17"/>
  <c r="O166" i="17"/>
  <c r="S166" i="17"/>
  <c r="P166" i="17"/>
  <c r="O193" i="17"/>
  <c r="P193" i="17"/>
  <c r="S193" i="17"/>
  <c r="O244" i="17"/>
  <c r="S244" i="17"/>
  <c r="P244" i="17"/>
  <c r="O83" i="17"/>
  <c r="S83" i="17"/>
  <c r="P83" i="17"/>
  <c r="O112" i="17"/>
  <c r="S112" i="17"/>
  <c r="P112" i="17"/>
  <c r="O182" i="17"/>
  <c r="S182" i="17"/>
  <c r="P182" i="17"/>
  <c r="O315" i="17"/>
  <c r="S315" i="17"/>
  <c r="P315" i="17"/>
  <c r="S275" i="17"/>
  <c r="P310" i="17"/>
  <c r="P104" i="17"/>
  <c r="S208" i="17"/>
  <c r="P317" i="17"/>
  <c r="P325" i="17"/>
  <c r="S258" i="17"/>
  <c r="S173" i="17"/>
  <c r="S100" i="17"/>
  <c r="P145" i="17"/>
  <c r="S253" i="17"/>
  <c r="P253" i="17"/>
  <c r="O253" i="17"/>
  <c r="S273" i="17"/>
  <c r="O273" i="17"/>
  <c r="P273" i="17"/>
  <c r="O181" i="17"/>
  <c r="S181" i="17"/>
  <c r="P181" i="17"/>
  <c r="S136" i="17"/>
  <c r="O136" i="17"/>
  <c r="P224" i="17"/>
  <c r="O224" i="17"/>
  <c r="P283" i="17"/>
  <c r="O283" i="17"/>
  <c r="S152" i="17"/>
  <c r="P301" i="17"/>
  <c r="O301" i="17"/>
  <c r="S301" i="17"/>
  <c r="S150" i="17"/>
  <c r="O150" i="17"/>
  <c r="P150" i="17"/>
  <c r="S81" i="17"/>
  <c r="P232" i="17"/>
  <c r="P119" i="17"/>
  <c r="P215" i="17"/>
  <c r="P93" i="17"/>
  <c r="S171" i="17"/>
  <c r="P86" i="17"/>
  <c r="P322" i="17"/>
  <c r="P157" i="17"/>
  <c r="S145" i="17"/>
  <c r="S323" i="17"/>
  <c r="S262" i="17"/>
  <c r="O262" i="17"/>
  <c r="P262" i="17"/>
  <c r="S185" i="17"/>
  <c r="O185" i="17"/>
  <c r="O271" i="17"/>
  <c r="S271" i="17"/>
  <c r="P271" i="17"/>
  <c r="S126" i="17"/>
  <c r="O126" i="17"/>
  <c r="P126" i="17"/>
  <c r="O103" i="17"/>
  <c r="P103" i="17"/>
  <c r="S103" i="17"/>
  <c r="S104" i="17"/>
  <c r="S325" i="17"/>
  <c r="S214" i="17"/>
  <c r="O214" i="17"/>
  <c r="O308" i="17"/>
  <c r="P308" i="17"/>
  <c r="S308" i="17"/>
  <c r="S324" i="17"/>
  <c r="P324" i="17"/>
  <c r="O324" i="17"/>
  <c r="P196" i="17"/>
  <c r="S196" i="17"/>
  <c r="O196" i="17"/>
  <c r="P249" i="17"/>
  <c r="O249" i="17"/>
  <c r="S249" i="17"/>
  <c r="P239" i="17"/>
  <c r="O239" i="17"/>
  <c r="S239" i="17"/>
  <c r="S144" i="17"/>
  <c r="O144" i="17"/>
  <c r="P144" i="17"/>
  <c r="S226" i="17"/>
  <c r="O226" i="17"/>
  <c r="P226" i="17"/>
  <c r="S157" i="17"/>
  <c r="O89" i="17"/>
  <c r="P89" i="17"/>
  <c r="P102" i="17"/>
  <c r="O102" i="17"/>
  <c r="S222" i="17"/>
  <c r="P222" i="17"/>
  <c r="O222" i="17"/>
  <c r="S99" i="17"/>
  <c r="O99" i="17"/>
  <c r="P99" i="17"/>
  <c r="P123" i="17"/>
  <c r="S123" i="17"/>
  <c r="O123" i="17"/>
  <c r="S274" i="17"/>
  <c r="O274" i="17"/>
  <c r="P274" i="17"/>
  <c r="S257" i="17"/>
  <c r="P257" i="17"/>
  <c r="O257" i="17"/>
  <c r="S119" i="17"/>
  <c r="P100" i="17"/>
  <c r="P285" i="17"/>
  <c r="S102" i="17"/>
  <c r="P152" i="17"/>
  <c r="P169" i="17"/>
  <c r="O169" i="17"/>
  <c r="S169" i="17"/>
  <c r="S228" i="17"/>
  <c r="O228" i="17"/>
  <c r="P228" i="17"/>
  <c r="S211" i="17"/>
  <c r="O211" i="17"/>
  <c r="P211" i="17"/>
  <c r="P275" i="17"/>
  <c r="S95" i="17"/>
  <c r="S290" i="17"/>
  <c r="P208" i="17"/>
  <c r="S280" i="17"/>
  <c r="P173" i="17"/>
  <c r="P323" i="17"/>
  <c r="P227" i="17"/>
  <c r="P223" i="17"/>
  <c r="O223" i="17"/>
  <c r="S223" i="17"/>
  <c r="S314" i="17"/>
  <c r="O314" i="17"/>
  <c r="P314" i="17"/>
  <c r="O97" i="17"/>
  <c r="P97" i="17"/>
  <c r="S97" i="17"/>
  <c r="P263" i="17"/>
  <c r="O263" i="17"/>
  <c r="S263" i="17"/>
  <c r="P130" i="17"/>
  <c r="S121" i="17"/>
  <c r="P162" i="17"/>
  <c r="S120" i="17"/>
  <c r="S174" i="17"/>
  <c r="S175" i="17"/>
  <c r="O175" i="17"/>
  <c r="S329" i="17"/>
  <c r="S326" i="17"/>
  <c r="O326" i="17"/>
  <c r="S139" i="17"/>
  <c r="P139" i="17"/>
  <c r="O139" i="17"/>
  <c r="O149" i="17"/>
  <c r="P149" i="17"/>
  <c r="S149" i="17"/>
  <c r="S287" i="17"/>
  <c r="O287" i="17"/>
  <c r="P287" i="17"/>
  <c r="O246" i="17"/>
  <c r="P246" i="17"/>
  <c r="S246" i="17"/>
  <c r="S281" i="17"/>
  <c r="P281" i="17"/>
  <c r="O281" i="17"/>
  <c r="S172" i="17"/>
  <c r="P172" i="17"/>
  <c r="O172" i="17"/>
  <c r="P171" i="17"/>
  <c r="P214" i="17"/>
  <c r="P279" i="17"/>
  <c r="O279" i="17"/>
  <c r="S227" i="17"/>
  <c r="P240" i="17"/>
  <c r="O205" i="17"/>
  <c r="S205" i="17"/>
  <c r="P205" i="17"/>
  <c r="O140" i="17"/>
  <c r="P140" i="17"/>
  <c r="S140" i="17"/>
  <c r="S237" i="17"/>
  <c r="P237" i="17"/>
  <c r="O237" i="17"/>
  <c r="P261" i="17"/>
  <c r="O261" i="17"/>
  <c r="S261" i="17"/>
  <c r="S305" i="17"/>
  <c r="P305" i="17"/>
  <c r="O305" i="17"/>
  <c r="O266" i="17"/>
  <c r="S266" i="17"/>
  <c r="P266" i="17"/>
  <c r="P277" i="17"/>
  <c r="S96" i="17"/>
  <c r="P85" i="17"/>
  <c r="P135" i="17"/>
  <c r="S108" i="17"/>
  <c r="P94" i="17"/>
  <c r="S198" i="17"/>
  <c r="P132" i="17"/>
  <c r="P190" i="17"/>
  <c r="S155" i="17"/>
  <c r="P90" i="17"/>
  <c r="O260" i="17"/>
  <c r="P260" i="17"/>
  <c r="S118" i="17"/>
  <c r="O118" i="17"/>
  <c r="P118" i="17"/>
  <c r="P255" i="17"/>
  <c r="O255" i="17"/>
  <c r="S255" i="17"/>
  <c r="P143" i="17"/>
  <c r="S143" i="17"/>
  <c r="O143" i="17"/>
  <c r="S312" i="17"/>
  <c r="P312" i="17"/>
  <c r="O312" i="17"/>
  <c r="S289" i="17"/>
  <c r="P289" i="17"/>
  <c r="O289" i="17"/>
  <c r="S153" i="17"/>
  <c r="O153" i="17"/>
  <c r="P153" i="17"/>
  <c r="P131" i="17"/>
  <c r="O131" i="17"/>
  <c r="S131" i="17"/>
  <c r="P81" i="17"/>
  <c r="S162" i="17"/>
  <c r="O84" i="17"/>
  <c r="P84" i="17"/>
  <c r="O309" i="17"/>
  <c r="P309" i="17"/>
  <c r="S219" i="17"/>
  <c r="O219" i="17"/>
  <c r="S168" i="17"/>
  <c r="O168" i="17"/>
  <c r="P168" i="17"/>
  <c r="P256" i="17"/>
  <c r="O256" i="17"/>
  <c r="S256" i="17"/>
  <c r="O129" i="17"/>
  <c r="S129" i="17"/>
  <c r="P129" i="17"/>
  <c r="P220" i="17"/>
  <c r="O220" i="17"/>
  <c r="S220" i="17"/>
  <c r="O212" i="17"/>
  <c r="S212" i="17"/>
  <c r="P212" i="17"/>
  <c r="S321" i="17"/>
  <c r="O321" i="17"/>
  <c r="P321" i="17"/>
  <c r="S130" i="17"/>
  <c r="O167" i="17"/>
  <c r="S167" i="17"/>
  <c r="S116" i="17"/>
  <c r="O116" i="17"/>
  <c r="P326" i="17"/>
  <c r="S158" i="17"/>
  <c r="P158" i="17"/>
  <c r="O158" i="17"/>
  <c r="S137" i="17"/>
  <c r="O137" i="17"/>
  <c r="P137" i="17"/>
  <c r="S328" i="17"/>
  <c r="P328" i="17"/>
  <c r="O328" i="17"/>
  <c r="S232" i="17"/>
  <c r="S215" i="17"/>
  <c r="S135" i="17"/>
  <c r="S93" i="17"/>
  <c r="S190" i="17"/>
  <c r="S86" i="17"/>
  <c r="S322" i="17"/>
  <c r="P122" i="17"/>
  <c r="P329" i="17"/>
  <c r="S84" i="17"/>
  <c r="P219" i="17"/>
  <c r="P206" i="17"/>
  <c r="O206" i="17"/>
  <c r="S206" i="17"/>
  <c r="S204" i="17"/>
  <c r="P204" i="17"/>
  <c r="O204" i="17"/>
  <c r="F56" i="17"/>
  <c r="F58" i="17" s="1"/>
  <c r="Q6" i="17" s="1"/>
  <c r="F57" i="17"/>
  <c r="G9" i="17" s="1"/>
  <c r="S299" i="17"/>
  <c r="P299" i="17"/>
  <c r="O299" i="17"/>
  <c r="S183" i="17"/>
  <c r="O183" i="17"/>
  <c r="S272" i="17"/>
  <c r="O272" i="17"/>
  <c r="P272" i="17"/>
  <c r="P159" i="17"/>
  <c r="O159" i="17"/>
  <c r="S159" i="17"/>
  <c r="P191" i="17"/>
  <c r="O191" i="17"/>
  <c r="S191" i="17"/>
  <c r="P207" i="17"/>
  <c r="S207" i="17"/>
  <c r="O207" i="17"/>
  <c r="P148" i="17"/>
  <c r="O148" i="17"/>
  <c r="S148" i="17"/>
  <c r="S122" i="17"/>
  <c r="O156" i="17"/>
  <c r="P156" i="17"/>
  <c r="P116" i="17"/>
  <c r="O160" i="17"/>
  <c r="S160" i="17"/>
  <c r="P160" i="17"/>
  <c r="S114" i="17"/>
  <c r="O114" i="17"/>
  <c r="P114" i="17"/>
  <c r="S313" i="17"/>
  <c r="P313" i="17"/>
  <c r="O313" i="17"/>
  <c r="O165" i="17"/>
  <c r="S165" i="17"/>
  <c r="P165" i="17"/>
  <c r="P80" i="17"/>
  <c r="P96" i="17"/>
  <c r="P108" i="17"/>
  <c r="P198" i="17"/>
  <c r="P155" i="17"/>
  <c r="P176" i="17"/>
  <c r="S307" i="17"/>
  <c r="O307" i="17"/>
  <c r="S134" i="17"/>
  <c r="P134" i="17"/>
  <c r="O134" i="17"/>
  <c r="S264" i="17"/>
  <c r="O194" i="17"/>
  <c r="O91" i="17"/>
  <c r="P278" i="17"/>
  <c r="P113" i="17"/>
  <c r="P216" i="17"/>
  <c r="O304" i="17"/>
  <c r="O107" i="17"/>
  <c r="O278" i="17"/>
  <c r="S248" i="17"/>
  <c r="P231" i="17"/>
  <c r="S243" i="17"/>
  <c r="P115" i="17"/>
  <c r="S254" i="17"/>
  <c r="P170" i="17"/>
  <c r="O243" i="17"/>
  <c r="O294" i="17"/>
  <c r="O298" i="17"/>
  <c r="S252" i="17"/>
  <c r="S189" i="17"/>
  <c r="O264" i="17"/>
  <c r="O201" i="17"/>
  <c r="P270" i="17"/>
  <c r="S241" i="17"/>
  <c r="P330" i="17"/>
  <c r="P292" i="17"/>
  <c r="S221" i="17"/>
  <c r="P217" i="17"/>
  <c r="P197" i="17"/>
  <c r="P225" i="17"/>
  <c r="P294" i="17"/>
  <c r="O87" i="17"/>
  <c r="O236" i="17"/>
  <c r="O284" i="17"/>
  <c r="P141" i="17"/>
  <c r="P327" i="17"/>
  <c r="P124" i="17"/>
  <c r="P298" i="17"/>
  <c r="O221" i="17"/>
  <c r="S186" i="17"/>
  <c r="S142" i="17"/>
  <c r="P251" i="17"/>
  <c r="P288" i="17"/>
  <c r="P187" i="17"/>
  <c r="S235" i="17"/>
  <c r="P303" i="17"/>
  <c r="P238" i="17"/>
  <c r="S125" i="17"/>
  <c r="P184" i="17"/>
  <c r="O318" i="17"/>
  <c r="O187" i="17"/>
  <c r="O235" i="17"/>
  <c r="O216" i="17"/>
  <c r="O184" i="17"/>
  <c r="O234" i="17"/>
  <c r="O254" i="17"/>
  <c r="P268" i="17"/>
  <c r="S236" i="17"/>
  <c r="S318" i="17"/>
  <c r="S311" i="17"/>
  <c r="S238" i="17"/>
  <c r="P138" i="17"/>
  <c r="O210" i="17"/>
  <c r="O142" i="17"/>
  <c r="O241" i="17"/>
  <c r="P284" i="17"/>
  <c r="P209" i="17"/>
  <c r="S113" i="17"/>
  <c r="O327" i="17"/>
  <c r="O282" i="17"/>
  <c r="P186" i="17"/>
  <c r="O311" i="17"/>
  <c r="O124" i="17"/>
  <c r="O248" i="17"/>
  <c r="S209" i="17"/>
  <c r="O141" i="17"/>
  <c r="G8" i="17" l="1"/>
  <c r="G5" i="17"/>
  <c r="G6" i="17"/>
  <c r="G7" i="17"/>
  <c r="I10" i="17" l="1"/>
  <c r="I7" i="17" s="1"/>
  <c r="I9" i="17"/>
  <c r="T4" i="17" l="1"/>
  <c r="U4" i="17" s="1"/>
  <c r="V4" i="17" s="1"/>
  <c r="G15" i="17" s="1"/>
  <c r="D93" i="7"/>
  <c r="D95" i="7"/>
  <c r="Y10" i="17"/>
  <c r="Z10" i="17"/>
  <c r="X3" i="17"/>
  <c r="I6" i="17"/>
  <c r="D96" i="7"/>
  <c r="Z11" i="17"/>
  <c r="Y11" i="17"/>
  <c r="X4" i="17"/>
  <c r="I11" i="17"/>
  <c r="F111" i="7" l="1"/>
  <c r="T3" i="17"/>
  <c r="U3" i="17" s="1"/>
  <c r="V3" i="17" s="1"/>
  <c r="G14" i="17" s="1"/>
  <c r="D92" i="7"/>
  <c r="Y7" i="17"/>
  <c r="Y4" i="17"/>
  <c r="Z4" i="17" s="1"/>
  <c r="G18" i="17" s="1"/>
  <c r="Y6" i="17"/>
  <c r="Y3" i="17"/>
  <c r="Z3" i="17" s="1"/>
  <c r="G17" i="17" s="1"/>
  <c r="Z12" i="17"/>
  <c r="Y12" i="17"/>
  <c r="X5" i="17"/>
  <c r="D97" i="7"/>
  <c r="AB265" i="17" l="1"/>
  <c r="AD265" i="17" s="1"/>
  <c r="AB111" i="17"/>
  <c r="AD111" i="17" s="1"/>
  <c r="AB198" i="17"/>
  <c r="AD198" i="17" s="1"/>
  <c r="AB299" i="17"/>
  <c r="AD299" i="17" s="1"/>
  <c r="AB116" i="17"/>
  <c r="AD116" i="17" s="1"/>
  <c r="AB292" i="17"/>
  <c r="AD292" i="17" s="1"/>
  <c r="AB255" i="17"/>
  <c r="AD255" i="17" s="1"/>
  <c r="AB274" i="17"/>
  <c r="AD274" i="17" s="1"/>
  <c r="AB225" i="17"/>
  <c r="AD225" i="17" s="1"/>
  <c r="AB184" i="17"/>
  <c r="AD184" i="17" s="1"/>
  <c r="AB151" i="17"/>
  <c r="AD151" i="17" s="1"/>
  <c r="AB245" i="17"/>
  <c r="AD245" i="17" s="1"/>
  <c r="AB260" i="17"/>
  <c r="AD260" i="17" s="1"/>
  <c r="AB156" i="17"/>
  <c r="AD156" i="17" s="1"/>
  <c r="AB133" i="17"/>
  <c r="AD133" i="17" s="1"/>
  <c r="AB140" i="17"/>
  <c r="AD140" i="17" s="1"/>
  <c r="AB149" i="17"/>
  <c r="AD149" i="17" s="1"/>
  <c r="AB243" i="17"/>
  <c r="AD243" i="17" s="1"/>
  <c r="AB288" i="17"/>
  <c r="AD288" i="17" s="1"/>
  <c r="AB305" i="17"/>
  <c r="AD305" i="17" s="1"/>
  <c r="AB307" i="17"/>
  <c r="AD307" i="17" s="1"/>
  <c r="AB205" i="17"/>
  <c r="AD205" i="17" s="1"/>
  <c r="AB91" i="17"/>
  <c r="AD91" i="17" s="1"/>
  <c r="AB143" i="17"/>
  <c r="AD143" i="17" s="1"/>
  <c r="AB327" i="17"/>
  <c r="AD327" i="17" s="1"/>
  <c r="AB113" i="17"/>
  <c r="AD113" i="17" s="1"/>
  <c r="AB263" i="17"/>
  <c r="AD263" i="17" s="1"/>
  <c r="AB179" i="17"/>
  <c r="AD179" i="17" s="1"/>
  <c r="AB283" i="17"/>
  <c r="AD283" i="17" s="1"/>
  <c r="AB262" i="17"/>
  <c r="AD262" i="17" s="1"/>
  <c r="AB219" i="17"/>
  <c r="AD219" i="17" s="1"/>
  <c r="AB268" i="17"/>
  <c r="AD268" i="17" s="1"/>
  <c r="AB168" i="17"/>
  <c r="AD168" i="17" s="1"/>
  <c r="AB210" i="17"/>
  <c r="AD210" i="17" s="1"/>
  <c r="AB207" i="17"/>
  <c r="AD207" i="17" s="1"/>
  <c r="AB209" i="17"/>
  <c r="AD209" i="17" s="1"/>
  <c r="AB120" i="17"/>
  <c r="AD120" i="17" s="1"/>
  <c r="AB117" i="17"/>
  <c r="AD117" i="17" s="1"/>
  <c r="AB308" i="17"/>
  <c r="AD308" i="17" s="1"/>
  <c r="AB102" i="17"/>
  <c r="AD102" i="17" s="1"/>
  <c r="AB158" i="17"/>
  <c r="AD158" i="17" s="1"/>
  <c r="AB217" i="17"/>
  <c r="AD217" i="17" s="1"/>
  <c r="AB246" i="17"/>
  <c r="AD246" i="17" s="1"/>
  <c r="AB271" i="17"/>
  <c r="AD271" i="17" s="1"/>
  <c r="AB294" i="17"/>
  <c r="AD294" i="17" s="1"/>
  <c r="AB175" i="17"/>
  <c r="AD175" i="17" s="1"/>
  <c r="AB159" i="17"/>
  <c r="AD159" i="17" s="1"/>
  <c r="AB264" i="17"/>
  <c r="AD264" i="17" s="1"/>
  <c r="AB191" i="17"/>
  <c r="AD191" i="17" s="1"/>
  <c r="AB254" i="17"/>
  <c r="AD254" i="17" s="1"/>
  <c r="AB303" i="17"/>
  <c r="AD303" i="17" s="1"/>
  <c r="AB97" i="17"/>
  <c r="AD97" i="17" s="1"/>
  <c r="AB276" i="17"/>
  <c r="AD276" i="17" s="1"/>
  <c r="AB272" i="17"/>
  <c r="AD272" i="17" s="1"/>
  <c r="AB114" i="17"/>
  <c r="AD114" i="17" s="1"/>
  <c r="AB282" i="17"/>
  <c r="AD282" i="17" s="1"/>
  <c r="AB261" i="17"/>
  <c r="AD261" i="17" s="1"/>
  <c r="AB189" i="17"/>
  <c r="AD189" i="17" s="1"/>
  <c r="AB216" i="17"/>
  <c r="AD216" i="17" s="1"/>
  <c r="AB259" i="17"/>
  <c r="AD259" i="17" s="1"/>
  <c r="AB202" i="17"/>
  <c r="AD202" i="17" s="1"/>
  <c r="AB86" i="17"/>
  <c r="AD86" i="17" s="1"/>
  <c r="AB291" i="17"/>
  <c r="AD291" i="17" s="1"/>
  <c r="AB84" i="17"/>
  <c r="AD84" i="17" s="1"/>
  <c r="AB194" i="17"/>
  <c r="AD194" i="17" s="1"/>
  <c r="AB107" i="17"/>
  <c r="AD107" i="17" s="1"/>
  <c r="AB284" i="17"/>
  <c r="AD284" i="17" s="1"/>
  <c r="AB235" i="17"/>
  <c r="AD235" i="17" s="1"/>
  <c r="AB138" i="17"/>
  <c r="AD138" i="17" s="1"/>
  <c r="AB181" i="17"/>
  <c r="AD181" i="17" s="1"/>
  <c r="AB171" i="17"/>
  <c r="AD171" i="17" s="1"/>
  <c r="AB214" i="17"/>
  <c r="AD214" i="17" s="1"/>
  <c r="AB176" i="17"/>
  <c r="AD176" i="17" s="1"/>
  <c r="AB183" i="17"/>
  <c r="AD183" i="17" s="1"/>
  <c r="AB160" i="17"/>
  <c r="AD160" i="17" s="1"/>
  <c r="AB199" i="17"/>
  <c r="AD199" i="17" s="1"/>
  <c r="AB197" i="17"/>
  <c r="AD197" i="17" s="1"/>
  <c r="AB187" i="17"/>
  <c r="AD187" i="17" s="1"/>
  <c r="AB304" i="17"/>
  <c r="AD304" i="17" s="1"/>
  <c r="AB296" i="17"/>
  <c r="AD296" i="17" s="1"/>
  <c r="AB270" i="17"/>
  <c r="AD270" i="17" s="1"/>
  <c r="AB248" i="17"/>
  <c r="AD248" i="17" s="1"/>
  <c r="AB201" i="17"/>
  <c r="AD201" i="17" s="1"/>
  <c r="AB313" i="17"/>
  <c r="AD313" i="17" s="1"/>
  <c r="AB273" i="17"/>
  <c r="AD273" i="17" s="1"/>
  <c r="AB266" i="17"/>
  <c r="AD266" i="17" s="1"/>
  <c r="AB321" i="17"/>
  <c r="AD321" i="17" s="1"/>
  <c r="AB121" i="17"/>
  <c r="AD121" i="17" s="1"/>
  <c r="AB224" i="17"/>
  <c r="AD224" i="17" s="1"/>
  <c r="AB185" i="17"/>
  <c r="AD185" i="17" s="1"/>
  <c r="AB324" i="17"/>
  <c r="AD324" i="17" s="1"/>
  <c r="AB252" i="17"/>
  <c r="AD252" i="17" s="1"/>
  <c r="AB278" i="17"/>
  <c r="AD278" i="17" s="1"/>
  <c r="AB249" i="17"/>
  <c r="AD249" i="17" s="1"/>
  <c r="AB124" i="17"/>
  <c r="AD124" i="17" s="1"/>
  <c r="AB155" i="17"/>
  <c r="AD155" i="17" s="1"/>
  <c r="AB152" i="17"/>
  <c r="AD152" i="17" s="1"/>
  <c r="AB186" i="17"/>
  <c r="AD186" i="17" s="1"/>
  <c r="AB123" i="17"/>
  <c r="AD123" i="17" s="1"/>
  <c r="AB165" i="17"/>
  <c r="AD165" i="17" s="1"/>
  <c r="AB125" i="17"/>
  <c r="AD125" i="17" s="1"/>
  <c r="AB103" i="17"/>
  <c r="AD103" i="17" s="1"/>
  <c r="AB82" i="17"/>
  <c r="AD82" i="17" s="1"/>
  <c r="AB89" i="17"/>
  <c r="AD89" i="17" s="1"/>
  <c r="AB253" i="17"/>
  <c r="AD253" i="17" s="1"/>
  <c r="AB330" i="17"/>
  <c r="AD330" i="17" s="1"/>
  <c r="AB196" i="17"/>
  <c r="AD196" i="17" s="1"/>
  <c r="AB320" i="17"/>
  <c r="AD320" i="17" s="1"/>
  <c r="AB220" i="17"/>
  <c r="AD220" i="17" s="1"/>
  <c r="AB238" i="17"/>
  <c r="AD238" i="17" s="1"/>
  <c r="AB131" i="17"/>
  <c r="AD131" i="17" s="1"/>
  <c r="AB280" i="17"/>
  <c r="AD280" i="17" s="1"/>
  <c r="AB136" i="17"/>
  <c r="AD136" i="17" s="1"/>
  <c r="AB267" i="17"/>
  <c r="AD267" i="17" s="1"/>
  <c r="AB279" i="17"/>
  <c r="AD279" i="17" s="1"/>
  <c r="AB169" i="17"/>
  <c r="AD169" i="17" s="1"/>
  <c r="AB237" i="17"/>
  <c r="AD237" i="17" s="1"/>
  <c r="AB251" i="17"/>
  <c r="AD251" i="17" s="1"/>
  <c r="AB206" i="17"/>
  <c r="AD206" i="17" s="1"/>
  <c r="AB212" i="17"/>
  <c r="AD212" i="17" s="1"/>
  <c r="AB226" i="17"/>
  <c r="AD226" i="17" s="1"/>
  <c r="AB188" i="17"/>
  <c r="AD188" i="17" s="1"/>
  <c r="AB228" i="17"/>
  <c r="AD228" i="17" s="1"/>
  <c r="AB287" i="17"/>
  <c r="AD287" i="17" s="1"/>
  <c r="AB141" i="17"/>
  <c r="AD141" i="17" s="1"/>
  <c r="AB234" i="17"/>
  <c r="AD234" i="17" s="1"/>
  <c r="AB126" i="17"/>
  <c r="AD126" i="17" s="1"/>
  <c r="AB298" i="17"/>
  <c r="AD298" i="17" s="1"/>
  <c r="AB174" i="17"/>
  <c r="AD174" i="17" s="1"/>
  <c r="AB329" i="17"/>
  <c r="AD329" i="17" s="1"/>
  <c r="AB309" i="17"/>
  <c r="AD309" i="17" s="1"/>
  <c r="AB223" i="17"/>
  <c r="AD223" i="17" s="1"/>
  <c r="AB314" i="17"/>
  <c r="AD314" i="17" s="1"/>
  <c r="AB142" i="17"/>
  <c r="AD142" i="17" s="1"/>
  <c r="AB87" i="17"/>
  <c r="AD87" i="17" s="1"/>
  <c r="AB137" i="17"/>
  <c r="AD137" i="17" s="1"/>
  <c r="AB211" i="17"/>
  <c r="AD211" i="17" s="1"/>
  <c r="AB100" i="17"/>
  <c r="AD100" i="17" s="1"/>
  <c r="F113" i="7"/>
  <c r="AB98" i="17"/>
  <c r="AD98" i="17" s="1"/>
  <c r="AB90" i="17"/>
  <c r="AD90" i="17" s="1"/>
  <c r="AB146" i="17"/>
  <c r="AD146" i="17" s="1"/>
  <c r="AB172" i="17"/>
  <c r="AD172" i="17" s="1"/>
  <c r="AB326" i="17"/>
  <c r="AD326" i="17" s="1"/>
  <c r="AB328" i="17"/>
  <c r="AD328" i="17" s="1"/>
  <c r="AB239" i="17"/>
  <c r="AD239" i="17" s="1"/>
  <c r="AB322" i="17"/>
  <c r="AD322" i="17" s="1"/>
  <c r="AB222" i="17"/>
  <c r="AD222" i="17" s="1"/>
  <c r="AB167" i="17"/>
  <c r="AD167" i="17" s="1"/>
  <c r="AB110" i="17"/>
  <c r="AD110" i="17" s="1"/>
  <c r="AB310" i="17"/>
  <c r="AD310" i="17" s="1"/>
  <c r="AB132" i="17"/>
  <c r="AD132" i="17" s="1"/>
  <c r="AB108" i="17"/>
  <c r="AD108" i="17" s="1"/>
  <c r="AB302" i="17"/>
  <c r="AD302" i="17" s="1"/>
  <c r="AB195" i="17"/>
  <c r="AD195" i="17" s="1"/>
  <c r="AB161" i="17"/>
  <c r="AD161" i="17" s="1"/>
  <c r="AB192" i="17"/>
  <c r="AD192" i="17" s="1"/>
  <c r="AB232" i="17"/>
  <c r="AD232" i="17" s="1"/>
  <c r="AB180" i="17"/>
  <c r="AD180" i="17" s="1"/>
  <c r="AB94" i="17"/>
  <c r="AD94" i="17" s="1"/>
  <c r="AB96" i="17"/>
  <c r="AD96" i="17" s="1"/>
  <c r="AB144" i="17"/>
  <c r="AD144" i="17" s="1"/>
  <c r="AB157" i="17"/>
  <c r="AD157" i="17" s="1"/>
  <c r="AB281" i="17"/>
  <c r="AD281" i="17" s="1"/>
  <c r="AB170" i="17"/>
  <c r="AD170" i="17" s="1"/>
  <c r="AB323" i="17"/>
  <c r="AD323" i="17" s="1"/>
  <c r="AB295" i="17"/>
  <c r="AD295" i="17" s="1"/>
  <c r="AB244" i="17"/>
  <c r="AD244" i="17" s="1"/>
  <c r="AB128" i="17"/>
  <c r="AD128" i="17" s="1"/>
  <c r="AB85" i="17"/>
  <c r="AD85" i="17" s="1"/>
  <c r="AB286" i="17"/>
  <c r="AD286" i="17" s="1"/>
  <c r="AB106" i="17"/>
  <c r="AD106" i="17" s="1"/>
  <c r="AB88" i="17"/>
  <c r="AD88" i="17" s="1"/>
  <c r="AB105" i="17"/>
  <c r="AD105" i="17" s="1"/>
  <c r="AB325" i="17"/>
  <c r="AD325" i="17" s="1"/>
  <c r="AB257" i="17"/>
  <c r="AD257" i="17" s="1"/>
  <c r="AB289" i="17"/>
  <c r="AD289" i="17" s="1"/>
  <c r="AB115" i="17"/>
  <c r="AD115" i="17" s="1"/>
  <c r="AB122" i="17"/>
  <c r="AD122" i="17" s="1"/>
  <c r="AB200" i="17"/>
  <c r="AD200" i="17" s="1"/>
  <c r="AB258" i="17"/>
  <c r="AD258" i="17" s="1"/>
  <c r="AB104" i="17"/>
  <c r="AD104" i="17" s="1"/>
  <c r="AB300" i="17"/>
  <c r="AD300" i="17" s="1"/>
  <c r="AB277" i="17"/>
  <c r="AD277" i="17" s="1"/>
  <c r="AB247" i="17"/>
  <c r="AD247" i="17" s="1"/>
  <c r="AB93" i="17"/>
  <c r="AD93" i="17" s="1"/>
  <c r="AB178" i="17"/>
  <c r="AD178" i="17" s="1"/>
  <c r="AB190" i="17"/>
  <c r="AD190" i="17" s="1"/>
  <c r="AB150" i="17"/>
  <c r="AD150" i="17" s="1"/>
  <c r="AB312" i="17"/>
  <c r="AD312" i="17" s="1"/>
  <c r="AB173" i="17"/>
  <c r="AD173" i="17" s="1"/>
  <c r="AB139" i="17"/>
  <c r="AD139" i="17" s="1"/>
  <c r="AB311" i="17"/>
  <c r="AD311" i="17" s="1"/>
  <c r="AB256" i="17"/>
  <c r="AD256" i="17" s="1"/>
  <c r="AB166" i="17"/>
  <c r="AD166" i="17" s="1"/>
  <c r="AB316" i="17"/>
  <c r="AD316" i="17" s="1"/>
  <c r="AB193" i="17"/>
  <c r="AD193" i="17" s="1"/>
  <c r="AB177" i="17"/>
  <c r="AD177" i="17" s="1"/>
  <c r="AB215" i="17"/>
  <c r="AD215" i="17" s="1"/>
  <c r="AB293" i="17"/>
  <c r="AD293" i="17" s="1"/>
  <c r="AB319" i="17"/>
  <c r="AD319" i="17" s="1"/>
  <c r="AB164" i="17"/>
  <c r="AD164" i="17" s="1"/>
  <c r="AB119" i="17"/>
  <c r="AD119" i="17" s="1"/>
  <c r="AB109" i="17"/>
  <c r="AD109" i="17" s="1"/>
  <c r="AB233" i="17"/>
  <c r="AD233" i="17" s="1"/>
  <c r="AB153" i="17"/>
  <c r="AD153" i="17" s="1"/>
  <c r="AB129" i="17"/>
  <c r="AD129" i="17" s="1"/>
  <c r="AB227" i="17"/>
  <c r="AD227" i="17" s="1"/>
  <c r="AB318" i="17"/>
  <c r="AD318" i="17" s="1"/>
  <c r="AB231" i="17"/>
  <c r="AD231" i="17" s="1"/>
  <c r="AB101" i="17"/>
  <c r="AD101" i="17" s="1"/>
  <c r="AB182" i="17"/>
  <c r="AD182" i="17" s="1"/>
  <c r="AB306" i="17"/>
  <c r="AD306" i="17" s="1"/>
  <c r="AB290" i="17"/>
  <c r="AD290" i="17" s="1"/>
  <c r="AB242" i="17"/>
  <c r="AD242" i="17" s="1"/>
  <c r="AB92" i="17"/>
  <c r="AD92" i="17" s="1"/>
  <c r="AB95" i="17"/>
  <c r="AD95" i="17" s="1"/>
  <c r="AB135" i="17"/>
  <c r="AD135" i="17" s="1"/>
  <c r="AB204" i="17"/>
  <c r="AD204" i="17" s="1"/>
  <c r="AB221" i="17"/>
  <c r="AD221" i="17" s="1"/>
  <c r="AB145" i="17"/>
  <c r="AD145" i="17" s="1"/>
  <c r="AB236" i="17"/>
  <c r="AD236" i="17" s="1"/>
  <c r="AB301" i="17"/>
  <c r="AD301" i="17" s="1"/>
  <c r="AB112" i="17"/>
  <c r="AD112" i="17" s="1"/>
  <c r="AB315" i="17"/>
  <c r="AD315" i="17" s="1"/>
  <c r="AB213" i="17"/>
  <c r="AD213" i="17" s="1"/>
  <c r="AB218" i="17"/>
  <c r="AD218" i="17" s="1"/>
  <c r="AB118" i="17"/>
  <c r="AD118" i="17" s="1"/>
  <c r="AB127" i="17"/>
  <c r="AD127" i="17" s="1"/>
  <c r="AB269" i="17"/>
  <c r="AD269" i="17" s="1"/>
  <c r="AB80" i="17"/>
  <c r="AD80" i="17" s="1"/>
  <c r="AB134" i="17"/>
  <c r="AD134" i="17" s="1"/>
  <c r="AB99" i="17"/>
  <c r="AD99" i="17" s="1"/>
  <c r="AB240" i="17"/>
  <c r="AD240" i="17" s="1"/>
  <c r="AB230" i="17"/>
  <c r="AD230" i="17" s="1"/>
  <c r="AB163" i="17"/>
  <c r="AD163" i="17" s="1"/>
  <c r="AB147" i="17"/>
  <c r="AD147" i="17" s="1"/>
  <c r="AB208" i="17"/>
  <c r="AD208" i="17" s="1"/>
  <c r="AB162" i="17"/>
  <c r="AD162" i="17" s="1"/>
  <c r="AB275" i="17"/>
  <c r="AD275" i="17" s="1"/>
  <c r="AB203" i="17"/>
  <c r="AD203" i="17" s="1"/>
  <c r="AB250" i="17"/>
  <c r="AD250" i="17" s="1"/>
  <c r="AB229" i="17"/>
  <c r="AD229" i="17" s="1"/>
  <c r="AB154" i="17"/>
  <c r="AD154" i="17" s="1"/>
  <c r="AB241" i="17"/>
  <c r="AD241" i="17" s="1"/>
  <c r="AB81" i="17"/>
  <c r="AD81" i="17" s="1"/>
  <c r="AB148" i="17"/>
  <c r="AD148" i="17" s="1"/>
  <c r="AB285" i="17"/>
  <c r="AD285" i="17" s="1"/>
  <c r="AB297" i="17"/>
  <c r="AD297" i="17" s="1"/>
  <c r="AB83" i="17"/>
  <c r="AD83" i="17" s="1"/>
  <c r="AB317" i="17"/>
  <c r="AD317" i="17" s="1"/>
  <c r="AB130" i="17"/>
  <c r="AD130" i="17" s="1"/>
  <c r="AA127" i="17"/>
  <c r="AA190" i="17"/>
  <c r="AA174" i="17"/>
  <c r="AA163" i="17"/>
  <c r="AA226" i="17"/>
  <c r="AA188" i="17"/>
  <c r="AA139" i="17"/>
  <c r="AA228" i="17"/>
  <c r="AA287" i="17"/>
  <c r="AA311" i="17"/>
  <c r="AA234" i="17"/>
  <c r="AA126" i="17"/>
  <c r="F114" i="7"/>
  <c r="AA111" i="17"/>
  <c r="AA306" i="17"/>
  <c r="AA317" i="17"/>
  <c r="AA309" i="17"/>
  <c r="AA223" i="17"/>
  <c r="AA221" i="17"/>
  <c r="AA142" i="17"/>
  <c r="AA87" i="17"/>
  <c r="AA144" i="17"/>
  <c r="AA211" i="17"/>
  <c r="AA98" i="17"/>
  <c r="AA269" i="17"/>
  <c r="AA192" i="17"/>
  <c r="AA260" i="17"/>
  <c r="AA299" i="17"/>
  <c r="AA297" i="17"/>
  <c r="AA292" i="17"/>
  <c r="AA255" i="17"/>
  <c r="AA204" i="17"/>
  <c r="AA225" i="17"/>
  <c r="AA184" i="17"/>
  <c r="AA96" i="17"/>
  <c r="AA319" i="17"/>
  <c r="AA151" i="17"/>
  <c r="AA161" i="17"/>
  <c r="AA100" i="17"/>
  <c r="AA322" i="17"/>
  <c r="AA156" i="17"/>
  <c r="AA133" i="17"/>
  <c r="AA140" i="17"/>
  <c r="AA256" i="17"/>
  <c r="AA243" i="17"/>
  <c r="AA288" i="17"/>
  <c r="AA148" i="17"/>
  <c r="AA177" i="17"/>
  <c r="AA157" i="17"/>
  <c r="AA118" i="17"/>
  <c r="AA91" i="17"/>
  <c r="AA143" i="17"/>
  <c r="AA289" i="17"/>
  <c r="AA113" i="17"/>
  <c r="AA263" i="17"/>
  <c r="AA250" i="17"/>
  <c r="AA290" i="17"/>
  <c r="AA325" i="17"/>
  <c r="AA105" i="17"/>
  <c r="AA283" i="17"/>
  <c r="AA262" i="17"/>
  <c r="AA219" i="17"/>
  <c r="AA268" i="17"/>
  <c r="AA129" i="17"/>
  <c r="AA210" i="17"/>
  <c r="AA207" i="17"/>
  <c r="AA172" i="17"/>
  <c r="AA275" i="17"/>
  <c r="AA244" i="17"/>
  <c r="AA120" i="17"/>
  <c r="AA203" i="17"/>
  <c r="AA117" i="17"/>
  <c r="AA308" i="17"/>
  <c r="AA285" i="17"/>
  <c r="AA102" i="17"/>
  <c r="AA230" i="17"/>
  <c r="AA217" i="17"/>
  <c r="AA246" i="17"/>
  <c r="AA153" i="17"/>
  <c r="AA294" i="17"/>
  <c r="AA213" i="17"/>
  <c r="AA195" i="17"/>
  <c r="AA108" i="17"/>
  <c r="AA162" i="17"/>
  <c r="AA90" i="17"/>
  <c r="AA175" i="17"/>
  <c r="AA326" i="17"/>
  <c r="AA276" i="17"/>
  <c r="AA159" i="17"/>
  <c r="AA264" i="17"/>
  <c r="AA115" i="17"/>
  <c r="AA254" i="17"/>
  <c r="AA303" i="17"/>
  <c r="AA277" i="17"/>
  <c r="AA84" i="17"/>
  <c r="AA240" i="17"/>
  <c r="AA272" i="17"/>
  <c r="AA236" i="17"/>
  <c r="AA282" i="17"/>
  <c r="AA261" i="17"/>
  <c r="AA281" i="17"/>
  <c r="AA216" i="17"/>
  <c r="AA119" i="17"/>
  <c r="AA215" i="17"/>
  <c r="AA208" i="17"/>
  <c r="AA164" i="17"/>
  <c r="AA259" i="17"/>
  <c r="AA122" i="17"/>
  <c r="AA241" i="17"/>
  <c r="AA194" i="17"/>
  <c r="AA107" i="17"/>
  <c r="AA312" i="17"/>
  <c r="AA235" i="17"/>
  <c r="AA138" i="17"/>
  <c r="AA88" i="17"/>
  <c r="AA171" i="17"/>
  <c r="AA316" i="17"/>
  <c r="AA214" i="17"/>
  <c r="AA183" i="17"/>
  <c r="AA160" i="17"/>
  <c r="AA154" i="17"/>
  <c r="AA197" i="17"/>
  <c r="AA187" i="17"/>
  <c r="AA150" i="17"/>
  <c r="AA80" i="17"/>
  <c r="AA85" i="17"/>
  <c r="AA106" i="17"/>
  <c r="AA258" i="17"/>
  <c r="AA145" i="17"/>
  <c r="AA270" i="17"/>
  <c r="AA301" i="17"/>
  <c r="AA248" i="17"/>
  <c r="AA201" i="17"/>
  <c r="AA170" i="17"/>
  <c r="AA273" i="17"/>
  <c r="AA266" i="17"/>
  <c r="AA182" i="17"/>
  <c r="AA101" i="17"/>
  <c r="AA147" i="17"/>
  <c r="AA300" i="17"/>
  <c r="AA167" i="17"/>
  <c r="AA224" i="17"/>
  <c r="AA323" i="17"/>
  <c r="AA185" i="17"/>
  <c r="AA324" i="17"/>
  <c r="AA318" i="17"/>
  <c r="AA278" i="17"/>
  <c r="AA249" i="17"/>
  <c r="AA328" i="17"/>
  <c r="AA178" i="17"/>
  <c r="AA135" i="17"/>
  <c r="AA82" i="17"/>
  <c r="AA155" i="17"/>
  <c r="AA302" i="17"/>
  <c r="AA99" i="17"/>
  <c r="AA186" i="17"/>
  <c r="AA123" i="17"/>
  <c r="AA257" i="17"/>
  <c r="AA125" i="17"/>
  <c r="AA103" i="17"/>
  <c r="AA193" i="17"/>
  <c r="AA173" i="17"/>
  <c r="AA247" i="17"/>
  <c r="AA89" i="17"/>
  <c r="AA227" i="17"/>
  <c r="AA222" i="17"/>
  <c r="AA330" i="17"/>
  <c r="AA196" i="17"/>
  <c r="AA134" i="17"/>
  <c r="AA220" i="17"/>
  <c r="AA238" i="17"/>
  <c r="AA130" i="17"/>
  <c r="AA104" i="17"/>
  <c r="AA94" i="17"/>
  <c r="AA280" i="17"/>
  <c r="AA279" i="17"/>
  <c r="AA231" i="17"/>
  <c r="AA237" i="17"/>
  <c r="AA251" i="17"/>
  <c r="AA239" i="17"/>
  <c r="AA212" i="17"/>
  <c r="AA253" i="17"/>
  <c r="AA121" i="17"/>
  <c r="AA97" i="17"/>
  <c r="AA176" i="17"/>
  <c r="AA158" i="17"/>
  <c r="AA229" i="17"/>
  <c r="AA181" i="17"/>
  <c r="AA296" i="17"/>
  <c r="AA298" i="17"/>
  <c r="AA305" i="17"/>
  <c r="AA307" i="17"/>
  <c r="AA92" i="17"/>
  <c r="AA132" i="17"/>
  <c r="AA209" i="17"/>
  <c r="AA291" i="17"/>
  <c r="AA166" i="17"/>
  <c r="AA124" i="17"/>
  <c r="AA206" i="17"/>
  <c r="AA233" i="17"/>
  <c r="AA329" i="17"/>
  <c r="AA245" i="17"/>
  <c r="AA252" i="17"/>
  <c r="AA128" i="17"/>
  <c r="AA200" i="17"/>
  <c r="AA265" i="17"/>
  <c r="AA137" i="17"/>
  <c r="AA315" i="17"/>
  <c r="AA114" i="17"/>
  <c r="AA189" i="17"/>
  <c r="AA313" i="17"/>
  <c r="AA109" i="17"/>
  <c r="AA136" i="17"/>
  <c r="AA112" i="17"/>
  <c r="AA131" i="17"/>
  <c r="AA165" i="17"/>
  <c r="AA286" i="17"/>
  <c r="AA205" i="17"/>
  <c r="AA327" i="17"/>
  <c r="AA191" i="17"/>
  <c r="AA295" i="17"/>
  <c r="AA83" i="17"/>
  <c r="AA110" i="17"/>
  <c r="AA304" i="17"/>
  <c r="AA284" i="17"/>
  <c r="AA93" i="17"/>
  <c r="AA116" i="17"/>
  <c r="AA141" i="17"/>
  <c r="AA149" i="17"/>
  <c r="AA310" i="17"/>
  <c r="AA179" i="17"/>
  <c r="AA242" i="17"/>
  <c r="AA271" i="17"/>
  <c r="AA168" i="17"/>
  <c r="AA95" i="17"/>
  <c r="AA267" i="17"/>
  <c r="AA169" i="17"/>
  <c r="AA320" i="17"/>
  <c r="AA146" i="17"/>
  <c r="AA293" i="17"/>
  <c r="AA86" i="17"/>
  <c r="AA218" i="17"/>
  <c r="AA81" i="17"/>
  <c r="AA274" i="17"/>
  <c r="AA314" i="17"/>
  <c r="AA180" i="17"/>
  <c r="AA202" i="17"/>
  <c r="AA321" i="17"/>
  <c r="AA152" i="17"/>
  <c r="AA199" i="17"/>
  <c r="AA232" i="17"/>
  <c r="AA198" i="17"/>
  <c r="T188" i="17"/>
  <c r="T263" i="17"/>
  <c r="T137" i="17"/>
  <c r="T282" i="17"/>
  <c r="T104" i="17"/>
  <c r="T224" i="17"/>
  <c r="T164" i="17"/>
  <c r="T203" i="17"/>
  <c r="T289" i="17"/>
  <c r="T194" i="17"/>
  <c r="T183" i="17"/>
  <c r="T174" i="17"/>
  <c r="F110" i="7"/>
  <c r="T157" i="17"/>
  <c r="T274" i="17"/>
  <c r="T91" i="17"/>
  <c r="T133" i="17"/>
  <c r="T185" i="17"/>
  <c r="T225" i="17"/>
  <c r="T103" i="17"/>
  <c r="T284" i="17"/>
  <c r="T178" i="17"/>
  <c r="T261" i="17"/>
  <c r="T232" i="17"/>
  <c r="T221" i="17"/>
  <c r="T126" i="17"/>
  <c r="T131" i="17"/>
  <c r="T220" i="17"/>
  <c r="T280" i="17"/>
  <c r="T139" i="17"/>
  <c r="T114" i="17"/>
  <c r="T152" i="17"/>
  <c r="T286" i="17"/>
  <c r="T291" i="17"/>
  <c r="T166" i="17"/>
  <c r="T154" i="17"/>
  <c r="T317" i="17"/>
  <c r="T223" i="17"/>
  <c r="T278" i="17"/>
  <c r="T173" i="17"/>
  <c r="T311" i="17"/>
  <c r="T222" i="17"/>
  <c r="T227" i="17"/>
  <c r="T281" i="17"/>
  <c r="T272" i="17"/>
  <c r="T212" i="17"/>
  <c r="T167" i="17"/>
  <c r="T254" i="17"/>
  <c r="T141" i="17"/>
  <c r="T112" i="17"/>
  <c r="T246" i="17"/>
  <c r="T271" i="17"/>
  <c r="T88" i="17"/>
  <c r="T319" i="17"/>
  <c r="T148" i="17"/>
  <c r="T187" i="17"/>
  <c r="T273" i="17"/>
  <c r="T245" i="17"/>
  <c r="T216" i="17"/>
  <c r="T125" i="17"/>
  <c r="T110" i="17"/>
  <c r="T113" i="17"/>
  <c r="T247" i="17"/>
  <c r="T297" i="17"/>
  <c r="T169" i="17"/>
  <c r="T208" i="17"/>
  <c r="T87" i="17"/>
  <c r="T267" i="17"/>
  <c r="T162" i="17"/>
  <c r="T200" i="17"/>
  <c r="T138" i="17"/>
  <c r="T94" i="17"/>
  <c r="T97" i="17"/>
  <c r="T276" i="17"/>
  <c r="T121" i="17"/>
  <c r="T163" i="17"/>
  <c r="T123" i="17"/>
  <c r="T209" i="17"/>
  <c r="T136" i="17"/>
  <c r="T301" i="17"/>
  <c r="T275" i="17"/>
  <c r="T122" i="17"/>
  <c r="T124" i="17"/>
  <c r="T191" i="17"/>
  <c r="T323" i="17"/>
  <c r="T312" i="17"/>
  <c r="T250" i="17"/>
  <c r="T83" i="17"/>
  <c r="T237" i="17"/>
  <c r="T98" i="17"/>
  <c r="T217" i="17"/>
  <c r="T308" i="17"/>
  <c r="T196" i="17"/>
  <c r="T108" i="17"/>
  <c r="T109" i="17"/>
  <c r="T81" i="17"/>
  <c r="T242" i="17"/>
  <c r="T218" i="17"/>
  <c r="T204" i="17"/>
  <c r="T117" i="17"/>
  <c r="T206" i="17"/>
  <c r="T211" i="17"/>
  <c r="T171" i="17"/>
  <c r="T256" i="17"/>
  <c r="T229" i="17"/>
  <c r="T268" i="17"/>
  <c r="T82" i="17"/>
  <c r="T80" i="17"/>
  <c r="T99" i="17"/>
  <c r="T325" i="17"/>
  <c r="T145" i="17"/>
  <c r="T295" i="17"/>
  <c r="T303" i="17"/>
  <c r="T266" i="17"/>
  <c r="T316" i="17"/>
  <c r="T257" i="17"/>
  <c r="T184" i="17"/>
  <c r="T158" i="17"/>
  <c r="T175" i="17"/>
  <c r="T84" i="17"/>
  <c r="T327" i="17"/>
  <c r="T230" i="17"/>
  <c r="T296" i="17"/>
  <c r="T294" i="17"/>
  <c r="T192" i="17"/>
  <c r="T298" i="17"/>
  <c r="T142" i="17"/>
  <c r="T146" i="17"/>
  <c r="T106" i="17"/>
  <c r="T190" i="17"/>
  <c r="T251" i="17"/>
  <c r="T326" i="17"/>
  <c r="T328" i="17"/>
  <c r="T231" i="17"/>
  <c r="T290" i="17"/>
  <c r="T107" i="17"/>
  <c r="T193" i="17"/>
  <c r="T120" i="17"/>
  <c r="T244" i="17"/>
  <c r="T259" i="17"/>
  <c r="T92" i="17"/>
  <c r="T318" i="17"/>
  <c r="T320" i="17"/>
  <c r="T324" i="17"/>
  <c r="T215" i="17"/>
  <c r="T105" i="17"/>
  <c r="T147" i="17"/>
  <c r="T236" i="17"/>
  <c r="I16" i="17"/>
  <c r="T201" i="17"/>
  <c r="T240" i="17"/>
  <c r="T180" i="17"/>
  <c r="T315" i="17"/>
  <c r="T159" i="17"/>
  <c r="T321" i="17"/>
  <c r="T293" i="17"/>
  <c r="T89" i="17"/>
  <c r="T239" i="17"/>
  <c r="T314" i="17"/>
  <c r="T287" i="17"/>
  <c r="T149" i="17"/>
  <c r="T155" i="17"/>
  <c r="T241" i="17"/>
  <c r="T119" i="17"/>
  <c r="T249" i="17"/>
  <c r="T234" i="17"/>
  <c r="T260" i="17"/>
  <c r="T198" i="17"/>
  <c r="T186" i="17"/>
  <c r="T128" i="17"/>
  <c r="T101" i="17"/>
  <c r="T176" i="17"/>
  <c r="T330" i="17"/>
  <c r="T299" i="17"/>
  <c r="T130" i="17"/>
  <c r="T168" i="17"/>
  <c r="T302" i="17"/>
  <c r="T304" i="17"/>
  <c r="T277" i="17"/>
  <c r="T199" i="17"/>
  <c r="T172" i="17"/>
  <c r="T129" i="17"/>
  <c r="T265" i="17"/>
  <c r="T177" i="17"/>
  <c r="T233" i="17"/>
  <c r="T306" i="17"/>
  <c r="T243" i="17"/>
  <c r="T90" i="17"/>
  <c r="T288" i="17"/>
  <c r="T305" i="17"/>
  <c r="T182" i="17"/>
  <c r="T156" i="17"/>
  <c r="I14" i="17"/>
  <c r="T151" i="17"/>
  <c r="T214" i="17"/>
  <c r="T85" i="17"/>
  <c r="T140" i="17"/>
  <c r="T118" i="17"/>
  <c r="T207" i="17"/>
  <c r="T329" i="17"/>
  <c r="T300" i="17"/>
  <c r="T102" i="17"/>
  <c r="T322" i="17"/>
  <c r="T95" i="17"/>
  <c r="T93" i="17"/>
  <c r="T86" i="17"/>
  <c r="T210" i="17"/>
  <c r="T153" i="17"/>
  <c r="T143" i="17"/>
  <c r="T116" i="17"/>
  <c r="T307" i="17"/>
  <c r="T115" i="17"/>
  <c r="T127" i="17"/>
  <c r="T100" i="17"/>
  <c r="T150" i="17"/>
  <c r="T270" i="17"/>
  <c r="T144" i="17"/>
  <c r="T134" i="17"/>
  <c r="T170" i="17"/>
  <c r="T189" i="17"/>
  <c r="T213" i="17"/>
  <c r="T283" i="17"/>
  <c r="T269" i="17"/>
  <c r="T197" i="17"/>
  <c r="T285" i="17"/>
  <c r="T219" i="17"/>
  <c r="T226" i="17"/>
  <c r="T181" i="17"/>
  <c r="T248" i="17"/>
  <c r="T252" i="17"/>
  <c r="T135" i="17"/>
  <c r="T132" i="17"/>
  <c r="T279" i="17"/>
  <c r="T235" i="17"/>
  <c r="T165" i="17"/>
  <c r="T195" i="17"/>
  <c r="T111" i="17"/>
  <c r="T310" i="17"/>
  <c r="T161" i="17"/>
  <c r="T179" i="17"/>
  <c r="T238" i="17"/>
  <c r="T313" i="17"/>
  <c r="T96" i="17"/>
  <c r="T160" i="17"/>
  <c r="T253" i="17"/>
  <c r="T258" i="17"/>
  <c r="T292" i="17"/>
  <c r="T255" i="17"/>
  <c r="T205" i="17"/>
  <c r="T309" i="17"/>
  <c r="T228" i="17"/>
  <c r="T202" i="17"/>
  <c r="T262" i="17"/>
  <c r="T264" i="17"/>
  <c r="I15" i="17"/>
  <c r="Y5" i="17"/>
  <c r="Y8" i="17"/>
  <c r="Z5" i="17" l="1"/>
  <c r="G19" i="17" s="1"/>
  <c r="Z182" i="17" l="1"/>
  <c r="AC182" i="17" s="1"/>
  <c r="AE182" i="17" s="1"/>
  <c r="Z306" i="17"/>
  <c r="AC306" i="17" s="1"/>
  <c r="AE306" i="17" s="1"/>
  <c r="Z317" i="17"/>
  <c r="AC317" i="17" s="1"/>
  <c r="AE317" i="17" s="1"/>
  <c r="Z309" i="17"/>
  <c r="AC309" i="17" s="1"/>
  <c r="AE309" i="17" s="1"/>
  <c r="Z223" i="17"/>
  <c r="AC223" i="17" s="1"/>
  <c r="AE223" i="17" s="1"/>
  <c r="Z314" i="17"/>
  <c r="AC314" i="17" s="1"/>
  <c r="AE314" i="17" s="1"/>
  <c r="Z142" i="17"/>
  <c r="AC142" i="17" s="1"/>
  <c r="AE142" i="17" s="1"/>
  <c r="Z87" i="17"/>
  <c r="AC87" i="17" s="1"/>
  <c r="AE87" i="17" s="1"/>
  <c r="Z137" i="17"/>
  <c r="AC137" i="17" s="1"/>
  <c r="AE137" i="17" s="1"/>
  <c r="Z211" i="17"/>
  <c r="AC211" i="17" s="1"/>
  <c r="AE211" i="17" s="1"/>
  <c r="Z286" i="17"/>
  <c r="AC286" i="17" s="1"/>
  <c r="AE286" i="17" s="1"/>
  <c r="Z192" i="17"/>
  <c r="AC192" i="17" s="1"/>
  <c r="AE192" i="17" s="1"/>
  <c r="Z299" i="17"/>
  <c r="AC299" i="17" s="1"/>
  <c r="AE299" i="17" s="1"/>
  <c r="Z297" i="17"/>
  <c r="AC297" i="17" s="1"/>
  <c r="AE297" i="17" s="1"/>
  <c r="Z292" i="17"/>
  <c r="AC292" i="17" s="1"/>
  <c r="AE292" i="17" s="1"/>
  <c r="Z255" i="17"/>
  <c r="AC255" i="17" s="1"/>
  <c r="AE255" i="17" s="1"/>
  <c r="Z204" i="17"/>
  <c r="AC204" i="17" s="1"/>
  <c r="AE204" i="17" s="1"/>
  <c r="Z225" i="17"/>
  <c r="AC225" i="17" s="1"/>
  <c r="AE225" i="17" s="1"/>
  <c r="Z184" i="17"/>
  <c r="AC184" i="17" s="1"/>
  <c r="AE184" i="17" s="1"/>
  <c r="Z95" i="17"/>
  <c r="AC95" i="17" s="1"/>
  <c r="AE95" i="17" s="1"/>
  <c r="Z319" i="17"/>
  <c r="AC319" i="17" s="1"/>
  <c r="AE319" i="17" s="1"/>
  <c r="Z151" i="17"/>
  <c r="AC151" i="17" s="1"/>
  <c r="AE151" i="17" s="1"/>
  <c r="Z245" i="17"/>
  <c r="AC245" i="17" s="1"/>
  <c r="AE245" i="17" s="1"/>
  <c r="Z156" i="17"/>
  <c r="AC156" i="17" s="1"/>
  <c r="AE156" i="17" s="1"/>
  <c r="Z133" i="17"/>
  <c r="AC133" i="17" s="1"/>
  <c r="AE133" i="17" s="1"/>
  <c r="Z140" i="17"/>
  <c r="AC140" i="17" s="1"/>
  <c r="AE140" i="17" s="1"/>
  <c r="Z149" i="17"/>
  <c r="AC149" i="17" s="1"/>
  <c r="AE149" i="17" s="1"/>
  <c r="Z243" i="17"/>
  <c r="AC243" i="17" s="1"/>
  <c r="AE243" i="17" s="1"/>
  <c r="Z288" i="17"/>
  <c r="AC288" i="17" s="1"/>
  <c r="AE288" i="17" s="1"/>
  <c r="Z305" i="17"/>
  <c r="AC305" i="17" s="1"/>
  <c r="AE305" i="17" s="1"/>
  <c r="Z177" i="17"/>
  <c r="AC177" i="17" s="1"/>
  <c r="AE177" i="17" s="1"/>
  <c r="Z118" i="17"/>
  <c r="AC118" i="17" s="1"/>
  <c r="AE118" i="17" s="1"/>
  <c r="Z91" i="17"/>
  <c r="AC91" i="17" s="1"/>
  <c r="AE91" i="17" s="1"/>
  <c r="Z143" i="17"/>
  <c r="AC143" i="17" s="1"/>
  <c r="AE143" i="17" s="1"/>
  <c r="Z289" i="17"/>
  <c r="AC289" i="17" s="1"/>
  <c r="AE289" i="17" s="1"/>
  <c r="Z113" i="17"/>
  <c r="AC113" i="17" s="1"/>
  <c r="AE113" i="17" s="1"/>
  <c r="Z263" i="17"/>
  <c r="AC263" i="17" s="1"/>
  <c r="AE263" i="17" s="1"/>
  <c r="Z250" i="17"/>
  <c r="AC250" i="17" s="1"/>
  <c r="AE250" i="17" s="1"/>
  <c r="Z179" i="17"/>
  <c r="AC179" i="17" s="1"/>
  <c r="AE179" i="17" s="1"/>
  <c r="Z233" i="17"/>
  <c r="AC233" i="17" s="1"/>
  <c r="AE233" i="17" s="1"/>
  <c r="Z105" i="17"/>
  <c r="AC105" i="17" s="1"/>
  <c r="AE105" i="17" s="1"/>
  <c r="Z283" i="17"/>
  <c r="AC283" i="17" s="1"/>
  <c r="AE283" i="17" s="1"/>
  <c r="Z262" i="17"/>
  <c r="AC262" i="17" s="1"/>
  <c r="AE262" i="17" s="1"/>
  <c r="Z219" i="17"/>
  <c r="AC219" i="17" s="1"/>
  <c r="AE219" i="17" s="1"/>
  <c r="Z268" i="17"/>
  <c r="AC268" i="17" s="1"/>
  <c r="AE268" i="17" s="1"/>
  <c r="Z168" i="17"/>
  <c r="AC168" i="17" s="1"/>
  <c r="AE168" i="17" s="1"/>
  <c r="Z210" i="17"/>
  <c r="AC210" i="17" s="1"/>
  <c r="AE210" i="17" s="1"/>
  <c r="Z207" i="17"/>
  <c r="AC207" i="17" s="1"/>
  <c r="AE207" i="17" s="1"/>
  <c r="Z209" i="17"/>
  <c r="AC209" i="17" s="1"/>
  <c r="AE209" i="17" s="1"/>
  <c r="Z120" i="17"/>
  <c r="AC120" i="17" s="1"/>
  <c r="AE120" i="17" s="1"/>
  <c r="Z203" i="17"/>
  <c r="AC203" i="17" s="1"/>
  <c r="AE203" i="17" s="1"/>
  <c r="Z117" i="17"/>
  <c r="AC117" i="17" s="1"/>
  <c r="AE117" i="17" s="1"/>
  <c r="Z308" i="17"/>
  <c r="AC308" i="17" s="1"/>
  <c r="AE308" i="17" s="1"/>
  <c r="Z102" i="17"/>
  <c r="AC102" i="17" s="1"/>
  <c r="AE102" i="17" s="1"/>
  <c r="Z230" i="17"/>
  <c r="AC230" i="17" s="1"/>
  <c r="AE230" i="17" s="1"/>
  <c r="Z217" i="17"/>
  <c r="AC217" i="17" s="1"/>
  <c r="AE217" i="17" s="1"/>
  <c r="Z246" i="17"/>
  <c r="AC246" i="17" s="1"/>
  <c r="AE246" i="17" s="1"/>
  <c r="Z153" i="17"/>
  <c r="AC153" i="17" s="1"/>
  <c r="AE153" i="17" s="1"/>
  <c r="Z294" i="17"/>
  <c r="AC294" i="17" s="1"/>
  <c r="AE294" i="17" s="1"/>
  <c r="Z108" i="17"/>
  <c r="AC108" i="17" s="1"/>
  <c r="AE108" i="17" s="1"/>
  <c r="Z162" i="17"/>
  <c r="AC162" i="17" s="1"/>
  <c r="AE162" i="17" s="1"/>
  <c r="Z90" i="17"/>
  <c r="AC90" i="17" s="1"/>
  <c r="AE90" i="17" s="1"/>
  <c r="Z175" i="17"/>
  <c r="AC175" i="17" s="1"/>
  <c r="AE175" i="17" s="1"/>
  <c r="Z159" i="17"/>
  <c r="AC159" i="17" s="1"/>
  <c r="AE159" i="17" s="1"/>
  <c r="Z264" i="17"/>
  <c r="AC264" i="17" s="1"/>
  <c r="AE264" i="17" s="1"/>
  <c r="Z191" i="17"/>
  <c r="AC191" i="17" s="1"/>
  <c r="AE191" i="17" s="1"/>
  <c r="Z254" i="17"/>
  <c r="AC254" i="17" s="1"/>
  <c r="AE254" i="17" s="1"/>
  <c r="Z303" i="17"/>
  <c r="AC303" i="17" s="1"/>
  <c r="AE303" i="17" s="1"/>
  <c r="Z97" i="17"/>
  <c r="AC97" i="17" s="1"/>
  <c r="AE97" i="17" s="1"/>
  <c r="Z272" i="17"/>
  <c r="AC272" i="17" s="1"/>
  <c r="AE272" i="17" s="1"/>
  <c r="Z236" i="17"/>
  <c r="AC236" i="17" s="1"/>
  <c r="AE236" i="17" s="1"/>
  <c r="Z282" i="17"/>
  <c r="AC282" i="17" s="1"/>
  <c r="AE282" i="17" s="1"/>
  <c r="Z261" i="17"/>
  <c r="AC261" i="17" s="1"/>
  <c r="AE261" i="17" s="1"/>
  <c r="Z281" i="17"/>
  <c r="AC281" i="17" s="1"/>
  <c r="AE281" i="17" s="1"/>
  <c r="Z216" i="17"/>
  <c r="AC216" i="17" s="1"/>
  <c r="AE216" i="17" s="1"/>
  <c r="Z215" i="17"/>
  <c r="AC215" i="17" s="1"/>
  <c r="AE215" i="17" s="1"/>
  <c r="Z208" i="17"/>
  <c r="AC208" i="17" s="1"/>
  <c r="AE208" i="17" s="1"/>
  <c r="Z164" i="17"/>
  <c r="AC164" i="17" s="1"/>
  <c r="AE164" i="17" s="1"/>
  <c r="Z259" i="17"/>
  <c r="AC259" i="17" s="1"/>
  <c r="AE259" i="17" s="1"/>
  <c r="Z315" i="17"/>
  <c r="AC315" i="17" s="1"/>
  <c r="AE315" i="17" s="1"/>
  <c r="Z291" i="17"/>
  <c r="AC291" i="17" s="1"/>
  <c r="AE291" i="17" s="1"/>
  <c r="Z194" i="17"/>
  <c r="AC194" i="17" s="1"/>
  <c r="AE194" i="17" s="1"/>
  <c r="Z107" i="17"/>
  <c r="AC107" i="17" s="1"/>
  <c r="AE107" i="17" s="1"/>
  <c r="Z284" i="17"/>
  <c r="AC284" i="17" s="1"/>
  <c r="AE284" i="17" s="1"/>
  <c r="Z235" i="17"/>
  <c r="AC235" i="17" s="1"/>
  <c r="AE235" i="17" s="1"/>
  <c r="Z138" i="17"/>
  <c r="AC138" i="17" s="1"/>
  <c r="AE138" i="17" s="1"/>
  <c r="Z181" i="17"/>
  <c r="AC181" i="17" s="1"/>
  <c r="AE181" i="17" s="1"/>
  <c r="Z171" i="17"/>
  <c r="AC171" i="17" s="1"/>
  <c r="AE171" i="17" s="1"/>
  <c r="Z316" i="17"/>
  <c r="AC316" i="17" s="1"/>
  <c r="AE316" i="17" s="1"/>
  <c r="Z214" i="17"/>
  <c r="AC214" i="17" s="1"/>
  <c r="AE214" i="17" s="1"/>
  <c r="Z176" i="17"/>
  <c r="AC176" i="17" s="1"/>
  <c r="AE176" i="17" s="1"/>
  <c r="Z183" i="17"/>
  <c r="AC183" i="17" s="1"/>
  <c r="AE183" i="17" s="1"/>
  <c r="Z160" i="17"/>
  <c r="AC160" i="17" s="1"/>
  <c r="AE160" i="17" s="1"/>
  <c r="Z154" i="17"/>
  <c r="AC154" i="17" s="1"/>
  <c r="AE154" i="17" s="1"/>
  <c r="Z197" i="17"/>
  <c r="AC197" i="17" s="1"/>
  <c r="AE197" i="17" s="1"/>
  <c r="Z187" i="17"/>
  <c r="AC187" i="17" s="1"/>
  <c r="AE187" i="17" s="1"/>
  <c r="Z150" i="17"/>
  <c r="AC150" i="17" s="1"/>
  <c r="AE150" i="17" s="1"/>
  <c r="Z85" i="17"/>
  <c r="AC85" i="17" s="1"/>
  <c r="AE85" i="17" s="1"/>
  <c r="Z83" i="17"/>
  <c r="AC83" i="17" s="1"/>
  <c r="AE83" i="17" s="1"/>
  <c r="Z258" i="17"/>
  <c r="AC258" i="17" s="1"/>
  <c r="AE258" i="17" s="1"/>
  <c r="Z145" i="17"/>
  <c r="AC145" i="17" s="1"/>
  <c r="AE145" i="17" s="1"/>
  <c r="Z296" i="17"/>
  <c r="AC296" i="17" s="1"/>
  <c r="AE296" i="17" s="1"/>
  <c r="Z270" i="17"/>
  <c r="AC270" i="17" s="1"/>
  <c r="AE270" i="17" s="1"/>
  <c r="Z248" i="17"/>
  <c r="AC248" i="17" s="1"/>
  <c r="AE248" i="17" s="1"/>
  <c r="Z201" i="17"/>
  <c r="AC201" i="17" s="1"/>
  <c r="AE201" i="17" s="1"/>
  <c r="Z313" i="17"/>
  <c r="AC313" i="17" s="1"/>
  <c r="AE313" i="17" s="1"/>
  <c r="Z273" i="17"/>
  <c r="AC273" i="17" s="1"/>
  <c r="AE273" i="17" s="1"/>
  <c r="Z266" i="17"/>
  <c r="AC266" i="17" s="1"/>
  <c r="AE266" i="17" s="1"/>
  <c r="Z321" i="17"/>
  <c r="AC321" i="17" s="1"/>
  <c r="AE321" i="17" s="1"/>
  <c r="Z101" i="17"/>
  <c r="AC101" i="17" s="1"/>
  <c r="AE101" i="17" s="1"/>
  <c r="Z300" i="17"/>
  <c r="AC300" i="17" s="1"/>
  <c r="AE300" i="17" s="1"/>
  <c r="Z167" i="17"/>
  <c r="AC167" i="17" s="1"/>
  <c r="AE167" i="17" s="1"/>
  <c r="Z224" i="17"/>
  <c r="AC224" i="17" s="1"/>
  <c r="AE224" i="17" s="1"/>
  <c r="Z323" i="17"/>
  <c r="AC323" i="17" s="1"/>
  <c r="AE323" i="17" s="1"/>
  <c r="Z185" i="17"/>
  <c r="AC185" i="17" s="1"/>
  <c r="AE185" i="17" s="1"/>
  <c r="Z324" i="17"/>
  <c r="AC324" i="17" s="1"/>
  <c r="AE324" i="17" s="1"/>
  <c r="Z318" i="17"/>
  <c r="AC318" i="17" s="1"/>
  <c r="AE318" i="17" s="1"/>
  <c r="Z278" i="17"/>
  <c r="AC278" i="17" s="1"/>
  <c r="AE278" i="17" s="1"/>
  <c r="Z249" i="17"/>
  <c r="AC249" i="17" s="1"/>
  <c r="AE249" i="17" s="1"/>
  <c r="Z328" i="17"/>
  <c r="AC328" i="17" s="1"/>
  <c r="AE328" i="17" s="1"/>
  <c r="Z178" i="17"/>
  <c r="AC178" i="17" s="1"/>
  <c r="AE178" i="17" s="1"/>
  <c r="Z155" i="17"/>
  <c r="AC155" i="17" s="1"/>
  <c r="AE155" i="17" s="1"/>
  <c r="Z152" i="17"/>
  <c r="AC152" i="17" s="1"/>
  <c r="AE152" i="17" s="1"/>
  <c r="Z186" i="17"/>
  <c r="AC186" i="17" s="1"/>
  <c r="AE186" i="17" s="1"/>
  <c r="Z123" i="17"/>
  <c r="AC123" i="17" s="1"/>
  <c r="AE123" i="17" s="1"/>
  <c r="Z165" i="17"/>
  <c r="AC165" i="17" s="1"/>
  <c r="AE165" i="17" s="1"/>
  <c r="Z125" i="17"/>
  <c r="AC125" i="17" s="1"/>
  <c r="AE125" i="17" s="1"/>
  <c r="Z103" i="17"/>
  <c r="AC103" i="17" s="1"/>
  <c r="AE103" i="17" s="1"/>
  <c r="Z193" i="17"/>
  <c r="AC193" i="17" s="1"/>
  <c r="AE193" i="17" s="1"/>
  <c r="Z89" i="17"/>
  <c r="AC89" i="17" s="1"/>
  <c r="AE89" i="17" s="1"/>
  <c r="Z227" i="17"/>
  <c r="AC227" i="17" s="1"/>
  <c r="AE227" i="17" s="1"/>
  <c r="Z253" i="17"/>
  <c r="AC253" i="17" s="1"/>
  <c r="AE253" i="17" s="1"/>
  <c r="Z330" i="17"/>
  <c r="AC330" i="17" s="1"/>
  <c r="AE330" i="17" s="1"/>
  <c r="Z196" i="17"/>
  <c r="AC196" i="17" s="1"/>
  <c r="AE196" i="17" s="1"/>
  <c r="Z134" i="17"/>
  <c r="AC134" i="17" s="1"/>
  <c r="AE134" i="17" s="1"/>
  <c r="Z220" i="17"/>
  <c r="AC220" i="17" s="1"/>
  <c r="AE220" i="17" s="1"/>
  <c r="Z238" i="17"/>
  <c r="AC238" i="17" s="1"/>
  <c r="AE238" i="17" s="1"/>
  <c r="Z130" i="17"/>
  <c r="AC130" i="17" s="1"/>
  <c r="AE130" i="17" s="1"/>
  <c r="Z104" i="17"/>
  <c r="AC104" i="17" s="1"/>
  <c r="AE104" i="17" s="1"/>
  <c r="Z93" i="17"/>
  <c r="AC93" i="17" s="1"/>
  <c r="AE93" i="17" s="1"/>
  <c r="Z280" i="17"/>
  <c r="AC280" i="17" s="1"/>
  <c r="AE280" i="17" s="1"/>
  <c r="Z279" i="17"/>
  <c r="AC279" i="17" s="1"/>
  <c r="AE279" i="17" s="1"/>
  <c r="Z169" i="17"/>
  <c r="AC169" i="17" s="1"/>
  <c r="AE169" i="17" s="1"/>
  <c r="Z237" i="17"/>
  <c r="AC237" i="17" s="1"/>
  <c r="AE237" i="17" s="1"/>
  <c r="Z251" i="17"/>
  <c r="AC251" i="17" s="1"/>
  <c r="AE251" i="17" s="1"/>
  <c r="Z206" i="17"/>
  <c r="AC206" i="17" s="1"/>
  <c r="AE206" i="17" s="1"/>
  <c r="Z212" i="17"/>
  <c r="AC212" i="17" s="1"/>
  <c r="AE212" i="17" s="1"/>
  <c r="Z190" i="17"/>
  <c r="AC190" i="17" s="1"/>
  <c r="AE190" i="17" s="1"/>
  <c r="Z163" i="17"/>
  <c r="AC163" i="17" s="1"/>
  <c r="AE163" i="17" s="1"/>
  <c r="Z226" i="17"/>
  <c r="AC226" i="17" s="1"/>
  <c r="AE226" i="17" s="1"/>
  <c r="Z188" i="17"/>
  <c r="AC188" i="17" s="1"/>
  <c r="AE188" i="17" s="1"/>
  <c r="Z139" i="17"/>
  <c r="AC139" i="17" s="1"/>
  <c r="AE139" i="17" s="1"/>
  <c r="Z228" i="17"/>
  <c r="AC228" i="17" s="1"/>
  <c r="AE228" i="17" s="1"/>
  <c r="Z287" i="17"/>
  <c r="AC287" i="17" s="1"/>
  <c r="AE287" i="17" s="1"/>
  <c r="Z311" i="17"/>
  <c r="AC311" i="17" s="1"/>
  <c r="AE311" i="17" s="1"/>
  <c r="Z234" i="17"/>
  <c r="AC234" i="17" s="1"/>
  <c r="AE234" i="17" s="1"/>
  <c r="Z126" i="17"/>
  <c r="AC126" i="17" s="1"/>
  <c r="AE126" i="17" s="1"/>
  <c r="Z98" i="17"/>
  <c r="AC98" i="17" s="1"/>
  <c r="AE98" i="17" s="1"/>
  <c r="Z222" i="17"/>
  <c r="AC222" i="17" s="1"/>
  <c r="AE222" i="17" s="1"/>
  <c r="Z172" i="17"/>
  <c r="AC172" i="17" s="1"/>
  <c r="AE172" i="17" s="1"/>
  <c r="Z141" i="17"/>
  <c r="AC141" i="17" s="1"/>
  <c r="AE141" i="17" s="1"/>
  <c r="Z115" i="17"/>
  <c r="AC115" i="17" s="1"/>
  <c r="AE115" i="17" s="1"/>
  <c r="Z320" i="17"/>
  <c r="AC320" i="17" s="1"/>
  <c r="AE320" i="17" s="1"/>
  <c r="Z146" i="17"/>
  <c r="AC146" i="17" s="1"/>
  <c r="AE146" i="17" s="1"/>
  <c r="Z244" i="17"/>
  <c r="AC244" i="17" s="1"/>
  <c r="AE244" i="17" s="1"/>
  <c r="Z260" i="17"/>
  <c r="AC260" i="17" s="1"/>
  <c r="AE260" i="17" s="1"/>
  <c r="Z80" i="17"/>
  <c r="AC80" i="17" s="1"/>
  <c r="AE80" i="17" s="1"/>
  <c r="Z327" i="17"/>
  <c r="AC327" i="17" s="1"/>
  <c r="AE327" i="17" s="1"/>
  <c r="Z170" i="17"/>
  <c r="AC170" i="17" s="1"/>
  <c r="AE170" i="17" s="1"/>
  <c r="Z274" i="17"/>
  <c r="AC274" i="17" s="1"/>
  <c r="AE274" i="17" s="1"/>
  <c r="Z88" i="17"/>
  <c r="AC88" i="17" s="1"/>
  <c r="AE88" i="17" s="1"/>
  <c r="Z100" i="17"/>
  <c r="AC100" i="17" s="1"/>
  <c r="AE100" i="17" s="1"/>
  <c r="Z109" i="17"/>
  <c r="AC109" i="17" s="1"/>
  <c r="AE109" i="17" s="1"/>
  <c r="Z189" i="17"/>
  <c r="AC189" i="17" s="1"/>
  <c r="AE189" i="17" s="1"/>
  <c r="Z239" i="17"/>
  <c r="AC239" i="17" s="1"/>
  <c r="AE239" i="17" s="1"/>
  <c r="Z271" i="17"/>
  <c r="AC271" i="17" s="1"/>
  <c r="AE271" i="17" s="1"/>
  <c r="Z119" i="17"/>
  <c r="AC119" i="17" s="1"/>
  <c r="AE119" i="17" s="1"/>
  <c r="Z127" i="17"/>
  <c r="AC127" i="17" s="1"/>
  <c r="AE127" i="17" s="1"/>
  <c r="Z166" i="17"/>
  <c r="AC166" i="17" s="1"/>
  <c r="AE166" i="17" s="1"/>
  <c r="Z124" i="17"/>
  <c r="AC124" i="17" s="1"/>
  <c r="AE124" i="17" s="1"/>
  <c r="Z148" i="17"/>
  <c r="AC148" i="17" s="1"/>
  <c r="AE148" i="17" s="1"/>
  <c r="Z304" i="17"/>
  <c r="AC304" i="17" s="1"/>
  <c r="AE304" i="17" s="1"/>
  <c r="Z132" i="17"/>
  <c r="AC132" i="17" s="1"/>
  <c r="AE132" i="17" s="1"/>
  <c r="Z96" i="17"/>
  <c r="AC96" i="17" s="1"/>
  <c r="AE96" i="17" s="1"/>
  <c r="Z92" i="17"/>
  <c r="AC92" i="17" s="1"/>
  <c r="AE92" i="17" s="1"/>
  <c r="Z298" i="17"/>
  <c r="AC298" i="17" s="1"/>
  <c r="AE298" i="17" s="1"/>
  <c r="Z110" i="17"/>
  <c r="AC110" i="17" s="1"/>
  <c r="AE110" i="17" s="1"/>
  <c r="Z131" i="17"/>
  <c r="AC131" i="17" s="1"/>
  <c r="AE131" i="17" s="1"/>
  <c r="Z81" i="17"/>
  <c r="AC81" i="17" s="1"/>
  <c r="AE81" i="17" s="1"/>
  <c r="Z82" i="17"/>
  <c r="AC82" i="17" s="1"/>
  <c r="AE82" i="17" s="1"/>
  <c r="Z290" i="17"/>
  <c r="AC290" i="17" s="1"/>
  <c r="AE290" i="17" s="1"/>
  <c r="Z229" i="17"/>
  <c r="AC229" i="17" s="1"/>
  <c r="AE229" i="17" s="1"/>
  <c r="Z195" i="17"/>
  <c r="AC195" i="17" s="1"/>
  <c r="AE195" i="17" s="1"/>
  <c r="Z112" i="17"/>
  <c r="AC112" i="17" s="1"/>
  <c r="AE112" i="17" s="1"/>
  <c r="Z99" i="17"/>
  <c r="AC99" i="17" s="1"/>
  <c r="AE99" i="17" s="1"/>
  <c r="Z94" i="17"/>
  <c r="AC94" i="17" s="1"/>
  <c r="AE94" i="17" s="1"/>
  <c r="Z121" i="17"/>
  <c r="AC121" i="17" s="1"/>
  <c r="AE121" i="17" s="1"/>
  <c r="Z128" i="17"/>
  <c r="AC128" i="17" s="1"/>
  <c r="AE128" i="17" s="1"/>
  <c r="Z275" i="17"/>
  <c r="AC275" i="17" s="1"/>
  <c r="AE275" i="17" s="1"/>
  <c r="Z221" i="17"/>
  <c r="AC221" i="17" s="1"/>
  <c r="AE221" i="17" s="1"/>
  <c r="Z277" i="17"/>
  <c r="AC277" i="17" s="1"/>
  <c r="AE277" i="17" s="1"/>
  <c r="Z269" i="17"/>
  <c r="AC269" i="17" s="1"/>
  <c r="AE269" i="17" s="1"/>
  <c r="Z198" i="17"/>
  <c r="AC198" i="17" s="1"/>
  <c r="AE198" i="17" s="1"/>
  <c r="Z325" i="17"/>
  <c r="AC325" i="17" s="1"/>
  <c r="AE325" i="17" s="1"/>
  <c r="Z293" i="17"/>
  <c r="AC293" i="17" s="1"/>
  <c r="AE293" i="17" s="1"/>
  <c r="F115" i="7"/>
  <c r="Z232" i="17"/>
  <c r="AC232" i="17" s="1"/>
  <c r="AE232" i="17" s="1"/>
  <c r="Z173" i="17"/>
  <c r="AC173" i="17" s="1"/>
  <c r="AE173" i="17" s="1"/>
  <c r="Z202" i="17"/>
  <c r="AC202" i="17" s="1"/>
  <c r="AE202" i="17" s="1"/>
  <c r="Z147" i="17"/>
  <c r="AC147" i="17" s="1"/>
  <c r="AE147" i="17" s="1"/>
  <c r="Z242" i="17"/>
  <c r="AC242" i="17" s="1"/>
  <c r="AE242" i="17" s="1"/>
  <c r="Z265" i="17"/>
  <c r="AC265" i="17" s="1"/>
  <c r="AE265" i="17" s="1"/>
  <c r="Z157" i="17"/>
  <c r="AC157" i="17" s="1"/>
  <c r="AE157" i="17" s="1"/>
  <c r="Z218" i="17"/>
  <c r="AC218" i="17" s="1"/>
  <c r="AE218" i="17" s="1"/>
  <c r="Z161" i="17"/>
  <c r="AC161" i="17" s="1"/>
  <c r="AE161" i="17" s="1"/>
  <c r="Z310" i="17"/>
  <c r="AC310" i="17" s="1"/>
  <c r="AE310" i="17" s="1"/>
  <c r="Z247" i="17"/>
  <c r="AC247" i="17" s="1"/>
  <c r="AE247" i="17" s="1"/>
  <c r="Z106" i="17"/>
  <c r="AC106" i="17" s="1"/>
  <c r="AE106" i="17" s="1"/>
  <c r="Z326" i="17"/>
  <c r="AC326" i="17" s="1"/>
  <c r="AE326" i="17" s="1"/>
  <c r="Z86" i="17"/>
  <c r="AC86" i="17" s="1"/>
  <c r="AE86" i="17" s="1"/>
  <c r="Z322" i="17"/>
  <c r="AC322" i="17" s="1"/>
  <c r="AE322" i="17" s="1"/>
  <c r="Z295" i="17"/>
  <c r="AC295" i="17" s="1"/>
  <c r="AE295" i="17" s="1"/>
  <c r="Z174" i="17"/>
  <c r="AC174" i="17" s="1"/>
  <c r="AE174" i="17" s="1"/>
  <c r="Z135" i="17"/>
  <c r="AC135" i="17" s="1"/>
  <c r="AE135" i="17" s="1"/>
  <c r="Z241" i="17"/>
  <c r="AC241" i="17" s="1"/>
  <c r="AE241" i="17" s="1"/>
  <c r="Z267" i="17"/>
  <c r="AC267" i="17" s="1"/>
  <c r="AE267" i="17" s="1"/>
  <c r="Z285" i="17"/>
  <c r="AC285" i="17" s="1"/>
  <c r="AE285" i="17" s="1"/>
  <c r="Z136" i="17"/>
  <c r="AC136" i="17" s="1"/>
  <c r="AE136" i="17" s="1"/>
  <c r="Z200" i="17"/>
  <c r="AC200" i="17" s="1"/>
  <c r="AE200" i="17" s="1"/>
  <c r="Z276" i="17"/>
  <c r="AC276" i="17" s="1"/>
  <c r="AE276" i="17" s="1"/>
  <c r="Z111" i="17"/>
  <c r="AC111" i="17" s="1"/>
  <c r="AE111" i="17" s="1"/>
  <c r="Z129" i="17"/>
  <c r="AC129" i="17" s="1"/>
  <c r="AE129" i="17" s="1"/>
  <c r="Z116" i="17"/>
  <c r="AC116" i="17" s="1"/>
  <c r="AE116" i="17" s="1"/>
  <c r="Z240" i="17"/>
  <c r="AC240" i="17" s="1"/>
  <c r="AE240" i="17" s="1"/>
  <c r="Z329" i="17"/>
  <c r="AC329" i="17" s="1"/>
  <c r="AE329" i="17" s="1"/>
  <c r="Z180" i="17"/>
  <c r="AC180" i="17" s="1"/>
  <c r="AE180" i="17" s="1"/>
  <c r="Z84" i="17"/>
  <c r="AC84" i="17" s="1"/>
  <c r="AE84" i="17" s="1"/>
  <c r="Z213" i="17"/>
  <c r="AC213" i="17" s="1"/>
  <c r="AE213" i="17" s="1"/>
  <c r="Z312" i="17"/>
  <c r="AC312" i="17" s="1"/>
  <c r="AE312" i="17" s="1"/>
  <c r="Z205" i="17"/>
  <c r="AC205" i="17" s="1"/>
  <c r="AE205" i="17" s="1"/>
  <c r="Z301" i="17"/>
  <c r="AC301" i="17" s="1"/>
  <c r="AE301" i="17" s="1"/>
  <c r="Z307" i="17"/>
  <c r="AC307" i="17" s="1"/>
  <c r="AE307" i="17" s="1"/>
  <c r="Z122" i="17"/>
  <c r="AC122" i="17" s="1"/>
  <c r="AE122" i="17" s="1"/>
  <c r="Z257" i="17"/>
  <c r="AC257" i="17" s="1"/>
  <c r="AE257" i="17" s="1"/>
  <c r="Z114" i="17"/>
  <c r="AC114" i="17" s="1"/>
  <c r="AE114" i="17" s="1"/>
  <c r="Z231" i="17"/>
  <c r="AC231" i="17" s="1"/>
  <c r="AE231" i="17" s="1"/>
  <c r="Z158" i="17"/>
  <c r="AC158" i="17" s="1"/>
  <c r="AE158" i="17" s="1"/>
  <c r="Z302" i="17"/>
  <c r="AC302" i="17" s="1"/>
  <c r="AE302" i="17" s="1"/>
  <c r="Z144" i="17"/>
  <c r="AC144" i="17" s="1"/>
  <c r="AE144" i="17" s="1"/>
  <c r="Z252" i="17"/>
  <c r="AC252" i="17" s="1"/>
  <c r="AE252" i="17" s="1"/>
  <c r="Z256" i="17"/>
  <c r="AC256" i="17" s="1"/>
  <c r="AE256" i="17" s="1"/>
  <c r="Z199" i="17"/>
  <c r="AC199" i="17" s="1"/>
  <c r="AE199" i="17" s="1"/>
  <c r="I17" i="17"/>
  <c r="V205" i="17" l="1"/>
  <c r="E205" i="17" s="1"/>
  <c r="U205" i="17"/>
  <c r="D205" i="17" s="1"/>
  <c r="A205" i="17" s="1"/>
  <c r="U255" i="17"/>
  <c r="D255" i="17" s="1"/>
  <c r="A255" i="17" s="1"/>
  <c r="V255" i="17"/>
  <c r="E255" i="17" s="1"/>
  <c r="V312" i="17"/>
  <c r="E312" i="17" s="1"/>
  <c r="U312" i="17"/>
  <c r="D312" i="17" s="1"/>
  <c r="A312" i="17" s="1"/>
  <c r="U174" i="17"/>
  <c r="D174" i="17" s="1"/>
  <c r="A174" i="17" s="1"/>
  <c r="V174" i="17"/>
  <c r="E174" i="17" s="1"/>
  <c r="U232" i="17"/>
  <c r="D232" i="17" s="1"/>
  <c r="A232" i="17" s="1"/>
  <c r="V232" i="17"/>
  <c r="E232" i="17" s="1"/>
  <c r="U290" i="17"/>
  <c r="D290" i="17" s="1"/>
  <c r="A290" i="17" s="1"/>
  <c r="V290" i="17"/>
  <c r="E290" i="17" s="1"/>
  <c r="V239" i="17"/>
  <c r="E239" i="17" s="1"/>
  <c r="U239" i="17"/>
  <c r="D239" i="17" s="1"/>
  <c r="A239" i="17" s="1"/>
  <c r="V222" i="17"/>
  <c r="E222" i="17" s="1"/>
  <c r="U222" i="17"/>
  <c r="D222" i="17" s="1"/>
  <c r="A222" i="17" s="1"/>
  <c r="U169" i="17"/>
  <c r="D169" i="17" s="1"/>
  <c r="A169" i="17" s="1"/>
  <c r="V169" i="17"/>
  <c r="E169" i="17" s="1"/>
  <c r="U125" i="17"/>
  <c r="D125" i="17" s="1"/>
  <c r="A125" i="17" s="1"/>
  <c r="V125" i="17"/>
  <c r="E125" i="17" s="1"/>
  <c r="U300" i="17"/>
  <c r="D300" i="17" s="1"/>
  <c r="A300" i="17" s="1"/>
  <c r="V300" i="17"/>
  <c r="E300" i="17" s="1"/>
  <c r="V197" i="17"/>
  <c r="E197" i="17" s="1"/>
  <c r="U197" i="17"/>
  <c r="D197" i="17" s="1"/>
  <c r="A197" i="17" s="1"/>
  <c r="U259" i="17"/>
  <c r="D259" i="17" s="1"/>
  <c r="A259" i="17" s="1"/>
  <c r="V259" i="17"/>
  <c r="E259" i="17" s="1"/>
  <c r="V175" i="17"/>
  <c r="E175" i="17" s="1"/>
  <c r="U175" i="17"/>
  <c r="D175" i="17" s="1"/>
  <c r="A175" i="17" s="1"/>
  <c r="V210" i="17"/>
  <c r="E210" i="17" s="1"/>
  <c r="U210" i="17"/>
  <c r="D210" i="17" s="1"/>
  <c r="A210" i="17" s="1"/>
  <c r="U177" i="17"/>
  <c r="D177" i="17" s="1"/>
  <c r="A177" i="17" s="1"/>
  <c r="V177" i="17"/>
  <c r="E177" i="17" s="1"/>
  <c r="U292" i="17"/>
  <c r="D292" i="17" s="1"/>
  <c r="A292" i="17" s="1"/>
  <c r="V292" i="17"/>
  <c r="E292" i="17" s="1"/>
  <c r="V295" i="17"/>
  <c r="E295" i="17" s="1"/>
  <c r="U295" i="17"/>
  <c r="D295" i="17" s="1"/>
  <c r="A295" i="17" s="1"/>
  <c r="U82" i="17"/>
  <c r="D82" i="17" s="1"/>
  <c r="A82" i="17" s="1"/>
  <c r="V82" i="17"/>
  <c r="E82" i="17" s="1"/>
  <c r="U189" i="17"/>
  <c r="D189" i="17" s="1"/>
  <c r="A189" i="17" s="1"/>
  <c r="V189" i="17"/>
  <c r="E189" i="17" s="1"/>
  <c r="V98" i="17"/>
  <c r="E98" i="17" s="1"/>
  <c r="U98" i="17"/>
  <c r="D98" i="17" s="1"/>
  <c r="A98" i="17" s="1"/>
  <c r="U279" i="17"/>
  <c r="D279" i="17" s="1"/>
  <c r="A279" i="17" s="1"/>
  <c r="V279" i="17"/>
  <c r="E279" i="17" s="1"/>
  <c r="U165" i="17"/>
  <c r="D165" i="17" s="1"/>
  <c r="A165" i="17" s="1"/>
  <c r="V165" i="17"/>
  <c r="E165" i="17" s="1"/>
  <c r="V101" i="17"/>
  <c r="E101" i="17" s="1"/>
  <c r="U101" i="17"/>
  <c r="D101" i="17" s="1"/>
  <c r="A101" i="17" s="1"/>
  <c r="U154" i="17"/>
  <c r="D154" i="17" s="1"/>
  <c r="A154" i="17" s="1"/>
  <c r="V154" i="17"/>
  <c r="E154" i="17" s="1"/>
  <c r="U164" i="17"/>
  <c r="D164" i="17" s="1"/>
  <c r="A164" i="17" s="1"/>
  <c r="V164" i="17"/>
  <c r="E164" i="17" s="1"/>
  <c r="V90" i="17"/>
  <c r="E90" i="17" s="1"/>
  <c r="U90" i="17"/>
  <c r="D90" i="17" s="1"/>
  <c r="A90" i="17" s="1"/>
  <c r="U168" i="17"/>
  <c r="D168" i="17" s="1"/>
  <c r="A168" i="17" s="1"/>
  <c r="V168" i="17"/>
  <c r="E168" i="17" s="1"/>
  <c r="U305" i="17"/>
  <c r="D305" i="17" s="1"/>
  <c r="A305" i="17" s="1"/>
  <c r="V305" i="17"/>
  <c r="E305" i="17" s="1"/>
  <c r="U297" i="17"/>
  <c r="D297" i="17" s="1"/>
  <c r="A297" i="17" s="1"/>
  <c r="V297" i="17"/>
  <c r="E297" i="17" s="1"/>
  <c r="V159" i="17"/>
  <c r="E159" i="17" s="1"/>
  <c r="U159" i="17"/>
  <c r="D159" i="17" s="1"/>
  <c r="A159" i="17" s="1"/>
  <c r="V84" i="17"/>
  <c r="E84" i="17" s="1"/>
  <c r="U84" i="17"/>
  <c r="D84" i="17" s="1"/>
  <c r="A84" i="17" s="1"/>
  <c r="U322" i="17"/>
  <c r="D322" i="17" s="1"/>
  <c r="A322" i="17" s="1"/>
  <c r="V322" i="17"/>
  <c r="E322" i="17" s="1"/>
  <c r="V293" i="17"/>
  <c r="E293" i="17" s="1"/>
  <c r="U293" i="17"/>
  <c r="D293" i="17" s="1"/>
  <c r="A293" i="17" s="1"/>
  <c r="V81" i="17"/>
  <c r="E81" i="17" s="1"/>
  <c r="U81" i="17"/>
  <c r="D81" i="17" s="1"/>
  <c r="A81" i="17" s="1"/>
  <c r="U109" i="17"/>
  <c r="D109" i="17" s="1"/>
  <c r="A109" i="17" s="1"/>
  <c r="V109" i="17"/>
  <c r="E109" i="17" s="1"/>
  <c r="U126" i="17"/>
  <c r="D126" i="17" s="1"/>
  <c r="A126" i="17" s="1"/>
  <c r="V126" i="17"/>
  <c r="E126" i="17" s="1"/>
  <c r="V280" i="17"/>
  <c r="E280" i="17" s="1"/>
  <c r="U280" i="17"/>
  <c r="D280" i="17" s="1"/>
  <c r="A280" i="17" s="1"/>
  <c r="V123" i="17"/>
  <c r="E123" i="17" s="1"/>
  <c r="U123" i="17"/>
  <c r="D123" i="17" s="1"/>
  <c r="A123" i="17" s="1"/>
  <c r="U321" i="17"/>
  <c r="D321" i="17" s="1"/>
  <c r="A321" i="17" s="1"/>
  <c r="V321" i="17"/>
  <c r="E321" i="17" s="1"/>
  <c r="V160" i="17"/>
  <c r="E160" i="17" s="1"/>
  <c r="U160" i="17"/>
  <c r="D160" i="17" s="1"/>
  <c r="A160" i="17" s="1"/>
  <c r="U208" i="17"/>
  <c r="D208" i="17" s="1"/>
  <c r="A208" i="17" s="1"/>
  <c r="V208" i="17"/>
  <c r="E208" i="17" s="1"/>
  <c r="V162" i="17"/>
  <c r="E162" i="17" s="1"/>
  <c r="U162" i="17"/>
  <c r="D162" i="17" s="1"/>
  <c r="A162" i="17" s="1"/>
  <c r="V268" i="17"/>
  <c r="E268" i="17" s="1"/>
  <c r="U268" i="17"/>
  <c r="D268" i="17" s="1"/>
  <c r="A268" i="17" s="1"/>
  <c r="U288" i="17"/>
  <c r="D288" i="17" s="1"/>
  <c r="A288" i="17" s="1"/>
  <c r="V288" i="17"/>
  <c r="E288" i="17" s="1"/>
  <c r="U299" i="17"/>
  <c r="D299" i="17" s="1"/>
  <c r="A299" i="17" s="1"/>
  <c r="V299" i="17"/>
  <c r="E299" i="17" s="1"/>
  <c r="U229" i="17"/>
  <c r="D229" i="17" s="1"/>
  <c r="A229" i="17" s="1"/>
  <c r="V229" i="17"/>
  <c r="E229" i="17" s="1"/>
  <c r="U199" i="17"/>
  <c r="D199" i="17" s="1"/>
  <c r="A199" i="17" s="1"/>
  <c r="V199" i="17"/>
  <c r="E199" i="17" s="1"/>
  <c r="U180" i="17"/>
  <c r="D180" i="17" s="1"/>
  <c r="A180" i="17" s="1"/>
  <c r="V180" i="17"/>
  <c r="E180" i="17" s="1"/>
  <c r="U86" i="17"/>
  <c r="D86" i="17" s="1"/>
  <c r="A86" i="17" s="1"/>
  <c r="V86" i="17"/>
  <c r="E86" i="17" s="1"/>
  <c r="V325" i="17"/>
  <c r="E325" i="17" s="1"/>
  <c r="U325" i="17"/>
  <c r="D325" i="17" s="1"/>
  <c r="A325" i="17" s="1"/>
  <c r="U131" i="17"/>
  <c r="D131" i="17" s="1"/>
  <c r="A131" i="17" s="1"/>
  <c r="V131" i="17"/>
  <c r="E131" i="17" s="1"/>
  <c r="U100" i="17"/>
  <c r="D100" i="17" s="1"/>
  <c r="A100" i="17" s="1"/>
  <c r="V100" i="17"/>
  <c r="E100" i="17" s="1"/>
  <c r="U234" i="17"/>
  <c r="D234" i="17" s="1"/>
  <c r="A234" i="17" s="1"/>
  <c r="V234" i="17"/>
  <c r="E234" i="17" s="1"/>
  <c r="U93" i="17"/>
  <c r="D93" i="17" s="1"/>
  <c r="A93" i="17" s="1"/>
  <c r="V93" i="17"/>
  <c r="E93" i="17" s="1"/>
  <c r="U186" i="17"/>
  <c r="D186" i="17" s="1"/>
  <c r="A186" i="17" s="1"/>
  <c r="V186" i="17"/>
  <c r="E186" i="17" s="1"/>
  <c r="U266" i="17"/>
  <c r="D266" i="17" s="1"/>
  <c r="A266" i="17" s="1"/>
  <c r="V266" i="17"/>
  <c r="E266" i="17" s="1"/>
  <c r="U183" i="17"/>
  <c r="D183" i="17" s="1"/>
  <c r="A183" i="17" s="1"/>
  <c r="V183" i="17"/>
  <c r="E183" i="17" s="1"/>
  <c r="U215" i="17"/>
  <c r="D215" i="17" s="1"/>
  <c r="A215" i="17" s="1"/>
  <c r="V215" i="17"/>
  <c r="E215" i="17" s="1"/>
  <c r="V108" i="17"/>
  <c r="E108" i="17" s="1"/>
  <c r="U108" i="17"/>
  <c r="D108" i="17" s="1"/>
  <c r="A108" i="17" s="1"/>
  <c r="U219" i="17"/>
  <c r="D219" i="17" s="1"/>
  <c r="A219" i="17" s="1"/>
  <c r="V219" i="17"/>
  <c r="E219" i="17" s="1"/>
  <c r="V243" i="17"/>
  <c r="E243" i="17" s="1"/>
  <c r="U243" i="17"/>
  <c r="D243" i="17" s="1"/>
  <c r="A243" i="17" s="1"/>
  <c r="V192" i="17"/>
  <c r="E192" i="17" s="1"/>
  <c r="U192" i="17"/>
  <c r="D192" i="17" s="1"/>
  <c r="A192" i="17" s="1"/>
  <c r="V118" i="17"/>
  <c r="E118" i="17" s="1"/>
  <c r="U118" i="17"/>
  <c r="D118" i="17" s="1"/>
  <c r="A118" i="17" s="1"/>
  <c r="V256" i="17"/>
  <c r="E256" i="17" s="1"/>
  <c r="U256" i="17"/>
  <c r="D256" i="17" s="1"/>
  <c r="A256" i="17" s="1"/>
  <c r="U329" i="17"/>
  <c r="D329" i="17" s="1"/>
  <c r="A329" i="17" s="1"/>
  <c r="V329" i="17"/>
  <c r="E329" i="17" s="1"/>
  <c r="V326" i="17"/>
  <c r="E326" i="17" s="1"/>
  <c r="U326" i="17"/>
  <c r="D326" i="17" s="1"/>
  <c r="A326" i="17" s="1"/>
  <c r="V198" i="17"/>
  <c r="E198" i="17" s="1"/>
  <c r="U198" i="17"/>
  <c r="D198" i="17" s="1"/>
  <c r="A198" i="17" s="1"/>
  <c r="V110" i="17"/>
  <c r="E110" i="17" s="1"/>
  <c r="U110" i="17"/>
  <c r="D110" i="17" s="1"/>
  <c r="A110" i="17" s="1"/>
  <c r="V88" i="17"/>
  <c r="E88" i="17" s="1"/>
  <c r="U88" i="17"/>
  <c r="D88" i="17" s="1"/>
  <c r="A88" i="17" s="1"/>
  <c r="U311" i="17"/>
  <c r="D311" i="17" s="1"/>
  <c r="A311" i="17" s="1"/>
  <c r="V311" i="17"/>
  <c r="E311" i="17" s="1"/>
  <c r="U104" i="17"/>
  <c r="D104" i="17" s="1"/>
  <c r="A104" i="17" s="1"/>
  <c r="V104" i="17"/>
  <c r="E104" i="17" s="1"/>
  <c r="U152" i="17"/>
  <c r="D152" i="17" s="1"/>
  <c r="A152" i="17" s="1"/>
  <c r="V152" i="17"/>
  <c r="E152" i="17" s="1"/>
  <c r="U273" i="17"/>
  <c r="D273" i="17" s="1"/>
  <c r="A273" i="17" s="1"/>
  <c r="V273" i="17"/>
  <c r="E273" i="17" s="1"/>
  <c r="U176" i="17"/>
  <c r="D176" i="17" s="1"/>
  <c r="A176" i="17" s="1"/>
  <c r="V176" i="17"/>
  <c r="E176" i="17" s="1"/>
  <c r="V216" i="17"/>
  <c r="E216" i="17" s="1"/>
  <c r="U216" i="17"/>
  <c r="D216" i="17" s="1"/>
  <c r="A216" i="17" s="1"/>
  <c r="U294" i="17"/>
  <c r="D294" i="17" s="1"/>
  <c r="A294" i="17" s="1"/>
  <c r="V294" i="17"/>
  <c r="E294" i="17" s="1"/>
  <c r="U262" i="17"/>
  <c r="D262" i="17" s="1"/>
  <c r="A262" i="17" s="1"/>
  <c r="V262" i="17"/>
  <c r="E262" i="17" s="1"/>
  <c r="U149" i="17"/>
  <c r="D149" i="17" s="1"/>
  <c r="A149" i="17" s="1"/>
  <c r="V149" i="17"/>
  <c r="E149" i="17" s="1"/>
  <c r="U286" i="17"/>
  <c r="D286" i="17" s="1"/>
  <c r="A286" i="17" s="1"/>
  <c r="V286" i="17"/>
  <c r="E286" i="17" s="1"/>
  <c r="U207" i="17"/>
  <c r="D207" i="17" s="1"/>
  <c r="A207" i="17" s="1"/>
  <c r="V207" i="17"/>
  <c r="E207" i="17" s="1"/>
  <c r="U252" i="17"/>
  <c r="D252" i="17" s="1"/>
  <c r="A252" i="17" s="1"/>
  <c r="V252" i="17"/>
  <c r="E252" i="17" s="1"/>
  <c r="V240" i="17"/>
  <c r="E240" i="17" s="1"/>
  <c r="U240" i="17"/>
  <c r="D240" i="17" s="1"/>
  <c r="A240" i="17" s="1"/>
  <c r="V106" i="17"/>
  <c r="E106" i="17" s="1"/>
  <c r="U106" i="17"/>
  <c r="D106" i="17" s="1"/>
  <c r="A106" i="17" s="1"/>
  <c r="U269" i="17"/>
  <c r="D269" i="17" s="1"/>
  <c r="A269" i="17" s="1"/>
  <c r="V269" i="17"/>
  <c r="E269" i="17" s="1"/>
  <c r="U298" i="17"/>
  <c r="D298" i="17" s="1"/>
  <c r="A298" i="17" s="1"/>
  <c r="V298" i="17"/>
  <c r="E298" i="17" s="1"/>
  <c r="U274" i="17"/>
  <c r="D274" i="17" s="1"/>
  <c r="A274" i="17" s="1"/>
  <c r="V274" i="17"/>
  <c r="E274" i="17" s="1"/>
  <c r="U287" i="17"/>
  <c r="D287" i="17" s="1"/>
  <c r="A287" i="17" s="1"/>
  <c r="V287" i="17"/>
  <c r="E287" i="17" s="1"/>
  <c r="U130" i="17"/>
  <c r="D130" i="17" s="1"/>
  <c r="A130" i="17" s="1"/>
  <c r="V130" i="17"/>
  <c r="E130" i="17" s="1"/>
  <c r="U155" i="17"/>
  <c r="D155" i="17" s="1"/>
  <c r="A155" i="17" s="1"/>
  <c r="V155" i="17"/>
  <c r="E155" i="17" s="1"/>
  <c r="V313" i="17"/>
  <c r="E313" i="17" s="1"/>
  <c r="U313" i="17"/>
  <c r="D313" i="17" s="1"/>
  <c r="A313" i="17" s="1"/>
  <c r="U214" i="17"/>
  <c r="D214" i="17" s="1"/>
  <c r="A214" i="17" s="1"/>
  <c r="V214" i="17"/>
  <c r="E214" i="17" s="1"/>
  <c r="U281" i="17"/>
  <c r="D281" i="17" s="1"/>
  <c r="A281" i="17" s="1"/>
  <c r="V281" i="17"/>
  <c r="E281" i="17" s="1"/>
  <c r="V153" i="17"/>
  <c r="E153" i="17" s="1"/>
  <c r="U153" i="17"/>
  <c r="D153" i="17" s="1"/>
  <c r="A153" i="17" s="1"/>
  <c r="U283" i="17"/>
  <c r="D283" i="17" s="1"/>
  <c r="A283" i="17" s="1"/>
  <c r="V283" i="17"/>
  <c r="E283" i="17" s="1"/>
  <c r="U140" i="17"/>
  <c r="D140" i="17" s="1"/>
  <c r="A140" i="17" s="1"/>
  <c r="V140" i="17"/>
  <c r="E140" i="17" s="1"/>
  <c r="V211" i="17"/>
  <c r="E211" i="17" s="1"/>
  <c r="U211" i="17"/>
  <c r="D211" i="17" s="1"/>
  <c r="A211" i="17" s="1"/>
  <c r="U103" i="17"/>
  <c r="D103" i="17" s="1"/>
  <c r="A103" i="17" s="1"/>
  <c r="V103" i="17"/>
  <c r="E103" i="17" s="1"/>
  <c r="V144" i="17"/>
  <c r="E144" i="17" s="1"/>
  <c r="U144" i="17"/>
  <c r="D144" i="17" s="1"/>
  <c r="A144" i="17" s="1"/>
  <c r="U116" i="17"/>
  <c r="D116" i="17" s="1"/>
  <c r="A116" i="17" s="1"/>
  <c r="V116" i="17"/>
  <c r="E116" i="17" s="1"/>
  <c r="U247" i="17"/>
  <c r="D247" i="17" s="1"/>
  <c r="A247" i="17" s="1"/>
  <c r="V247" i="17"/>
  <c r="E247" i="17" s="1"/>
  <c r="U277" i="17"/>
  <c r="D277" i="17" s="1"/>
  <c r="A277" i="17" s="1"/>
  <c r="V277" i="17"/>
  <c r="E277" i="17" s="1"/>
  <c r="U92" i="17"/>
  <c r="D92" i="17" s="1"/>
  <c r="A92" i="17" s="1"/>
  <c r="V92" i="17"/>
  <c r="E92" i="17" s="1"/>
  <c r="U170" i="17"/>
  <c r="D170" i="17" s="1"/>
  <c r="A170" i="17" s="1"/>
  <c r="V170" i="17"/>
  <c r="E170" i="17" s="1"/>
  <c r="U228" i="17"/>
  <c r="D228" i="17" s="1"/>
  <c r="A228" i="17" s="1"/>
  <c r="V228" i="17"/>
  <c r="E228" i="17" s="1"/>
  <c r="V238" i="17"/>
  <c r="E238" i="17" s="1"/>
  <c r="U238" i="17"/>
  <c r="D238" i="17" s="1"/>
  <c r="A238" i="17" s="1"/>
  <c r="U178" i="17"/>
  <c r="D178" i="17" s="1"/>
  <c r="A178" i="17" s="1"/>
  <c r="V178" i="17"/>
  <c r="E178" i="17" s="1"/>
  <c r="U201" i="17"/>
  <c r="D201" i="17" s="1"/>
  <c r="A201" i="17" s="1"/>
  <c r="V201" i="17"/>
  <c r="E201" i="17" s="1"/>
  <c r="U316" i="17"/>
  <c r="D316" i="17" s="1"/>
  <c r="A316" i="17" s="1"/>
  <c r="V316" i="17"/>
  <c r="E316" i="17" s="1"/>
  <c r="V261" i="17"/>
  <c r="E261" i="17" s="1"/>
  <c r="U261" i="17"/>
  <c r="D261" i="17" s="1"/>
  <c r="A261" i="17" s="1"/>
  <c r="U246" i="17"/>
  <c r="D246" i="17" s="1"/>
  <c r="A246" i="17" s="1"/>
  <c r="V246" i="17"/>
  <c r="E246" i="17" s="1"/>
  <c r="V105" i="17"/>
  <c r="E105" i="17" s="1"/>
  <c r="U105" i="17"/>
  <c r="D105" i="17" s="1"/>
  <c r="A105" i="17" s="1"/>
  <c r="U133" i="17"/>
  <c r="D133" i="17" s="1"/>
  <c r="A133" i="17" s="1"/>
  <c r="V133" i="17"/>
  <c r="E133" i="17" s="1"/>
  <c r="U137" i="17"/>
  <c r="D137" i="17" s="1"/>
  <c r="A137" i="17" s="1"/>
  <c r="V137" i="17"/>
  <c r="E137" i="17" s="1"/>
  <c r="V172" i="17"/>
  <c r="E172" i="17" s="1"/>
  <c r="U172" i="17"/>
  <c r="D172" i="17" s="1"/>
  <c r="A172" i="17" s="1"/>
  <c r="V302" i="17"/>
  <c r="E302" i="17" s="1"/>
  <c r="U302" i="17"/>
  <c r="D302" i="17" s="1"/>
  <c r="A302" i="17" s="1"/>
  <c r="U129" i="17"/>
  <c r="D129" i="17" s="1"/>
  <c r="A129" i="17" s="1"/>
  <c r="V129" i="17"/>
  <c r="E129" i="17" s="1"/>
  <c r="U310" i="17"/>
  <c r="D310" i="17" s="1"/>
  <c r="A310" i="17" s="1"/>
  <c r="V310" i="17"/>
  <c r="E310" i="17" s="1"/>
  <c r="U221" i="17"/>
  <c r="D221" i="17" s="1"/>
  <c r="A221" i="17" s="1"/>
  <c r="V221" i="17"/>
  <c r="E221" i="17" s="1"/>
  <c r="V96" i="17"/>
  <c r="E96" i="17" s="1"/>
  <c r="U96" i="17"/>
  <c r="D96" i="17" s="1"/>
  <c r="A96" i="17" s="1"/>
  <c r="U327" i="17"/>
  <c r="D327" i="17" s="1"/>
  <c r="A327" i="17" s="1"/>
  <c r="V327" i="17"/>
  <c r="E327" i="17" s="1"/>
  <c r="V139" i="17"/>
  <c r="E139" i="17" s="1"/>
  <c r="U139" i="17"/>
  <c r="D139" i="17" s="1"/>
  <c r="A139" i="17" s="1"/>
  <c r="V220" i="17"/>
  <c r="E220" i="17" s="1"/>
  <c r="U220" i="17"/>
  <c r="D220" i="17" s="1"/>
  <c r="A220" i="17" s="1"/>
  <c r="V328" i="17"/>
  <c r="E328" i="17" s="1"/>
  <c r="U328" i="17"/>
  <c r="D328" i="17" s="1"/>
  <c r="A328" i="17" s="1"/>
  <c r="V248" i="17"/>
  <c r="E248" i="17" s="1"/>
  <c r="U248" i="17"/>
  <c r="D248" i="17" s="1"/>
  <c r="A248" i="17" s="1"/>
  <c r="U171" i="17"/>
  <c r="D171" i="17" s="1"/>
  <c r="A171" i="17" s="1"/>
  <c r="V171" i="17"/>
  <c r="E171" i="17" s="1"/>
  <c r="V282" i="17"/>
  <c r="E282" i="17" s="1"/>
  <c r="U282" i="17"/>
  <c r="D282" i="17" s="1"/>
  <c r="A282" i="17" s="1"/>
  <c r="V217" i="17"/>
  <c r="E217" i="17" s="1"/>
  <c r="U217" i="17"/>
  <c r="D217" i="17" s="1"/>
  <c r="A217" i="17" s="1"/>
  <c r="U233" i="17"/>
  <c r="D233" i="17" s="1"/>
  <c r="A233" i="17" s="1"/>
  <c r="V233" i="17"/>
  <c r="E233" i="17" s="1"/>
  <c r="U156" i="17"/>
  <c r="D156" i="17" s="1"/>
  <c r="A156" i="17" s="1"/>
  <c r="V156" i="17"/>
  <c r="E156" i="17" s="1"/>
  <c r="V87" i="17"/>
  <c r="E87" i="17" s="1"/>
  <c r="U87" i="17"/>
  <c r="D87" i="17" s="1"/>
  <c r="A87" i="17" s="1"/>
  <c r="U173" i="17"/>
  <c r="D173" i="17" s="1"/>
  <c r="A173" i="17" s="1"/>
  <c r="V173" i="17"/>
  <c r="E173" i="17" s="1"/>
  <c r="V158" i="17"/>
  <c r="E158" i="17" s="1"/>
  <c r="U158" i="17"/>
  <c r="D158" i="17" s="1"/>
  <c r="A158" i="17" s="1"/>
  <c r="U111" i="17"/>
  <c r="D111" i="17" s="1"/>
  <c r="A111" i="17" s="1"/>
  <c r="V111" i="17"/>
  <c r="E111" i="17" s="1"/>
  <c r="V161" i="17"/>
  <c r="E161" i="17" s="1"/>
  <c r="U161" i="17"/>
  <c r="D161" i="17" s="1"/>
  <c r="A161" i="17" s="1"/>
  <c r="U275" i="17"/>
  <c r="D275" i="17" s="1"/>
  <c r="A275" i="17" s="1"/>
  <c r="V275" i="17"/>
  <c r="E275" i="17" s="1"/>
  <c r="U132" i="17"/>
  <c r="D132" i="17" s="1"/>
  <c r="A132" i="17" s="1"/>
  <c r="V132" i="17"/>
  <c r="E132" i="17" s="1"/>
  <c r="V80" i="17"/>
  <c r="E80" i="17" s="1"/>
  <c r="U80" i="17"/>
  <c r="D80" i="17" s="1"/>
  <c r="A80" i="17" s="1"/>
  <c r="U188" i="17"/>
  <c r="D188" i="17" s="1"/>
  <c r="A188" i="17" s="1"/>
  <c r="V188" i="17"/>
  <c r="E188" i="17" s="1"/>
  <c r="V134" i="17"/>
  <c r="E134" i="17" s="1"/>
  <c r="U134" i="17"/>
  <c r="D134" i="17" s="1"/>
  <c r="A134" i="17" s="1"/>
  <c r="V249" i="17"/>
  <c r="E249" i="17" s="1"/>
  <c r="U249" i="17"/>
  <c r="D249" i="17" s="1"/>
  <c r="A249" i="17" s="1"/>
  <c r="V270" i="17"/>
  <c r="E270" i="17" s="1"/>
  <c r="U270" i="17"/>
  <c r="D270" i="17" s="1"/>
  <c r="A270" i="17" s="1"/>
  <c r="U181" i="17"/>
  <c r="D181" i="17" s="1"/>
  <c r="A181" i="17" s="1"/>
  <c r="V181" i="17"/>
  <c r="E181" i="17" s="1"/>
  <c r="V236" i="17"/>
  <c r="E236" i="17" s="1"/>
  <c r="U236" i="17"/>
  <c r="D236" i="17" s="1"/>
  <c r="A236" i="17" s="1"/>
  <c r="U230" i="17"/>
  <c r="D230" i="17" s="1"/>
  <c r="A230" i="17" s="1"/>
  <c r="V230" i="17"/>
  <c r="E230" i="17" s="1"/>
  <c r="U179" i="17"/>
  <c r="D179" i="17" s="1"/>
  <c r="A179" i="17" s="1"/>
  <c r="V179" i="17"/>
  <c r="E179" i="17" s="1"/>
  <c r="V245" i="17"/>
  <c r="E245" i="17" s="1"/>
  <c r="U245" i="17"/>
  <c r="D245" i="17" s="1"/>
  <c r="A245" i="17" s="1"/>
  <c r="U142" i="17"/>
  <c r="D142" i="17" s="1"/>
  <c r="A142" i="17" s="1"/>
  <c r="V142" i="17"/>
  <c r="E142" i="17" s="1"/>
  <c r="V135" i="17"/>
  <c r="E135" i="17" s="1"/>
  <c r="U135" i="17"/>
  <c r="D135" i="17" s="1"/>
  <c r="A135" i="17" s="1"/>
  <c r="U213" i="17"/>
  <c r="D213" i="17" s="1"/>
  <c r="A213" i="17" s="1"/>
  <c r="V213" i="17"/>
  <c r="E213" i="17" s="1"/>
  <c r="V231" i="17"/>
  <c r="E231" i="17" s="1"/>
  <c r="U231" i="17"/>
  <c r="D231" i="17" s="1"/>
  <c r="A231" i="17" s="1"/>
  <c r="V276" i="17"/>
  <c r="E276" i="17" s="1"/>
  <c r="U276" i="17"/>
  <c r="D276" i="17" s="1"/>
  <c r="A276" i="17" s="1"/>
  <c r="U218" i="17"/>
  <c r="D218" i="17" s="1"/>
  <c r="A218" i="17" s="1"/>
  <c r="V218" i="17"/>
  <c r="E218" i="17" s="1"/>
  <c r="V128" i="17"/>
  <c r="E128" i="17" s="1"/>
  <c r="U128" i="17"/>
  <c r="D128" i="17" s="1"/>
  <c r="A128" i="17" s="1"/>
  <c r="U304" i="17"/>
  <c r="D304" i="17" s="1"/>
  <c r="A304" i="17" s="1"/>
  <c r="V304" i="17"/>
  <c r="E304" i="17" s="1"/>
  <c r="U260" i="17"/>
  <c r="D260" i="17" s="1"/>
  <c r="A260" i="17" s="1"/>
  <c r="V260" i="17"/>
  <c r="E260" i="17" s="1"/>
  <c r="U226" i="17"/>
  <c r="D226" i="17" s="1"/>
  <c r="A226" i="17" s="1"/>
  <c r="V226" i="17"/>
  <c r="E226" i="17" s="1"/>
  <c r="V196" i="17"/>
  <c r="E196" i="17" s="1"/>
  <c r="U196" i="17"/>
  <c r="D196" i="17" s="1"/>
  <c r="A196" i="17" s="1"/>
  <c r="U278" i="17"/>
  <c r="D278" i="17" s="1"/>
  <c r="A278" i="17" s="1"/>
  <c r="V278" i="17"/>
  <c r="E278" i="17" s="1"/>
  <c r="U296" i="17"/>
  <c r="D296" i="17" s="1"/>
  <c r="A296" i="17" s="1"/>
  <c r="V296" i="17"/>
  <c r="E296" i="17" s="1"/>
  <c r="V138" i="17"/>
  <c r="E138" i="17" s="1"/>
  <c r="U138" i="17"/>
  <c r="D138" i="17" s="1"/>
  <c r="A138" i="17" s="1"/>
  <c r="U272" i="17"/>
  <c r="D272" i="17" s="1"/>
  <c r="A272" i="17" s="1"/>
  <c r="V272" i="17"/>
  <c r="E272" i="17" s="1"/>
  <c r="V102" i="17"/>
  <c r="E102" i="17" s="1"/>
  <c r="U102" i="17"/>
  <c r="D102" i="17" s="1"/>
  <c r="A102" i="17" s="1"/>
  <c r="V250" i="17"/>
  <c r="E250" i="17" s="1"/>
  <c r="U250" i="17"/>
  <c r="D250" i="17" s="1"/>
  <c r="A250" i="17" s="1"/>
  <c r="V151" i="17"/>
  <c r="E151" i="17" s="1"/>
  <c r="U151" i="17"/>
  <c r="D151" i="17" s="1"/>
  <c r="A151" i="17" s="1"/>
  <c r="U314" i="17"/>
  <c r="D314" i="17" s="1"/>
  <c r="A314" i="17" s="1"/>
  <c r="V314" i="17"/>
  <c r="E314" i="17" s="1"/>
  <c r="V315" i="17"/>
  <c r="E315" i="17" s="1"/>
  <c r="U315" i="17"/>
  <c r="D315" i="17" s="1"/>
  <c r="A315" i="17" s="1"/>
  <c r="U114" i="17"/>
  <c r="D114" i="17" s="1"/>
  <c r="A114" i="17" s="1"/>
  <c r="V114" i="17"/>
  <c r="E114" i="17" s="1"/>
  <c r="V200" i="17"/>
  <c r="E200" i="17" s="1"/>
  <c r="U200" i="17"/>
  <c r="D200" i="17" s="1"/>
  <c r="A200" i="17" s="1"/>
  <c r="U157" i="17"/>
  <c r="D157" i="17" s="1"/>
  <c r="A157" i="17" s="1"/>
  <c r="V157" i="17"/>
  <c r="E157" i="17" s="1"/>
  <c r="V121" i="17"/>
  <c r="E121" i="17" s="1"/>
  <c r="U121" i="17"/>
  <c r="D121" i="17" s="1"/>
  <c r="A121" i="17" s="1"/>
  <c r="V148" i="17"/>
  <c r="E148" i="17" s="1"/>
  <c r="U148" i="17"/>
  <c r="D148" i="17" s="1"/>
  <c r="A148" i="17" s="1"/>
  <c r="V244" i="17"/>
  <c r="E244" i="17" s="1"/>
  <c r="U244" i="17"/>
  <c r="D244" i="17" s="1"/>
  <c r="A244" i="17" s="1"/>
  <c r="V163" i="17"/>
  <c r="E163" i="17" s="1"/>
  <c r="U163" i="17"/>
  <c r="D163" i="17" s="1"/>
  <c r="A163" i="17" s="1"/>
  <c r="V330" i="17"/>
  <c r="E330" i="17" s="1"/>
  <c r="U330" i="17"/>
  <c r="D330" i="17" s="1"/>
  <c r="A330" i="17" s="1"/>
  <c r="V318" i="17"/>
  <c r="E318" i="17" s="1"/>
  <c r="U318" i="17"/>
  <c r="D318" i="17" s="1"/>
  <c r="A318" i="17" s="1"/>
  <c r="V145" i="17"/>
  <c r="E145" i="17" s="1"/>
  <c r="U145" i="17"/>
  <c r="D145" i="17" s="1"/>
  <c r="A145" i="17" s="1"/>
  <c r="U235" i="17"/>
  <c r="D235" i="17" s="1"/>
  <c r="A235" i="17" s="1"/>
  <c r="V235" i="17"/>
  <c r="E235" i="17" s="1"/>
  <c r="U97" i="17"/>
  <c r="D97" i="17" s="1"/>
  <c r="A97" i="17" s="1"/>
  <c r="V97" i="17"/>
  <c r="E97" i="17" s="1"/>
  <c r="U308" i="17"/>
  <c r="D308" i="17" s="1"/>
  <c r="A308" i="17" s="1"/>
  <c r="V308" i="17"/>
  <c r="E308" i="17" s="1"/>
  <c r="V263" i="17"/>
  <c r="E263" i="17" s="1"/>
  <c r="U263" i="17"/>
  <c r="D263" i="17" s="1"/>
  <c r="A263" i="17" s="1"/>
  <c r="U319" i="17"/>
  <c r="D319" i="17" s="1"/>
  <c r="A319" i="17" s="1"/>
  <c r="V319" i="17"/>
  <c r="E319" i="17" s="1"/>
  <c r="U223" i="17"/>
  <c r="D223" i="17" s="1"/>
  <c r="A223" i="17" s="1"/>
  <c r="V223" i="17"/>
  <c r="E223" i="17" s="1"/>
  <c r="V271" i="17"/>
  <c r="E271" i="17" s="1"/>
  <c r="U271" i="17"/>
  <c r="D271" i="17" s="1"/>
  <c r="A271" i="17" s="1"/>
  <c r="V257" i="17"/>
  <c r="E257" i="17" s="1"/>
  <c r="U257" i="17"/>
  <c r="D257" i="17" s="1"/>
  <c r="A257" i="17" s="1"/>
  <c r="U136" i="17"/>
  <c r="D136" i="17" s="1"/>
  <c r="A136" i="17" s="1"/>
  <c r="V136" i="17"/>
  <c r="E136" i="17" s="1"/>
  <c r="V265" i="17"/>
  <c r="E265" i="17" s="1"/>
  <c r="U265" i="17"/>
  <c r="D265" i="17" s="1"/>
  <c r="A265" i="17" s="1"/>
  <c r="V94" i="17"/>
  <c r="E94" i="17" s="1"/>
  <c r="U94" i="17"/>
  <c r="D94" i="17" s="1"/>
  <c r="A94" i="17" s="1"/>
  <c r="U124" i="17"/>
  <c r="D124" i="17" s="1"/>
  <c r="A124" i="17" s="1"/>
  <c r="V124" i="17"/>
  <c r="E124" i="17" s="1"/>
  <c r="U146" i="17"/>
  <c r="D146" i="17" s="1"/>
  <c r="A146" i="17" s="1"/>
  <c r="V146" i="17"/>
  <c r="E146" i="17" s="1"/>
  <c r="V190" i="17"/>
  <c r="E190" i="17" s="1"/>
  <c r="U190" i="17"/>
  <c r="D190" i="17" s="1"/>
  <c r="A190" i="17" s="1"/>
  <c r="V253" i="17"/>
  <c r="E253" i="17" s="1"/>
  <c r="U253" i="17"/>
  <c r="D253" i="17" s="1"/>
  <c r="A253" i="17" s="1"/>
  <c r="U324" i="17"/>
  <c r="D324" i="17" s="1"/>
  <c r="A324" i="17" s="1"/>
  <c r="V324" i="17"/>
  <c r="E324" i="17" s="1"/>
  <c r="V258" i="17"/>
  <c r="E258" i="17" s="1"/>
  <c r="U258" i="17"/>
  <c r="D258" i="17" s="1"/>
  <c r="A258" i="17" s="1"/>
  <c r="V284" i="17"/>
  <c r="E284" i="17" s="1"/>
  <c r="U284" i="17"/>
  <c r="D284" i="17" s="1"/>
  <c r="A284" i="17" s="1"/>
  <c r="U303" i="17"/>
  <c r="D303" i="17" s="1"/>
  <c r="A303" i="17" s="1"/>
  <c r="V303" i="17"/>
  <c r="E303" i="17" s="1"/>
  <c r="U117" i="17"/>
  <c r="D117" i="17" s="1"/>
  <c r="A117" i="17" s="1"/>
  <c r="V117" i="17"/>
  <c r="E117" i="17" s="1"/>
  <c r="U113" i="17"/>
  <c r="D113" i="17" s="1"/>
  <c r="A113" i="17" s="1"/>
  <c r="V113" i="17"/>
  <c r="E113" i="17" s="1"/>
  <c r="V95" i="17"/>
  <c r="E95" i="17" s="1"/>
  <c r="U95" i="17"/>
  <c r="D95" i="17" s="1"/>
  <c r="A95" i="17" s="1"/>
  <c r="U309" i="17"/>
  <c r="D309" i="17" s="1"/>
  <c r="A309" i="17" s="1"/>
  <c r="V309" i="17"/>
  <c r="E309" i="17" s="1"/>
  <c r="U237" i="17"/>
  <c r="D237" i="17" s="1"/>
  <c r="A237" i="17" s="1"/>
  <c r="V237" i="17"/>
  <c r="E237" i="17" s="1"/>
  <c r="V122" i="17"/>
  <c r="E122" i="17" s="1"/>
  <c r="U122" i="17"/>
  <c r="D122" i="17" s="1"/>
  <c r="A122" i="17" s="1"/>
  <c r="V285" i="17"/>
  <c r="E285" i="17" s="1"/>
  <c r="U285" i="17"/>
  <c r="D285" i="17" s="1"/>
  <c r="A285" i="17" s="1"/>
  <c r="U242" i="17"/>
  <c r="D242" i="17" s="1"/>
  <c r="A242" i="17" s="1"/>
  <c r="V242" i="17"/>
  <c r="E242" i="17" s="1"/>
  <c r="V99" i="17"/>
  <c r="E99" i="17" s="1"/>
  <c r="U99" i="17"/>
  <c r="D99" i="17" s="1"/>
  <c r="A99" i="17" s="1"/>
  <c r="V166" i="17"/>
  <c r="E166" i="17" s="1"/>
  <c r="U166" i="17"/>
  <c r="D166" i="17" s="1"/>
  <c r="A166" i="17" s="1"/>
  <c r="U320" i="17"/>
  <c r="D320" i="17" s="1"/>
  <c r="A320" i="17" s="1"/>
  <c r="V320" i="17"/>
  <c r="E320" i="17" s="1"/>
  <c r="U212" i="17"/>
  <c r="D212" i="17" s="1"/>
  <c r="A212" i="17" s="1"/>
  <c r="V212" i="17"/>
  <c r="E212" i="17" s="1"/>
  <c r="V227" i="17"/>
  <c r="E227" i="17" s="1"/>
  <c r="U227" i="17"/>
  <c r="D227" i="17" s="1"/>
  <c r="A227" i="17" s="1"/>
  <c r="U185" i="17"/>
  <c r="D185" i="17" s="1"/>
  <c r="A185" i="17" s="1"/>
  <c r="V185" i="17"/>
  <c r="E185" i="17" s="1"/>
  <c r="V83" i="17"/>
  <c r="E83" i="17" s="1"/>
  <c r="U83" i="17"/>
  <c r="D83" i="17" s="1"/>
  <c r="A83" i="17" s="1"/>
  <c r="V107" i="17"/>
  <c r="E107" i="17" s="1"/>
  <c r="U107" i="17"/>
  <c r="D107" i="17" s="1"/>
  <c r="A107" i="17" s="1"/>
  <c r="V254" i="17"/>
  <c r="E254" i="17" s="1"/>
  <c r="U254" i="17"/>
  <c r="D254" i="17" s="1"/>
  <c r="A254" i="17" s="1"/>
  <c r="U203" i="17"/>
  <c r="D203" i="17" s="1"/>
  <c r="A203" i="17" s="1"/>
  <c r="V203" i="17"/>
  <c r="E203" i="17" s="1"/>
  <c r="U289" i="17"/>
  <c r="D289" i="17" s="1"/>
  <c r="A289" i="17" s="1"/>
  <c r="V289" i="17"/>
  <c r="E289" i="17" s="1"/>
  <c r="V184" i="17"/>
  <c r="E184" i="17" s="1"/>
  <c r="U184" i="17"/>
  <c r="D184" i="17" s="1"/>
  <c r="A184" i="17" s="1"/>
  <c r="U317" i="17"/>
  <c r="D317" i="17" s="1"/>
  <c r="A317" i="17" s="1"/>
  <c r="V317" i="17"/>
  <c r="E317" i="17" s="1"/>
  <c r="U167" i="17"/>
  <c r="D167" i="17" s="1"/>
  <c r="A167" i="17" s="1"/>
  <c r="V167" i="17"/>
  <c r="E167" i="17" s="1"/>
  <c r="V307" i="17"/>
  <c r="E307" i="17" s="1"/>
  <c r="U307" i="17"/>
  <c r="D307" i="17" s="1"/>
  <c r="A307" i="17" s="1"/>
  <c r="V267" i="17"/>
  <c r="E267" i="17" s="1"/>
  <c r="U267" i="17"/>
  <c r="D267" i="17" s="1"/>
  <c r="A267" i="17" s="1"/>
  <c r="V147" i="17"/>
  <c r="E147" i="17" s="1"/>
  <c r="U147" i="17"/>
  <c r="D147" i="17" s="1"/>
  <c r="A147" i="17" s="1"/>
  <c r="U112" i="17"/>
  <c r="D112" i="17" s="1"/>
  <c r="A112" i="17" s="1"/>
  <c r="V112" i="17"/>
  <c r="E112" i="17" s="1"/>
  <c r="U127" i="17"/>
  <c r="D127" i="17" s="1"/>
  <c r="A127" i="17" s="1"/>
  <c r="V127" i="17"/>
  <c r="E127" i="17" s="1"/>
  <c r="U115" i="17"/>
  <c r="D115" i="17" s="1"/>
  <c r="A115" i="17" s="1"/>
  <c r="V115" i="17"/>
  <c r="E115" i="17" s="1"/>
  <c r="V206" i="17"/>
  <c r="E206" i="17" s="1"/>
  <c r="U206" i="17"/>
  <c r="D206" i="17" s="1"/>
  <c r="A206" i="17" s="1"/>
  <c r="V89" i="17"/>
  <c r="E89" i="17" s="1"/>
  <c r="U89" i="17"/>
  <c r="D89" i="17" s="1"/>
  <c r="A89" i="17" s="1"/>
  <c r="U323" i="17"/>
  <c r="D323" i="17" s="1"/>
  <c r="A323" i="17" s="1"/>
  <c r="V323" i="17"/>
  <c r="E323" i="17" s="1"/>
  <c r="U85" i="17"/>
  <c r="D85" i="17" s="1"/>
  <c r="A85" i="17" s="1"/>
  <c r="V85" i="17"/>
  <c r="E85" i="17" s="1"/>
  <c r="V194" i="17"/>
  <c r="E194" i="17" s="1"/>
  <c r="U194" i="17"/>
  <c r="D194" i="17" s="1"/>
  <c r="A194" i="17" s="1"/>
  <c r="V191" i="17"/>
  <c r="E191" i="17" s="1"/>
  <c r="U191" i="17"/>
  <c r="D191" i="17" s="1"/>
  <c r="A191" i="17" s="1"/>
  <c r="V120" i="17"/>
  <c r="E120" i="17" s="1"/>
  <c r="U120" i="17"/>
  <c r="D120" i="17" s="1"/>
  <c r="A120" i="17" s="1"/>
  <c r="V143" i="17"/>
  <c r="E143" i="17" s="1"/>
  <c r="U143" i="17"/>
  <c r="D143" i="17" s="1"/>
  <c r="A143" i="17" s="1"/>
  <c r="V225" i="17"/>
  <c r="E225" i="17" s="1"/>
  <c r="U225" i="17"/>
  <c r="D225" i="17" s="1"/>
  <c r="A225" i="17" s="1"/>
  <c r="U306" i="17"/>
  <c r="D306" i="17" s="1"/>
  <c r="A306" i="17" s="1"/>
  <c r="V306" i="17"/>
  <c r="E306" i="17" s="1"/>
  <c r="V187" i="17"/>
  <c r="E187" i="17" s="1"/>
  <c r="U187" i="17"/>
  <c r="D187" i="17" s="1"/>
  <c r="A187" i="17" s="1"/>
  <c r="V301" i="17"/>
  <c r="E301" i="17" s="1"/>
  <c r="U301" i="17"/>
  <c r="D301" i="17" s="1"/>
  <c r="A301" i="17" s="1"/>
  <c r="U241" i="17"/>
  <c r="D241" i="17" s="1"/>
  <c r="A241" i="17" s="1"/>
  <c r="V241" i="17"/>
  <c r="E241" i="17" s="1"/>
  <c r="V202" i="17"/>
  <c r="E202" i="17" s="1"/>
  <c r="U202" i="17"/>
  <c r="D202" i="17" s="1"/>
  <c r="A202" i="17" s="1"/>
  <c r="V195" i="17"/>
  <c r="E195" i="17" s="1"/>
  <c r="U195" i="17"/>
  <c r="D195" i="17" s="1"/>
  <c r="A195" i="17" s="1"/>
  <c r="U119" i="17"/>
  <c r="D119" i="17" s="1"/>
  <c r="A119" i="17" s="1"/>
  <c r="V119" i="17"/>
  <c r="E119" i="17" s="1"/>
  <c r="U141" i="17"/>
  <c r="D141" i="17" s="1"/>
  <c r="A141" i="17" s="1"/>
  <c r="V141" i="17"/>
  <c r="E141" i="17" s="1"/>
  <c r="U251" i="17"/>
  <c r="D251" i="17" s="1"/>
  <c r="A251" i="17" s="1"/>
  <c r="V251" i="17"/>
  <c r="E251" i="17" s="1"/>
  <c r="U193" i="17"/>
  <c r="D193" i="17" s="1"/>
  <c r="A193" i="17" s="1"/>
  <c r="V193" i="17"/>
  <c r="E193" i="17" s="1"/>
  <c r="U224" i="17"/>
  <c r="D224" i="17" s="1"/>
  <c r="A224" i="17" s="1"/>
  <c r="V224" i="17"/>
  <c r="E224" i="17" s="1"/>
  <c r="U150" i="17"/>
  <c r="D150" i="17" s="1"/>
  <c r="A150" i="17" s="1"/>
  <c r="V150" i="17"/>
  <c r="E150" i="17" s="1"/>
  <c r="V291" i="17"/>
  <c r="E291" i="17" s="1"/>
  <c r="U291" i="17"/>
  <c r="D291" i="17" s="1"/>
  <c r="A291" i="17" s="1"/>
  <c r="U264" i="17"/>
  <c r="D264" i="17" s="1"/>
  <c r="A264" i="17" s="1"/>
  <c r="V264" i="17"/>
  <c r="E264" i="17" s="1"/>
  <c r="U209" i="17"/>
  <c r="D209" i="17" s="1"/>
  <c r="A209" i="17" s="1"/>
  <c r="V209" i="17"/>
  <c r="E209" i="17" s="1"/>
  <c r="U91" i="17"/>
  <c r="D91" i="17" s="1"/>
  <c r="A91" i="17" s="1"/>
  <c r="V91" i="17"/>
  <c r="E91" i="17" s="1"/>
  <c r="U204" i="17"/>
  <c r="D204" i="17" s="1"/>
  <c r="A204" i="17" s="1"/>
  <c r="V204" i="17"/>
  <c r="E204" i="17" s="1"/>
  <c r="U182" i="17"/>
  <c r="D182" i="17" s="1"/>
  <c r="A182" i="17" s="1"/>
  <c r="V182" i="17"/>
  <c r="E182" i="17" s="1"/>
  <c r="D74" i="17" l="1"/>
  <c r="D73" i="17"/>
  <c r="F74" i="17" l="1"/>
  <c r="G74" i="17"/>
  <c r="D75" i="17" l="1"/>
  <c r="G75" i="17" l="1"/>
  <c r="F75" i="17"/>
  <c r="I75" i="17" l="1"/>
  <c r="D76" i="17" s="1"/>
  <c r="J19" i="17" s="1"/>
  <c r="I74" i="17"/>
  <c r="J75" i="17"/>
  <c r="G76" i="17" s="1"/>
  <c r="F116" i="7" l="1"/>
  <c r="F46" i="17"/>
  <c r="F51" i="17"/>
  <c r="H47" i="17" l="1"/>
  <c r="H48" i="17" s="1"/>
  <c r="F48" i="17"/>
  <c r="F47" i="17"/>
  <c r="H49" i="17"/>
  <c r="G49" i="17"/>
  <c r="I49" i="17" l="1"/>
  <c r="F50" i="17" s="1"/>
  <c r="J20" i="17" s="1"/>
  <c r="F117" i="7" s="1"/>
  <c r="F49" i="17" l="1"/>
</calcChain>
</file>

<file path=xl/comments1.xml><?xml version="1.0" encoding="utf-8"?>
<comments xmlns="http://schemas.openxmlformats.org/spreadsheetml/2006/main">
  <authors>
    <author>Schurmann, Matthew</author>
  </authors>
  <commentList>
    <comment ref="B4" authorId="0">
      <text>
        <r>
          <rPr>
            <sz val="8"/>
            <color indexed="81"/>
            <rFont val="Tahoma"/>
            <family val="2"/>
          </rPr>
          <t>Default is VIN_nominal, user should check at different input voltages</t>
        </r>
      </text>
    </comment>
    <comment ref="B5" authorId="0">
      <text>
        <r>
          <rPr>
            <sz val="8"/>
            <color indexed="81"/>
            <rFont val="Tahoma"/>
            <family val="2"/>
          </rPr>
          <t>Default is Vout_Nominal</t>
        </r>
      </text>
    </comment>
    <comment ref="B6" authorId="0">
      <text>
        <r>
          <rPr>
            <sz val="8"/>
            <color indexed="81"/>
            <rFont val="Tahoma"/>
            <family val="2"/>
          </rPr>
          <t>Default is IOUT_MAX. User should check with lower output currents as well</t>
        </r>
      </text>
    </comment>
  </commentList>
</comments>
</file>

<file path=xl/sharedStrings.xml><?xml version="1.0" encoding="utf-8"?>
<sst xmlns="http://schemas.openxmlformats.org/spreadsheetml/2006/main" count="1002" uniqueCount="599">
  <si>
    <t>Name</t>
  </si>
  <si>
    <t>Remarks</t>
  </si>
  <si>
    <t>AGND</t>
  </si>
  <si>
    <t>Pin</t>
  </si>
  <si>
    <t>Purpose</t>
  </si>
  <si>
    <t>Validation Options</t>
  </si>
  <si>
    <t>Open</t>
  </si>
  <si>
    <t>Connection For Functional Use</t>
  </si>
  <si>
    <t>Comments</t>
  </si>
  <si>
    <t>Power Stage</t>
  </si>
  <si>
    <t>SW</t>
  </si>
  <si>
    <t>BP6</t>
  </si>
  <si>
    <t>BP3</t>
  </si>
  <si>
    <t>BOOT</t>
  </si>
  <si>
    <t>Bootstrap pin for the internal flying high-side driver</t>
  </si>
  <si>
    <t>Output of the 3.3-V on-board regulator</t>
  </si>
  <si>
    <t>Output of the 6-V on-board regulator</t>
  </si>
  <si>
    <t>Power stage ground return</t>
  </si>
  <si>
    <t>Input power to the power stage</t>
  </si>
  <si>
    <t>ADDR0</t>
  </si>
  <si>
    <t>ADDR1</t>
  </si>
  <si>
    <t>Sets low order 3-bits of the PMBus address</t>
  </si>
  <si>
    <t>Sets high order 3-bits of the PMBus address</t>
  </si>
  <si>
    <t>CNTL</t>
  </si>
  <si>
    <t>COMP</t>
  </si>
  <si>
    <t>DIFFO</t>
  </si>
  <si>
    <t>FB</t>
  </si>
  <si>
    <t>RT</t>
  </si>
  <si>
    <t>Output of the differential sense amplifier</t>
  </si>
  <si>
    <t>Frequency-setting resistor</t>
  </si>
  <si>
    <t>COMP requires good local bypassing. Place a bypass capacitor as close as possible to the COMP pin which bypasses COMP to the low impedance analog ground (AGND). This return loop should be kept away from fast switching voltage and main current path, as well as the BP6 current path.</t>
  </si>
  <si>
    <t>Poor bypassing on BP3 can degrade the performance of the regulator.</t>
  </si>
  <si>
    <t>Bypassing the BP6 pin to GND with a low-impedance path is very critical to the stable operation of the TPS544x25 devices.</t>
  </si>
  <si>
    <t>Reasoning</t>
  </si>
  <si>
    <t>Sensing and Control</t>
  </si>
  <si>
    <t>Configuration</t>
  </si>
  <si>
    <t>Controller</t>
  </si>
  <si>
    <t>PMBUS</t>
  </si>
  <si>
    <t>Misc</t>
  </si>
  <si>
    <t xml:space="preserve">Feedback pin for the control loop. </t>
  </si>
  <si>
    <t>Regulates to nominal 600mV if there is no trim applied to device using VREF_TRIM PMBUS command</t>
  </si>
  <si>
    <t xml:space="preserve">Feedback divider network connected as needed.
Resistor network is between DIFFO &amp; FB and between FB &amp; AGND. </t>
  </si>
  <si>
    <t>Ensure that the feedback divider network gives the appropriate Vout based on the VREF=0.6V (VREF can be trimmed using VREF_TRIM PMBUS command).
The top resistor is connected between DIFFO and FB.
The bottom resistor is connected between FB and AGND.</t>
  </si>
  <si>
    <t>ADDR0, ADDR1</t>
  </si>
  <si>
    <t>3, 2</t>
  </si>
  <si>
    <t>The ADDR0, ADDR1 resistors must be connected to AGND</t>
  </si>
  <si>
    <t>Sets the PMBus address</t>
  </si>
  <si>
    <t>8, 9, 10, 11, 12</t>
  </si>
  <si>
    <t>Multiple (5qty preferable) 2.2nF-10nF 0402 minimum 25V input capacitor from VIN to GND to minimize high-frequency ringing energy</t>
  </si>
  <si>
    <t>N/A</t>
  </si>
  <si>
    <t>21, 22, 23, 24, 25</t>
  </si>
  <si>
    <t>Placement or Routing?</t>
  </si>
  <si>
    <t>Adding a space between SW and VOUT node can increase noise immunity against the SW radiating noise across the inductor.</t>
  </si>
  <si>
    <t>Routing</t>
  </si>
  <si>
    <t>Placement</t>
  </si>
  <si>
    <t>Have a large solid ground plane for AGND to minimize impedance of the plane.</t>
  </si>
  <si>
    <t>PGND</t>
  </si>
  <si>
    <t>Power ground return for controller device</t>
  </si>
  <si>
    <t xml:space="preserve">Power-stage input bypass capacitors should be as close as physically possible to the VIN and GND pins. 
</t>
  </si>
  <si>
    <t>Additionally, a high-frequency bypass capacitor in 0402 package on the VIN pins can be placed right underneath the IC on the other side of the PCB to reduce switching spikes and associated noise.</t>
  </si>
  <si>
    <t>Minimize the SW copper area for best noise performance. Route sensitive traces away from the SW and BOOT pins as these nets contain fast switching voltages and lend easily to capacitive coupling.</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</si>
  <si>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</si>
  <si>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Cin</t>
  </si>
  <si>
    <t>Cout</t>
  </si>
  <si>
    <t>Inductor</t>
  </si>
  <si>
    <t xml:space="preserve">ADDR0 sets low order 3-bits of the PMBus address
ADDR1 sets high order 3 bits of the PMBUS address
</t>
  </si>
  <si>
    <t>Keep the ADDR0 resistor local to the device and place it as close as possible to the ADDR0 pin. The resistor should be kept away from fast switching voltage and current paths.</t>
  </si>
  <si>
    <t>Keep the ADDR1 resistor local to the device and place it as close as possible to the ADDR1 pin. The resistor should be kept away from fast switching voltage and current paths.</t>
  </si>
  <si>
    <t>Complete</t>
  </si>
  <si>
    <t>Not Applicable</t>
  </si>
  <si>
    <t>Status</t>
  </si>
  <si>
    <t>Place the boot resistor as close to the pin, followed by the boot capacitor. Route these separate from the SW copper plane.</t>
  </si>
  <si>
    <t>BP3 requires good local bypassing. Place a bypass capacitor as close as possible to the BP3 pin, with a minimum return loop back to AGND and this return loop should be kept away from fast switching voltage and main current path, as well as the BP6 current path.</t>
  </si>
  <si>
    <t xml:space="preserve">Keep the RT resistor local to the device and place it as close as possible to the RT pin. The resistor should be kept away from fast switching voltage and current paths. Connect the resistor to the low impedance analog ground (AGND). </t>
  </si>
  <si>
    <t>VIN</t>
  </si>
  <si>
    <t>Design Calculations</t>
  </si>
  <si>
    <t>Parameter</t>
  </si>
  <si>
    <t>Input</t>
  </si>
  <si>
    <t>Recommended</t>
  </si>
  <si>
    <t>Selected Value</t>
  </si>
  <si>
    <t>Calculated with Selected Value</t>
  </si>
  <si>
    <t>Units</t>
  </si>
  <si>
    <t>Description</t>
  </si>
  <si>
    <t>Choose Device</t>
  </si>
  <si>
    <t>Part number</t>
  </si>
  <si>
    <t>Select IC part number</t>
  </si>
  <si>
    <t>Key</t>
  </si>
  <si>
    <t>Vin_min_bias</t>
  </si>
  <si>
    <t>V</t>
  </si>
  <si>
    <t>IC rated minimum input voltage with external bias</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</si>
  <si>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</si>
  <si>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</si>
  <si>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</si>
  <si>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</si>
  <si>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</si>
  <si>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</si>
  <si>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</si>
  <si>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</si>
  <si>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</si>
  <si>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</si>
  <si>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</si>
  <si>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</si>
  <si>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</si>
  <si>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</si>
  <si>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Design Warning</t>
  </si>
  <si>
    <t>EN_rise</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</si>
  <si>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</si>
  <si>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</si>
  <si>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</si>
  <si>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</si>
  <si>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</si>
  <si>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</si>
  <si>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</si>
  <si>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</si>
  <si>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</si>
  <si>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</si>
  <si>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</si>
  <si>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</si>
  <si>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</si>
  <si>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</si>
  <si>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</si>
  <si>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</si>
  <si>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</si>
  <si>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</si>
  <si>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</si>
  <si>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</si>
  <si>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</si>
  <si>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</si>
  <si>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</si>
  <si>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</si>
  <si>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</si>
  <si>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</si>
  <si>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</si>
  <si>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</si>
  <si>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</si>
  <si>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</si>
  <si>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</si>
  <si>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</si>
  <si>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</si>
  <si>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</si>
  <si>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</si>
  <si>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</si>
  <si>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</si>
  <si>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</si>
  <si>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</si>
  <si>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</si>
  <si>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</si>
  <si>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</si>
  <si>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</si>
  <si>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</si>
  <si>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</si>
  <si>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</si>
  <si>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</si>
  <si>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</si>
  <si>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</si>
  <si>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</si>
  <si>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</si>
  <si>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</si>
  <si>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</si>
  <si>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</si>
  <si>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</si>
  <si>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</si>
  <si>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</si>
  <si>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</si>
  <si>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</si>
  <si>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</si>
  <si>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</si>
  <si>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</si>
  <si>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</si>
  <si>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</si>
  <si>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</si>
  <si>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</si>
  <si>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</si>
  <si>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</si>
  <si>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</si>
  <si>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</si>
  <si>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</si>
  <si>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</si>
  <si>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</si>
  <si>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</si>
  <si>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</si>
  <si>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</si>
  <si>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</si>
  <si>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</si>
  <si>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</si>
  <si>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</si>
  <si>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</si>
  <si>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</si>
  <si>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The output capacitance is deteremind based on the output ripple, transient and stability requirements. These calculations do not support mixed type output capacitors.</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</si>
  <si>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</si>
  <si>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</si>
  <si>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</si>
  <si>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</si>
  <si>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</si>
  <si>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</si>
  <si>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</si>
  <si>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</si>
  <si>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</si>
  <si>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</si>
  <si>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</si>
  <si>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</si>
  <si>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</si>
  <si>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</si>
  <si>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</si>
  <si>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</si>
  <si>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</si>
  <si>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</si>
  <si>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</si>
  <si>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</si>
  <si>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</si>
  <si>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</si>
  <si>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</si>
  <si>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Cout_nominal</t>
  </si>
  <si>
    <t>Nominal value of single ceramic output capacitor</t>
  </si>
  <si>
    <t>ESR_nominal</t>
  </si>
  <si>
    <t>ESR of output single ceramic output capacitor</t>
  </si>
  <si>
    <t>N_Cout</t>
  </si>
  <si>
    <t>Number of output capacitors</t>
  </si>
  <si>
    <t>Cout_derating</t>
  </si>
  <si>
    <t>Remaining output capacitance after derating due to DC/AC bias, temp and/or tolerance</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</si>
  <si>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</si>
  <si>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</si>
  <si>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</si>
  <si>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</si>
  <si>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</si>
  <si>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</si>
  <si>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</si>
  <si>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</si>
  <si>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</si>
  <si>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</si>
  <si>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</si>
  <si>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</si>
  <si>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</si>
  <si>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</si>
  <si>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</si>
  <si>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</si>
  <si>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</si>
  <si>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</si>
  <si>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</si>
  <si>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</si>
  <si>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</si>
  <si>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</si>
  <si>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</si>
  <si>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</si>
  <si>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</si>
  <si>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</si>
  <si>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</si>
  <si>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</si>
  <si>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</si>
  <si>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</si>
  <si>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VCC bypass capacitor, BOOT bypass capacitor, PGOOD resistor</t>
  </si>
  <si>
    <t>Cbp6_rec</t>
  </si>
  <si>
    <t>Cbp6</t>
  </si>
  <si>
    <t>Selected Cbp6</t>
  </si>
  <si>
    <t>Cbp3_rec</t>
  </si>
  <si>
    <t>Cbp3</t>
  </si>
  <si>
    <t>Selected Cbp3</t>
  </si>
  <si>
    <t>Cvbst_rec</t>
  </si>
  <si>
    <t>At least 0.1µF required</t>
  </si>
  <si>
    <t>Cvbst</t>
  </si>
  <si>
    <t>Selected Cboot</t>
  </si>
  <si>
    <t>Rpg_rec</t>
  </si>
  <si>
    <t>1k-100k recommended</t>
  </si>
  <si>
    <t>Selected Rpg</t>
  </si>
  <si>
    <t>PMBUS Address</t>
  </si>
  <si>
    <t>ADDR</t>
  </si>
  <si>
    <t>R_addr0</t>
  </si>
  <si>
    <t>R_addr1</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</si>
  <si>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</si>
  <si>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</si>
  <si>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</si>
  <si>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</si>
  <si>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</si>
  <si>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</si>
  <si>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</si>
  <si>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</si>
  <si>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</si>
  <si>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</si>
  <si>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</si>
  <si>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</si>
  <si>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</si>
  <si>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</si>
  <si>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</si>
  <si>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</si>
  <si>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</si>
  <si>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</si>
  <si>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Hiccup/Latch Off</t>
  </si>
  <si>
    <t>PMBUS Addresses</t>
  </si>
  <si>
    <t>Frequency selection table</t>
  </si>
  <si>
    <t>Address</t>
  </si>
  <si>
    <t>Freq(kHz)</t>
  </si>
  <si>
    <t>RFREQ</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</si>
  <si>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</si>
  <si>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</si>
  <si>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</si>
  <si>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</si>
  <si>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</si>
  <si>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</si>
  <si>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</si>
  <si>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</si>
  <si>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</si>
  <si>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</si>
  <si>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</si>
  <si>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</si>
  <si>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</si>
  <si>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</si>
  <si>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</si>
  <si>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</si>
  <si>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</si>
  <si>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</si>
  <si>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</si>
  <si>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</si>
  <si>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</si>
  <si>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</si>
  <si>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</si>
  <si>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</si>
  <si>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R_addr0_target</t>
  </si>
  <si>
    <t>R_addr1_target</t>
  </si>
  <si>
    <t>ADDR_actual</t>
  </si>
  <si>
    <t>Choose an address between 1-77</t>
  </si>
  <si>
    <t>ADDR0 resistor value based on selected address</t>
  </si>
  <si>
    <t>ADDR1 resistor value based on selected address</t>
  </si>
  <si>
    <t>Actual address based</t>
  </si>
  <si>
    <t>Actual ADDR1 resistor value</t>
  </si>
  <si>
    <t>Actual ADDR0 resistor value</t>
  </si>
  <si>
    <t>Determine feedback network values</t>
  </si>
  <si>
    <t>Fco</t>
  </si>
  <si>
    <t>Phase margin</t>
  </si>
  <si>
    <t>SYNC</t>
  </si>
  <si>
    <t>No</t>
  </si>
  <si>
    <t>Yes</t>
  </si>
  <si>
    <t>Resistors</t>
  </si>
  <si>
    <t>Capacitors</t>
  </si>
  <si>
    <t>IC Parameters (from data sheet)</t>
  </si>
  <si>
    <t>PSU Parameters</t>
  </si>
  <si>
    <t>Calculated Zero's, Pole's, R's and C's:</t>
  </si>
  <si>
    <t>Manually enter</t>
  </si>
  <si>
    <t>Power Train Poles and Zeros</t>
  </si>
  <si>
    <t>P/N</t>
  </si>
  <si>
    <t>VRAMP</t>
  </si>
  <si>
    <t>VREF</t>
  </si>
  <si>
    <t>GBWP</t>
  </si>
  <si>
    <t>DCGAIN</t>
  </si>
  <si>
    <t>LC Double Pole</t>
  </si>
  <si>
    <t>MHz</t>
  </si>
  <si>
    <t>dB</t>
  </si>
  <si>
    <t>Fz_1</t>
  </si>
  <si>
    <t>R_1</t>
  </si>
  <si>
    <t>W</t>
  </si>
  <si>
    <t>Electrolytic ESR Zero</t>
  </si>
  <si>
    <t>IOUT_max</t>
  </si>
  <si>
    <t>Fz_2</t>
  </si>
  <si>
    <t>R_2</t>
  </si>
  <si>
    <t>Ceramic ESR Zero</t>
  </si>
  <si>
    <t>C values up to 10nF</t>
  </si>
  <si>
    <t>Fp_1</t>
  </si>
  <si>
    <t>R_3</t>
  </si>
  <si>
    <t>E24</t>
  </si>
  <si>
    <t>Phase Margin</t>
  </si>
  <si>
    <t>°</t>
  </si>
  <si>
    <t>Fp_2</t>
  </si>
  <si>
    <t>R_bias</t>
  </si>
  <si>
    <t>E48</t>
  </si>
  <si>
    <t>Output Inductor</t>
  </si>
  <si>
    <t>kVenable</t>
  </si>
  <si>
    <t>C_1</t>
  </si>
  <si>
    <t>μH</t>
  </si>
  <si>
    <t>C_2</t>
  </si>
  <si>
    <t>C_3</t>
  </si>
  <si>
    <t>Output Electrolytic Capacitor</t>
  </si>
  <si>
    <t>Qty:</t>
  </si>
  <si>
    <t>COUT_ELEC</t>
  </si>
  <si>
    <t>μF</t>
  </si>
  <si>
    <t>P's and Z's:</t>
  </si>
  <si>
    <t>ESR_ELEC</t>
  </si>
  <si>
    <t>Hz</t>
  </si>
  <si>
    <t>Output Ceramic Capacitor</t>
  </si>
  <si>
    <t>COUT_CER</t>
  </si>
  <si>
    <t>ESR_CER</t>
  </si>
  <si>
    <t>Results</t>
  </si>
  <si>
    <t>FCO actual</t>
  </si>
  <si>
    <t>C values greater than 10nF</t>
  </si>
  <si>
    <t>Phase at FCO</t>
  </si>
  <si>
    <t>RKFF</t>
  </si>
  <si>
    <t>w</t>
  </si>
  <si>
    <t>GCO_FCO</t>
  </si>
  <si>
    <t>PHCO_FCO</t>
  </si>
  <si>
    <t>EA_Gain dB</t>
  </si>
  <si>
    <t>EA_Phase</t>
  </si>
  <si>
    <t>Error Amp pole</t>
  </si>
  <si>
    <t>GBWP limit</t>
  </si>
  <si>
    <t>ROUT_min</t>
  </si>
  <si>
    <t>Ohms</t>
  </si>
  <si>
    <t>wCO</t>
  </si>
  <si>
    <t>GCOMP_FCO</t>
  </si>
  <si>
    <t>Z2(s)</t>
  </si>
  <si>
    <t>Z1(s)</t>
  </si>
  <si>
    <t>X_LC</t>
  </si>
  <si>
    <t>VIN/VRMP</t>
  </si>
  <si>
    <t>Override IC Parameters</t>
  </si>
  <si>
    <t>Mhz</t>
  </si>
  <si>
    <t>DC Gain</t>
  </si>
  <si>
    <t>Phase</t>
  </si>
  <si>
    <t>FCO</t>
  </si>
  <si>
    <t>OVERALL SYSTEM</t>
  </si>
  <si>
    <t>FILTER</t>
  </si>
  <si>
    <t>PWM GAIN and FILTER</t>
  </si>
  <si>
    <t>ERROR AMPLIFIER</t>
  </si>
  <si>
    <t>SYS_Gain (f) dB</t>
  </si>
  <si>
    <t>SYS_Phase (f)</t>
  </si>
  <si>
    <t>Numerator 1</t>
  </si>
  <si>
    <t>EA_Gain(f) dB</t>
  </si>
  <si>
    <t>EA_Phase f)</t>
  </si>
  <si>
    <t>GBWP Phase</t>
  </si>
  <si>
    <t>Xea_ol(f)</t>
  </si>
  <si>
    <t>X1(f)</t>
  </si>
  <si>
    <t>f</t>
  </si>
  <si>
    <t>ZC1(s)</t>
  </si>
  <si>
    <t>ZC2(s)</t>
  </si>
  <si>
    <t>ZC(s)</t>
  </si>
  <si>
    <t>GFILT_DBMAG(f)</t>
  </si>
  <si>
    <t>GFILT_PH(f)</t>
  </si>
  <si>
    <t>GCO_DBMAG(f)</t>
  </si>
  <si>
    <t>X2(f)</t>
  </si>
  <si>
    <t>X3(f)</t>
  </si>
  <si>
    <t>Zf(f)</t>
  </si>
  <si>
    <t>Zi(f)</t>
  </si>
  <si>
    <t>Xea_cl(f)</t>
  </si>
  <si>
    <t>C1</t>
  </si>
  <si>
    <t>C2</t>
  </si>
  <si>
    <t>C3</t>
  </si>
  <si>
    <t>R1</t>
  </si>
  <si>
    <t>R2</t>
  </si>
  <si>
    <t>R3</t>
  </si>
  <si>
    <t>Cross over frequency, start at 1/10 of FSW</t>
  </si>
  <si>
    <t>Start at 60°</t>
  </si>
  <si>
    <t>R1_rec</t>
  </si>
  <si>
    <t>R2_rec</t>
  </si>
  <si>
    <t>R3_rec</t>
  </si>
  <si>
    <t>Rbias_rec</t>
  </si>
  <si>
    <t>C1_rec</t>
  </si>
  <si>
    <t>C2_rec</t>
  </si>
  <si>
    <t>C3_rec</t>
  </si>
  <si>
    <t>Rbias</t>
  </si>
  <si>
    <t>Ω</t>
  </si>
  <si>
    <t>Recommended R1 value</t>
  </si>
  <si>
    <t>Recommended R2 value</t>
  </si>
  <si>
    <t>Recommended R3 value</t>
  </si>
  <si>
    <t>Recommended Rbias value</t>
  </si>
  <si>
    <t>Recommended C1 value</t>
  </si>
  <si>
    <t>Recommended C2 value</t>
  </si>
  <si>
    <t>Recommended C3 value</t>
  </si>
  <si>
    <t>Selected R1 value</t>
  </si>
  <si>
    <t>Selected R2 value</t>
  </si>
  <si>
    <t>Selected R3 value</t>
  </si>
  <si>
    <t>Selected Rbias value</t>
  </si>
  <si>
    <t>Selected C1 value</t>
  </si>
  <si>
    <t>Selected C2 value</t>
  </si>
  <si>
    <t>Selected C3 value</t>
  </si>
  <si>
    <t>Calculated cross over frequency with selected values</t>
  </si>
  <si>
    <t>Calculated phase margin with selected values</t>
  </si>
  <si>
    <t>Poles/Zeros</t>
  </si>
  <si>
    <t>Component</t>
  </si>
  <si>
    <t>selection_type</t>
  </si>
  <si>
    <t>Calculated R1 value</t>
  </si>
  <si>
    <t>Calculated R2 value</t>
  </si>
  <si>
    <t>Calculated R3 value</t>
  </si>
  <si>
    <t>Calculated Rbias value</t>
  </si>
  <si>
    <t>Calculated C1 value</t>
  </si>
  <si>
    <t>Calculated C2 value</t>
  </si>
  <si>
    <t>Calculated C3 value</t>
  </si>
  <si>
    <t>Select the first zero frequency</t>
  </si>
  <si>
    <t>Select the second zero frequency</t>
  </si>
  <si>
    <t>Select the second pole frequency</t>
  </si>
  <si>
    <t>Select the first pole frequency</t>
  </si>
  <si>
    <t>Calculate compensation values by selecting component values or poles and zeros values (Ignore gray section)</t>
  </si>
  <si>
    <t>TPS546C20</t>
  </si>
  <si>
    <t>TPS546C20A</t>
  </si>
  <si>
    <t>TPS546C23</t>
  </si>
  <si>
    <r>
      <t>See "</t>
    </r>
    <r>
      <rPr>
        <b/>
        <sz val="10"/>
        <rFont val="Arial"/>
        <family val="2"/>
      </rPr>
      <t>Instructions</t>
    </r>
    <r>
      <rPr>
        <sz val="11"/>
        <color theme="1"/>
        <rFont val="Calibri"/>
        <family val="2"/>
        <scheme val="minor"/>
      </rPr>
      <t>" sheet for details on using this spreadsheet.</t>
    </r>
  </si>
  <si>
    <t>R's &amp; C's:</t>
  </si>
  <si>
    <t>TPS40007</t>
  </si>
  <si>
    <t>TPS40009</t>
  </si>
  <si>
    <t>TPS40021</t>
  </si>
  <si>
    <t>TPS40040</t>
  </si>
  <si>
    <t>TPS40041</t>
  </si>
  <si>
    <t>TPS40055</t>
  </si>
  <si>
    <t>Standard R and C values for final circuit.</t>
  </si>
  <si>
    <t>TPS40057</t>
  </si>
  <si>
    <t>TPS40075</t>
  </si>
  <si>
    <t>TPS40077</t>
  </si>
  <si>
    <t>TPS40101</t>
  </si>
  <si>
    <t>TPS40170</t>
  </si>
  <si>
    <t>TPS40190</t>
  </si>
  <si>
    <t>IC Parameters</t>
  </si>
  <si>
    <t>TPS40400</t>
  </si>
  <si>
    <t>TPS40192</t>
  </si>
  <si>
    <t>TPS40193</t>
  </si>
  <si>
    <t>Enter for TPS4005x or TPS4007x:</t>
  </si>
  <si>
    <t>TPS40195</t>
  </si>
  <si>
    <t>TPS40200</t>
  </si>
  <si>
    <t>TPS40303</t>
  </si>
  <si>
    <t>TPS40304</t>
  </si>
  <si>
    <t>TPS40305</t>
  </si>
  <si>
    <t>TPS40322 (Dual)</t>
  </si>
  <si>
    <t>TPS40422</t>
  </si>
  <si>
    <t>TPS40425</t>
  </si>
  <si>
    <t>TPS40428</t>
  </si>
  <si>
    <t>TPS56121</t>
  </si>
  <si>
    <t>TPS56221</t>
  </si>
  <si>
    <t>At least 2.2 µF required</t>
  </si>
  <si>
    <t>LOUT_1</t>
  </si>
  <si>
    <t>VOUT_1</t>
  </si>
  <si>
    <t>VOUT_1 (nom)</t>
  </si>
  <si>
    <t>Feedback pin for the control loop</t>
  </si>
  <si>
    <t>Output of the error amplifier</t>
  </si>
  <si>
    <t>Connect to FB pin using compensation network seen below.</t>
  </si>
  <si>
    <t>RSP</t>
  </si>
  <si>
    <t>The positive input of the remote sense amplifier</t>
  </si>
  <si>
    <t>You can use a 10 to 100 ohm resistor in series with the trace connecting from the Vout at the remote end (desired regulation point) to the RSP pin of the IC. You can use a 0 ohm resistor if you don’t want to use the filter cap between the RSP and RSN nets.</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</si>
  <si>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RSP, RSN lines. Please see note on filter capacitor selection.</t>
  </si>
  <si>
    <t>RSN</t>
  </si>
  <si>
    <t>The negative input of the remote sense amplifier</t>
  </si>
  <si>
    <t>You can use a 10 to 100 ohm resistor in series with the trace connecting from the GND at the remote end (desired load ground point) to the RSN pin of the IC. You can use a 0 ohm resistor if you don’t want to use the filter cap between the RSN and RSP nets.</t>
  </si>
  <si>
    <t>34, 33</t>
  </si>
  <si>
    <t>RSP, RSN</t>
  </si>
  <si>
    <t>Connect a Cfilter of 1nF typical between the RSP- RSN pins close to the IC.
The Cfilt should be lower than the value mentioned in the equation below.
Cfilt = 1 / (2*PI*R*Fsw)
R = Series resistance on RSP line + Series resistance on RSN line
Fsw = switching frequency.</t>
  </si>
  <si>
    <t>For a stand-alone device or the loop master device in a 2-phase configuration, connect the RSP/RSN pins as above. For the loop slave device in a 2-phase configuration, the remote sense amplifier is not required for output voltage sensing or regulation, leave these pins floating.</t>
  </si>
  <si>
    <t>RESET/PGD</t>
  </si>
  <si>
    <t>This pin is for the output voltage reset or the power-good output</t>
  </si>
  <si>
    <t>Pull up to BP3 using a 10k ohm resistor. If using as RESET, pin will be a logic low input pulled down using 750k ohm resistor. If using as PGD, pin will be open drain output which will float up to external pullup when the device is in operation and in regulation.</t>
  </si>
  <si>
    <r>
      <t>Connect to the R</t>
    </r>
    <r>
      <rPr>
        <vertAlign val="subscript"/>
        <sz val="11"/>
        <color theme="1"/>
        <rFont val="Calibri"/>
        <family val="2"/>
        <scheme val="minor"/>
      </rPr>
      <t>RT</t>
    </r>
    <r>
      <rPr>
        <sz val="11"/>
        <color theme="1"/>
        <rFont val="Calibri"/>
        <family val="2"/>
        <scheme val="minor"/>
      </rPr>
      <t xml:space="preserve"> resistor which should also be connected to AGND. Use the below equation to calculate the value of the resistor required for a specific frequency. 
R</t>
    </r>
    <r>
      <rPr>
        <vertAlign val="subscript"/>
        <sz val="11"/>
        <color theme="1"/>
        <rFont val="Calibri"/>
        <family val="2"/>
        <scheme val="minor"/>
      </rPr>
      <t>RT</t>
    </r>
    <r>
      <rPr>
        <sz val="11"/>
        <color theme="1"/>
        <rFont val="Calibri"/>
        <family val="2"/>
        <scheme val="minor"/>
      </rPr>
      <t xml:space="preserve"> = (2.01*10</t>
    </r>
    <r>
      <rPr>
        <vertAlign val="superscript"/>
        <sz val="11"/>
        <color theme="1"/>
        <rFont val="Calibri"/>
        <family val="2"/>
        <scheme val="minor"/>
      </rPr>
      <t>10</t>
    </r>
    <r>
      <rPr>
        <sz val="11"/>
        <color theme="1"/>
        <rFont val="Calibri"/>
        <family val="2"/>
        <scheme val="minor"/>
      </rPr>
      <t>)/F</t>
    </r>
    <r>
      <rPr>
        <vertAlign val="subscript"/>
        <sz val="11"/>
        <color theme="1"/>
        <rFont val="Calibri"/>
        <family val="2"/>
        <scheme val="minor"/>
      </rPr>
      <t>sw</t>
    </r>
  </si>
  <si>
    <t>For frequency synchronization</t>
  </si>
  <si>
    <t>In a stand-alone application or as the Master device in a parallel configuration, the SYNC pin is configured as a SYNC-IN pin and power conversion is synchronized to the rising edge of a 50% duty cycle external clock applied to this pin.</t>
  </si>
  <si>
    <t>For a Slave device in a parallel configuration, power conversion is synchronized to the falling edge of the incoming clock.</t>
  </si>
  <si>
    <t>Leave pin floating if operating in a stand-alone configuration with no external clock</t>
  </si>
  <si>
    <t>ISHARE</t>
  </si>
  <si>
    <t>Current sharing signal for 2-phase operation</t>
  </si>
  <si>
    <t>When operating in 2 phase, connect the ISHARE pins of both devices. A resistor can be added between the pins to lower the current sharing loop gain, resulting in a better stability margin. When operating in single phase, leave floating.</t>
  </si>
  <si>
    <t>VSHARE</t>
  </si>
  <si>
    <t>Voltage sharing signal for 2-phase operation</t>
  </si>
  <si>
    <t>When operating in 2 phase, connect the VSHARE pins of both devices. When operating in single phase, leave floating.</t>
  </si>
  <si>
    <t>Switched power output of the device</t>
  </si>
  <si>
    <t xml:space="preserve">Connect this pin to the output inductor. </t>
  </si>
  <si>
    <r>
      <t>Snubber Capacitor: 1.0nF 0603 minimum 25V 
Snubber Resistor: 0805 1-ohm resistor from SW to PGND “Snubber”. Ensure the resistor is rated for 1.5*F*C*Vinmax</t>
    </r>
    <r>
      <rPr>
        <vertAlign val="superscript"/>
        <sz val="11"/>
        <color theme="1"/>
        <rFont val="Calibri"/>
        <family val="2"/>
        <scheme val="minor"/>
      </rPr>
      <t>2</t>
    </r>
  </si>
  <si>
    <t>Connect a 100-nF (typical) capacitor from this pin to the SW pin.</t>
  </si>
  <si>
    <t>To reduce the voltage spike at SW, a BOOT resistor with can be placed in series with the BOOT capacitor to slow down turn on of the high-side FET. TI recommends a value between 0 to 3 ohms</t>
  </si>
  <si>
    <t>PVIN</t>
  </si>
  <si>
    <t>Low impedance bypassing of these pins to PGND is critical, see Cin</t>
  </si>
  <si>
    <t>Input Capacitors</t>
  </si>
  <si>
    <t>The input capacitor Cin should be able to give minimum ripple voltage desired for the application. Use WEBENCH to calculate the input capacitance or follow datasheet calculations.</t>
  </si>
  <si>
    <t>Output Capacitors</t>
  </si>
  <si>
    <t>The output capacitors Cout should be chosen based on output voltage ripple, load transient overshoot, and load transient undershoot. Use WEBENCH to calculate output capacitance or follow datasheet calculations.</t>
  </si>
  <si>
    <t>L</t>
  </si>
  <si>
    <t>The inductor L should be able to provide the maximum output current while taking into account saturation. Use WEBENCH to calculate inductance or follow datasheet calculations.</t>
  </si>
  <si>
    <t>This regulator powers the controller and should be bypassed with a minimum of 2.2 µF to AGND. The BP3 pin is not designed to power external circuit.</t>
  </si>
  <si>
    <t>This regulator powers the driver stage of the controller and should be bypassed with a minimum of 2.2 µF to the thermal pad (power-stage ground, essentially PGND). TI recommends using an additional 100-nF (typical) bypass capacitor for reducing ripple on BP6.</t>
  </si>
  <si>
    <t>Analog ground return for controller device</t>
  </si>
  <si>
    <t>Connect this pin to PGND and DRGND at the thermal pad.</t>
  </si>
  <si>
    <t>13, 14, 15, 16, 17, 18, 19, 20</t>
  </si>
  <si>
    <t>Connect to the PGND plane. These pins are internally connected to the thermal pad.</t>
  </si>
  <si>
    <t>DRGND</t>
  </si>
  <si>
    <t>This pin should be directly connected to the thermal pad on the PCB board.</t>
  </si>
  <si>
    <t>AVIN</t>
  </si>
  <si>
    <t>Input power to the controller</t>
  </si>
  <si>
    <t>Connect a low-impedance bypass with a minimum of 1 µF to PGND. The AVIN voltage is also used for input feed-forward. PVIN and AVIN must be the same potential for accurate short circuit protection.</t>
  </si>
  <si>
    <t>4, 5, 6</t>
  </si>
  <si>
    <t>DATA, CLK, ALERT</t>
  </si>
  <si>
    <t xml:space="preserve">Use this app note to calculate the required pullup for your design. </t>
  </si>
  <si>
    <t>PMBus CNTL pin</t>
  </si>
  <si>
    <t>The CNTL pin has an internal pullup and floats high when left floating.</t>
  </si>
  <si>
    <t>ADDR0 and ADDR1 resistors should be chosen correctly based one table below. Use 1% or better resistors.</t>
  </si>
  <si>
    <t>Place the components as close as possible to the pin and keep away from fast switching voltage and main current path, as well as the BP6 current path.</t>
  </si>
  <si>
    <t>Route the FB trace from the DIFFO resistors to the FB pin, keeping the trace as short as possible.</t>
  </si>
  <si>
    <t>Output of the error amplifier.</t>
  </si>
  <si>
    <t>33, 34</t>
  </si>
  <si>
    <t>Route the RSN and RSP lines from the desired regulation point back to the device pins as a tightly coupled differential pair.  These traces must be kept away from switching or noisy areas which can add differential-mode noise.</t>
  </si>
  <si>
    <t>This pin is for the output voltage reset or the power-good output.</t>
  </si>
  <si>
    <t>Place the pulllup resistor close to the RESET/PGD pin and route away from SW and other noisy areas.</t>
  </si>
  <si>
    <t>For frequency synchronization.</t>
  </si>
  <si>
    <t>Route away from fast switching voltage and current paths (if applicable).</t>
  </si>
  <si>
    <t xml:space="preserve">The PCB trace defined as switch node, which connects the SW pins and up-stream of the output inductor should be as short and wide as possible. </t>
  </si>
  <si>
    <t xml:space="preserve">Use separate via or trace to connect SW node to the snubber. Do not combine these connections. </t>
  </si>
  <si>
    <t>Input power to the power stage.</t>
  </si>
  <si>
    <t>BP6 bypass capacitor carries large switching current for gate driver.  Place BP6 high frequency bypass capacitors as close as possible to the device pins, with a minimum return loop back to PGND.</t>
  </si>
  <si>
    <t>Analog ground return for controller device.</t>
  </si>
  <si>
    <t>Connect AGND to the thermal pad with a single trace coming from the AGND pin.</t>
  </si>
  <si>
    <t>Have a large solid ground plane for PGND</t>
  </si>
  <si>
    <t xml:space="preserve">It is absolutely critical that PGND (pins 13, 14, 15, 16, 17, 18, 19, and 20) be connected directly to the thermal pad underneath the device using a plane. </t>
  </si>
  <si>
    <t>Power ground return for controller device.</t>
  </si>
  <si>
    <t>Connect DRGND to the thermal pad with a single trace coming from the DRGND pin.</t>
  </si>
  <si>
    <t>VDD should be connected to VIN through a trace from the input copper area. To avoid high frequency noise on VDD, it is recommended to keep the VDD to VIN connection as short as possible to keep the parasitic inductance low.</t>
  </si>
  <si>
    <t>AVIN requires good local bypassing. Place bypass capacitors as close as possible to the AVIN pin, with a minimum return loop back to GND.</t>
  </si>
  <si>
    <t>4, 5, 6, 40</t>
  </si>
  <si>
    <t>PMB_DATA, PMB_CLK, SMB_ALRT, CNTL</t>
  </si>
  <si>
    <t>Keep the pullup resistors close to the pin and rout these signals away from noisy areas and other noise sensitive traces.</t>
  </si>
  <si>
    <t>See Calculator Tab</t>
  </si>
  <si>
    <t>uF</t>
  </si>
  <si>
    <t>uH</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</si>
</sst>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0.000"/>
    <numFmt numFmtId="165" formatCode="0.0"/>
    <numFmt numFmtId="166" formatCode="0E+00"/>
    <numFmt numFmtId="167" formatCode="0.0000"/>
    <numFmt numFmtId="168" formatCode="0.000E+00"/>
    <numFmt numFmtId="169" formatCode="0\ &quot;Hz&quot;"/>
    <numFmt numFmtId="170" formatCode="0\ &quot;Ω&quot;"/>
    <numFmt numFmtId="171" formatCode="0\ &quot;pF&quot;"/>
    <numFmt numFmtId="172" formatCode="General\ &quot;pF&quot;"/>
    <numFmt numFmtId="173" formatCode="0.0\°"/>
    <numFmt numFmtId="174" formatCode="0.000\ &quot;V&quot;"/>
    <numFmt numFmtId="175" formatCode="General\ &quot;V&quot;"/>
    <numFmt numFmtId="176" formatCode="General\ &quot;MHz&quot;"/>
    <numFmt numFmtId="177" formatCode="General\ &quot;dB&quot;"/>
    <numFmt numFmtId="178" formatCode="0.00000"/>
    <numFmt numFmtId="179" formatCode="0\+0E+00"/>
    <numFmt numFmtId="180" formatCode="0.000\ \V"/>
    <numFmt numFmtId="181" formatCode="0\ &quot;KΩ&quot;"/>
  </numFmts>
  <fonts count="41"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b/>
      <sz val="10"/>
      <name val="Arial"/>
      <family val="2"/>
    </font>
    <font>
      <sz val="11"/>
      <color theme="1"/>
      <name val="Calibri"/>
      <family val="2"/>
    </font>
    <font>
      <sz val="10"/>
      <name val="Arial"/>
    </font>
    <font>
      <sz val="10"/>
      <name val="Symbol"/>
      <family val="1"/>
      <charset val="2"/>
    </font>
    <font>
      <b/>
      <sz val="9"/>
      <name val="Arial"/>
      <family val="2"/>
    </font>
    <font>
      <sz val="8"/>
      <name val="Arial"/>
      <family val="2"/>
    </font>
    <font>
      <sz val="8"/>
      <color indexed="81"/>
      <name val="Tahoma"/>
      <family val="2"/>
    </font>
    <font>
      <sz val="10"/>
      <color rgb="FFFF0000"/>
      <name val="Arial"/>
      <family val="2"/>
    </font>
    <font>
      <b/>
      <sz val="10"/>
      <color rgb="FFFF0000"/>
      <name val="Arial"/>
      <family val="2"/>
    </font>
    <font>
      <sz val="9"/>
      <color rgb="FFFF0000"/>
      <name val="Verdana"/>
      <family val="2"/>
    </font>
    <font>
      <sz val="8"/>
      <color rgb="FFFF0000"/>
      <name val="Verdana"/>
      <family val="2"/>
    </font>
    <font>
      <b/>
      <sz val="8"/>
      <color rgb="FFFF0000"/>
      <name val="Arial"/>
      <family val="2"/>
    </font>
    <font>
      <sz val="10"/>
      <color indexed="10"/>
      <name val="Arial"/>
      <family val="2"/>
    </font>
    <font>
      <sz val="10"/>
      <color indexed="9"/>
      <name val="Arial"/>
      <family val="2"/>
    </font>
    <font>
      <b/>
      <sz val="10"/>
      <color indexed="17"/>
      <name val="Arial"/>
      <family val="2"/>
    </font>
    <font>
      <b/>
      <sz val="10"/>
      <color indexed="12"/>
      <name val="Arial"/>
      <family val="2"/>
    </font>
    <font>
      <b/>
      <sz val="10"/>
      <color indexed="10"/>
      <name val="Arial"/>
      <family val="2"/>
    </font>
    <font>
      <vertAlign val="subscript"/>
      <sz val="11"/>
      <color theme="1"/>
      <name val="Calibri"/>
      <family val="2"/>
      <scheme val="minor"/>
    </font>
    <font>
      <vertAlign val="superscript"/>
      <sz val="11"/>
      <color theme="1"/>
      <name val="Calibri"/>
      <family val="2"/>
      <scheme val="minor"/>
    </font>
  </fonts>
  <fills count="16">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indexed="15"/>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s>
  <cellStyleXfs count="27">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4" fillId="0" borderId="0"/>
    <xf numFmtId="9" fontId="2" fillId="0" borderId="0" applyFont="0" applyFill="0" applyBorder="0" applyAlignment="0" applyProtection="0"/>
  </cellStyleXfs>
  <cellXfs count="396">
    <xf numFmtId="0" fontId="0" fillId="0" borderId="0" xfId="0"/>
    <xf numFmtId="0" fontId="4"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8" fillId="4" borderId="0" xfId="0" applyFont="1" applyFill="1" applyAlignment="1" applyProtection="1">
      <alignment horizontal="center" vertical="center"/>
    </xf>
    <xf numFmtId="0" fontId="9" fillId="0" borderId="17" xfId="0" applyFont="1" applyFill="1" applyBorder="1" applyAlignment="1" applyProtection="1">
      <alignment horizontal="left" vertical="center" wrapText="1"/>
    </xf>
    <xf numFmtId="0" fontId="11" fillId="4" borderId="0" xfId="0" applyFont="1" applyFill="1" applyAlignment="1" applyProtection="1">
      <alignment horizontal="center" vertical="center"/>
    </xf>
    <xf numFmtId="0" fontId="8" fillId="0" borderId="21" xfId="0" applyFont="1" applyFill="1" applyBorder="1" applyAlignment="1" applyProtection="1">
      <alignment horizontal="left" vertical="center" wrapText="1"/>
    </xf>
    <xf numFmtId="0" fontId="8" fillId="5" borderId="22" xfId="0" applyFont="1" applyFill="1" applyBorder="1" applyAlignment="1" applyProtection="1">
      <alignment horizontal="center" vertical="center"/>
      <protection locked="0"/>
    </xf>
    <xf numFmtId="0" fontId="8" fillId="4" borderId="22" xfId="0" applyFont="1" applyFill="1" applyBorder="1" applyAlignment="1" applyProtection="1">
      <alignment horizontal="center" vertical="center"/>
      <protection locked="0"/>
    </xf>
    <xf numFmtId="0" fontId="12" fillId="0" borderId="22" xfId="0" applyFont="1" applyFill="1" applyBorder="1" applyAlignment="1" applyProtection="1">
      <alignment horizontal="left" vertical="center" wrapText="1"/>
    </xf>
    <xf numFmtId="0" fontId="8" fillId="0" borderId="23" xfId="0" applyFont="1" applyFill="1" applyBorder="1" applyAlignment="1" applyProtection="1">
      <alignment horizontal="left" vertical="center" wrapText="1"/>
    </xf>
    <xf numFmtId="0" fontId="13" fillId="6" borderId="1"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8" fillId="7" borderId="8"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0" fontId="8" fillId="0" borderId="1" xfId="0" applyFont="1" applyFill="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11" fillId="5" borderId="1" xfId="0" applyFont="1" applyFill="1" applyBorder="1" applyAlignment="1" applyProtection="1">
      <alignment horizontal="left" vertical="center"/>
    </xf>
    <xf numFmtId="0" fontId="14" fillId="4" borderId="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8" fillId="0" borderId="25" xfId="0" applyFont="1" applyFill="1" applyBorder="1" applyAlignment="1" applyProtection="1">
      <alignment horizontal="left" vertical="center" wrapText="1"/>
    </xf>
    <xf numFmtId="0" fontId="11" fillId="7" borderId="1" xfId="0" applyFont="1" applyFill="1" applyBorder="1" applyAlignment="1" applyProtection="1">
      <alignment horizontal="left" vertical="center"/>
    </xf>
    <xf numFmtId="0" fontId="11" fillId="8" borderId="1" xfId="0" applyFont="1" applyFill="1" applyBorder="1" applyAlignment="1" applyProtection="1">
      <alignment horizontal="left" vertical="center"/>
    </xf>
    <xf numFmtId="0" fontId="11" fillId="9" borderId="1" xfId="0" applyFont="1" applyFill="1" applyBorder="1" applyAlignment="1" applyProtection="1">
      <alignment horizontal="left" vertical="center"/>
    </xf>
    <xf numFmtId="0" fontId="15" fillId="10" borderId="1" xfId="0" applyFont="1" applyFill="1" applyBorder="1" applyAlignment="1" applyProtection="1">
      <alignment horizontal="left" vertical="center"/>
    </xf>
    <xf numFmtId="0" fontId="16" fillId="11" borderId="1" xfId="0" applyFont="1" applyFill="1" applyBorder="1" applyAlignment="1" applyProtection="1">
      <alignment horizontal="left" vertical="center"/>
    </xf>
    <xf numFmtId="0" fontId="8" fillId="9" borderId="1" xfId="0" applyFont="1" applyFill="1" applyBorder="1" applyAlignment="1" applyProtection="1">
      <alignment horizontal="center" vertical="center"/>
    </xf>
    <xf numFmtId="0" fontId="8" fillId="0" borderId="26" xfId="0" applyFont="1" applyFill="1" applyBorder="1" applyAlignment="1" applyProtection="1">
      <alignment horizontal="left" vertical="center" wrapText="1"/>
    </xf>
    <xf numFmtId="0" fontId="8" fillId="9" borderId="11" xfId="0" applyFont="1" applyFill="1" applyBorder="1" applyAlignment="1" applyProtection="1">
      <alignment horizontal="center" vertical="center"/>
    </xf>
    <xf numFmtId="0" fontId="8" fillId="0" borderId="27" xfId="0" applyFont="1" applyFill="1" applyBorder="1" applyAlignment="1" applyProtection="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wrapText="1"/>
    </xf>
    <xf numFmtId="0" fontId="8" fillId="4" borderId="12" xfId="0" applyFont="1" applyFill="1" applyBorder="1" applyAlignment="1" applyProtection="1">
      <alignment horizontal="center" vertical="center"/>
    </xf>
    <xf numFmtId="0" fontId="8" fillId="0" borderId="22" xfId="0"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wrapText="1"/>
    </xf>
    <xf numFmtId="0" fontId="8" fillId="0" borderId="28" xfId="0" applyFont="1" applyFill="1" applyBorder="1" applyAlignment="1" applyProtection="1">
      <alignment horizontal="left" vertical="center" wrapText="1"/>
    </xf>
    <xf numFmtId="0" fontId="8" fillId="0" borderId="15" xfId="0" applyFont="1" applyFill="1" applyBorder="1" applyAlignment="1" applyProtection="1">
      <alignment horizontal="left" vertical="center" wrapText="1"/>
    </xf>
    <xf numFmtId="0" fontId="8" fillId="0" borderId="30" xfId="0" applyFont="1" applyFill="1" applyBorder="1" applyAlignment="1" applyProtection="1">
      <alignment horizontal="left" vertical="center" wrapText="1"/>
    </xf>
    <xf numFmtId="0" fontId="8" fillId="4" borderId="8" xfId="0" applyFont="1" applyFill="1" applyBorder="1" applyAlignment="1" applyProtection="1">
      <alignment horizontal="center" vertical="center" wrapText="1"/>
    </xf>
    <xf numFmtId="0" fontId="8" fillId="9" borderId="1"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wrapText="1"/>
    </xf>
    <xf numFmtId="0" fontId="8" fillId="8" borderId="1" xfId="0" applyFont="1" applyFill="1" applyBorder="1" applyAlignment="1" applyProtection="1">
      <alignment horizontal="center" vertical="center" wrapText="1"/>
    </xf>
    <xf numFmtId="164" fontId="8" fillId="4" borderId="0" xfId="0" applyNumberFormat="1" applyFont="1" applyFill="1" applyBorder="1" applyAlignment="1" applyProtection="1">
      <alignment horizontal="center" vertical="center"/>
    </xf>
    <xf numFmtId="49" fontId="8" fillId="4" borderId="0" xfId="0" applyNumberFormat="1" applyFont="1" applyFill="1" applyBorder="1" applyAlignment="1" applyProtection="1">
      <alignment horizontal="center" vertical="center"/>
    </xf>
    <xf numFmtId="0" fontId="8" fillId="0" borderId="21" xfId="0" applyFont="1" applyBorder="1" applyAlignment="1" applyProtection="1">
      <alignment horizontal="left" vertical="center" wrapText="1"/>
    </xf>
    <xf numFmtId="164" fontId="8" fillId="9" borderId="1" xfId="0" applyNumberFormat="1" applyFont="1" applyFill="1" applyBorder="1" applyAlignment="1" applyProtection="1">
      <alignment horizontal="center" vertical="center"/>
    </xf>
    <xf numFmtId="0" fontId="17" fillId="4" borderId="0" xfId="0" applyFont="1" applyFill="1" applyBorder="1" applyAlignment="1" applyProtection="1">
      <alignment horizontal="center" vertical="center" wrapText="1"/>
    </xf>
    <xf numFmtId="9" fontId="8" fillId="5" borderId="1" xfId="3" applyFont="1" applyFill="1" applyBorder="1" applyAlignment="1" applyProtection="1">
      <alignment horizontal="center" vertical="center"/>
      <protection locked="0"/>
    </xf>
    <xf numFmtId="0" fontId="8" fillId="0" borderId="25" xfId="0" applyFont="1" applyBorder="1" applyAlignment="1" applyProtection="1">
      <alignment horizontal="left" vertical="center" wrapText="1"/>
    </xf>
    <xf numFmtId="164" fontId="8" fillId="8" borderId="1" xfId="0" applyNumberFormat="1" applyFont="1" applyFill="1" applyBorder="1" applyAlignment="1" applyProtection="1">
      <alignment horizontal="center" vertical="center"/>
    </xf>
    <xf numFmtId="0" fontId="8" fillId="0" borderId="28" xfId="0" applyFont="1" applyBorder="1" applyAlignment="1" applyProtection="1">
      <alignment horizontal="left" vertical="center" wrapText="1"/>
    </xf>
    <xf numFmtId="164" fontId="8" fillId="8" borderId="15" xfId="0" applyNumberFormat="1" applyFont="1" applyFill="1" applyBorder="1" applyAlignment="1" applyProtection="1">
      <alignment horizontal="center" vertical="center"/>
    </xf>
    <xf numFmtId="49" fontId="8" fillId="4" borderId="0" xfId="0" applyNumberFormat="1" applyFont="1" applyFill="1" applyAlignment="1" applyProtection="1">
      <alignment horizontal="center" vertical="center"/>
    </xf>
    <xf numFmtId="0" fontId="8" fillId="0" borderId="1"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Border="1" applyAlignment="1" applyProtection="1">
      <alignment horizontal="center" vertical="center"/>
    </xf>
    <xf numFmtId="165" fontId="8" fillId="8" borderId="1" xfId="0" applyNumberFormat="1" applyFont="1" applyFill="1" applyBorder="1" applyAlignment="1" applyProtection="1">
      <alignment horizontal="center" vertical="center"/>
    </xf>
    <xf numFmtId="165" fontId="8" fillId="9" borderId="1" xfId="0" applyNumberFormat="1"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protection locked="0"/>
    </xf>
    <xf numFmtId="0" fontId="8" fillId="4" borderId="0" xfId="0" applyFont="1" applyFill="1" applyAlignment="1" applyProtection="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pplyProtection="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pplyProtection="1">
      <alignment horizontal="center" vertical="center" wrapText="1"/>
    </xf>
    <xf numFmtId="165" fontId="8" fillId="8" borderId="1" xfId="0" applyNumberFormat="1" applyFont="1" applyFill="1" applyBorder="1" applyAlignment="1" applyProtection="1">
      <alignment horizontal="center" vertical="center" wrapText="1"/>
    </xf>
    <xf numFmtId="0" fontId="8" fillId="4" borderId="0" xfId="0" applyFont="1" applyFill="1" applyBorder="1" applyAlignment="1" applyProtection="1">
      <alignment vertical="center" wrapText="1"/>
    </xf>
    <xf numFmtId="164" fontId="8" fillId="8" borderId="1" xfId="0" applyNumberFormat="1" applyFont="1" applyFill="1" applyBorder="1" applyAlignment="1" applyProtection="1">
      <alignment horizontal="center" vertical="center" wrapText="1"/>
    </xf>
    <xf numFmtId="0" fontId="8" fillId="4" borderId="1" xfId="0"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wrapText="1"/>
      <protection locked="0"/>
    </xf>
    <xf numFmtId="2" fontId="8" fillId="9" borderId="1" xfId="0" applyNumberFormat="1" applyFont="1" applyFill="1" applyBorder="1" applyAlignment="1" applyProtection="1">
      <alignment horizontal="center" vertical="center" wrapText="1"/>
    </xf>
    <xf numFmtId="0" fontId="8" fillId="0" borderId="26" xfId="0" applyFont="1" applyBorder="1" applyAlignment="1" applyProtection="1">
      <alignment horizontal="left" vertical="center" wrapText="1"/>
    </xf>
    <xf numFmtId="0" fontId="8" fillId="4" borderId="11" xfId="0" applyFont="1" applyFill="1" applyBorder="1" applyAlignment="1" applyProtection="1">
      <alignment horizontal="center" vertical="center"/>
    </xf>
    <xf numFmtId="0" fontId="8" fillId="5" borderId="11" xfId="0" applyNumberFormat="1" applyFont="1" applyFill="1" applyBorder="1" applyAlignment="1" applyProtection="1">
      <alignment horizontal="center" vertical="center" wrapText="1"/>
      <protection locked="0"/>
    </xf>
    <xf numFmtId="0" fontId="8" fillId="0" borderId="11" xfId="0" applyFont="1" applyBorder="1" applyAlignment="1" applyProtection="1">
      <alignment horizontal="left" vertical="center" wrapText="1"/>
    </xf>
    <xf numFmtId="0" fontId="8" fillId="0" borderId="27" xfId="0" applyFont="1" applyBorder="1" applyAlignment="1" applyProtection="1">
      <alignment horizontal="left" vertical="center" wrapText="1"/>
    </xf>
    <xf numFmtId="165" fontId="8" fillId="4" borderId="1"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protection locked="0"/>
    </xf>
    <xf numFmtId="0" fontId="8" fillId="4" borderId="11" xfId="0" applyNumberFormat="1" applyFont="1" applyFill="1" applyBorder="1" applyAlignment="1" applyProtection="1">
      <alignment horizontal="center" vertical="center" wrapText="1"/>
      <protection locked="0"/>
    </xf>
    <xf numFmtId="2" fontId="8" fillId="4" borderId="0" xfId="0" applyNumberFormat="1" applyFont="1" applyFill="1" applyBorder="1" applyAlignment="1" applyProtection="1">
      <alignment horizontal="center" vertical="center"/>
    </xf>
    <xf numFmtId="0" fontId="18" fillId="4" borderId="0" xfId="0" applyFont="1" applyFill="1" applyAlignment="1" applyProtection="1">
      <alignment horizontal="center" vertical="center"/>
      <protection hidden="1"/>
    </xf>
    <xf numFmtId="0" fontId="18" fillId="4" borderId="0" xfId="0" applyFont="1" applyFill="1" applyBorder="1" applyAlignment="1" applyProtection="1">
      <alignment horizontal="center" vertical="center"/>
      <protection hidden="1"/>
    </xf>
    <xf numFmtId="0" fontId="20" fillId="0" borderId="0" xfId="6" applyFont="1" applyFill="1" applyAlignment="1" applyProtection="1">
      <alignment vertical="center"/>
      <protection locked="0"/>
    </xf>
    <xf numFmtId="0" fontId="2" fillId="0" borderId="0" xfId="0" applyFont="1" applyFill="1" applyAlignment="1" applyProtection="1">
      <alignment vertical="center"/>
      <protection hidden="1"/>
    </xf>
    <xf numFmtId="0" fontId="21" fillId="0" borderId="0" xfId="6" applyFont="1" applyFill="1" applyAlignment="1" applyProtection="1">
      <alignment vertical="center"/>
      <protection locked="0"/>
    </xf>
    <xf numFmtId="164" fontId="21" fillId="0" borderId="0" xfId="6" applyNumberFormat="1" applyFont="1" applyFill="1" applyAlignment="1" applyProtection="1">
      <alignment vertical="center"/>
      <protection locked="0"/>
    </xf>
    <xf numFmtId="164" fontId="2" fillId="0" borderId="0" xfId="0" applyNumberFormat="1" applyFont="1" applyFill="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Fill="1" applyAlignment="1" applyProtection="1">
      <alignment vertical="center"/>
      <protection hidden="1"/>
    </xf>
    <xf numFmtId="0" fontId="0" fillId="0" borderId="0" xfId="0" applyAlignment="1">
      <alignment vertical="center"/>
    </xf>
    <xf numFmtId="2" fontId="0" fillId="0" borderId="0" xfId="0" applyNumberFormat="1" applyFill="1" applyAlignment="1" applyProtection="1">
      <alignment vertical="center"/>
      <protection hidden="1"/>
    </xf>
    <xf numFmtId="11" fontId="0" fillId="0" borderId="0" xfId="0" applyNumberFormat="1" applyFill="1" applyAlignment="1" applyProtection="1">
      <alignment vertical="center"/>
      <protection hidden="1"/>
    </xf>
    <xf numFmtId="165"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0" fontId="0" fillId="8" borderId="1" xfId="0" applyFont="1" applyFill="1" applyBorder="1" applyAlignment="1" applyProtection="1">
      <alignment horizontal="left" vertical="center"/>
      <protection locked="0"/>
    </xf>
    <xf numFmtId="0" fontId="5" fillId="0" borderId="0" xfId="0" applyFont="1"/>
    <xf numFmtId="0" fontId="22" fillId="0" borderId="0" xfId="15" applyFont="1"/>
    <xf numFmtId="0" fontId="22" fillId="0" borderId="0" xfId="14" applyFont="1"/>
    <xf numFmtId="0" fontId="22" fillId="0" borderId="33" xfId="15" applyFont="1" applyBorder="1" applyAlignment="1">
      <alignment horizontal="center"/>
    </xf>
    <xf numFmtId="0" fontId="22" fillId="0" borderId="34" xfId="15" applyFont="1" applyBorder="1" applyAlignment="1">
      <alignment horizontal="center" wrapText="1"/>
    </xf>
    <xf numFmtId="0" fontId="22" fillId="0" borderId="35" xfId="15" applyFont="1" applyBorder="1" applyAlignment="1">
      <alignment horizontal="center" wrapText="1"/>
    </xf>
    <xf numFmtId="0" fontId="22" fillId="0" borderId="17" xfId="14" applyFont="1" applyBorder="1" applyAlignment="1">
      <alignment horizontal="center"/>
    </xf>
    <xf numFmtId="0" fontId="22" fillId="0" borderId="20" xfId="14" applyFont="1" applyBorder="1" applyAlignment="1">
      <alignment horizontal="center"/>
    </xf>
    <xf numFmtId="0" fontId="0" fillId="0" borderId="0" xfId="0" applyNumberFormat="1" applyFill="1" applyAlignment="1" applyProtection="1">
      <alignment horizontal="center" vertical="center"/>
      <protection hidden="1"/>
    </xf>
    <xf numFmtId="0" fontId="22" fillId="0" borderId="36" xfId="15" applyFont="1" applyBorder="1" applyAlignment="1">
      <alignment horizontal="center"/>
    </xf>
    <xf numFmtId="0" fontId="22" fillId="12" borderId="37" xfId="15" applyFont="1" applyFill="1" applyBorder="1" applyAlignment="1">
      <alignment horizontal="center"/>
    </xf>
    <xf numFmtId="0" fontId="22" fillId="12" borderId="38" xfId="15" applyFont="1" applyFill="1" applyBorder="1" applyAlignment="1">
      <alignment horizontal="center"/>
    </xf>
    <xf numFmtId="0" fontId="22" fillId="0" borderId="39" xfId="14" applyFont="1" applyBorder="1" applyAlignment="1">
      <alignment horizontal="center"/>
    </xf>
    <xf numFmtId="0" fontId="22" fillId="12" borderId="40" xfId="14" applyFont="1" applyFill="1" applyBorder="1" applyAlignment="1">
      <alignment horizontal="center"/>
    </xf>
    <xf numFmtId="0" fontId="22" fillId="0" borderId="25" xfId="15" applyFont="1" applyBorder="1" applyAlignment="1">
      <alignment horizontal="center"/>
    </xf>
    <xf numFmtId="0" fontId="22" fillId="12" borderId="1" xfId="15" applyFont="1" applyFill="1" applyBorder="1" applyAlignment="1">
      <alignment horizontal="center"/>
    </xf>
    <xf numFmtId="0" fontId="22" fillId="12" borderId="24" xfId="15" applyFont="1" applyFill="1" applyBorder="1" applyAlignment="1">
      <alignment horizontal="center"/>
    </xf>
    <xf numFmtId="0" fontId="22" fillId="0" borderId="41" xfId="14" applyFont="1" applyBorder="1" applyAlignment="1">
      <alignment horizontal="center"/>
    </xf>
    <xf numFmtId="0" fontId="22" fillId="12" borderId="42" xfId="14" applyFont="1" applyFill="1" applyBorder="1" applyAlignment="1">
      <alignment horizontal="center"/>
    </xf>
    <xf numFmtId="0" fontId="21" fillId="0" borderId="0" xfId="0" applyFont="1" applyFill="1" applyAlignment="1" applyProtection="1">
      <alignment horizontal="center" vertical="center"/>
      <protection locked="0"/>
    </xf>
    <xf numFmtId="0" fontId="22" fillId="0" borderId="26" xfId="15" applyFont="1" applyBorder="1" applyAlignment="1">
      <alignment horizontal="center"/>
    </xf>
    <xf numFmtId="0" fontId="22" fillId="12" borderId="11" xfId="15" applyFont="1" applyFill="1" applyBorder="1" applyAlignment="1">
      <alignment horizontal="center"/>
    </xf>
    <xf numFmtId="0" fontId="22" fillId="12" borderId="27" xfId="15" applyFont="1" applyFill="1" applyBorder="1" applyAlignment="1">
      <alignment horizontal="center"/>
    </xf>
    <xf numFmtId="0" fontId="22" fillId="0" borderId="43" xfId="14" applyFont="1" applyBorder="1" applyAlignment="1">
      <alignment horizontal="center"/>
    </xf>
    <xf numFmtId="0" fontId="22" fillId="12" borderId="44" xfId="14" applyFont="1" applyFill="1" applyBorder="1" applyAlignment="1">
      <alignment horizontal="center"/>
    </xf>
    <xf numFmtId="165" fontId="0" fillId="0" borderId="0" xfId="0" applyNumberFormat="1" applyFill="1" applyAlignment="1" applyProtection="1">
      <alignment horizontal="center" vertical="center"/>
      <protection hidden="1"/>
    </xf>
    <xf numFmtId="0" fontId="22" fillId="12" borderId="39" xfId="14" applyFont="1" applyFill="1" applyBorder="1" applyAlignment="1">
      <alignment horizontal="center"/>
    </xf>
    <xf numFmtId="0" fontId="22" fillId="12" borderId="41" xfId="14" applyFont="1" applyFill="1" applyBorder="1" applyAlignment="1">
      <alignment horizontal="center"/>
    </xf>
    <xf numFmtId="0" fontId="22" fillId="0" borderId="21" xfId="15" applyFont="1" applyBorder="1" applyAlignment="1">
      <alignment horizontal="center"/>
    </xf>
    <xf numFmtId="0" fontId="22" fillId="12" borderId="43" xfId="14" applyFont="1" applyFill="1" applyBorder="1" applyAlignment="1">
      <alignment horizontal="center"/>
    </xf>
    <xf numFmtId="0" fontId="22" fillId="0" borderId="28" xfId="15" applyFont="1" applyBorder="1" applyAlignment="1">
      <alignment horizontal="center"/>
    </xf>
    <xf numFmtId="0" fontId="22" fillId="0" borderId="25" xfId="15" applyFont="1" applyFill="1" applyBorder="1" applyAlignment="1">
      <alignment horizontal="center"/>
    </xf>
    <xf numFmtId="0" fontId="22" fillId="0" borderId="28" xfId="15" applyFont="1" applyFill="1" applyBorder="1" applyAlignment="1">
      <alignment horizontal="center"/>
    </xf>
    <xf numFmtId="0" fontId="22" fillId="0" borderId="36" xfId="15" applyFont="1" applyFill="1" applyBorder="1" applyAlignment="1">
      <alignment horizontal="center"/>
    </xf>
    <xf numFmtId="0" fontId="22" fillId="0" borderId="26" xfId="15" applyFont="1" applyFill="1" applyBorder="1" applyAlignment="1">
      <alignment horizontal="center"/>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164" fontId="21" fillId="0" borderId="0" xfId="0" applyNumberFormat="1" applyFont="1" applyFill="1" applyAlignment="1" applyProtection="1">
      <alignment vertical="center"/>
      <protection locked="0"/>
    </xf>
    <xf numFmtId="0"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locked="0"/>
    </xf>
    <xf numFmtId="0" fontId="0" fillId="0"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0" fillId="0" borderId="1" xfId="0" applyFill="1" applyBorder="1" applyAlignment="1" applyProtection="1">
      <alignment horizontal="center" vertical="center"/>
      <protection locked="0"/>
    </xf>
    <xf numFmtId="166" fontId="0" fillId="0" borderId="0" xfId="0" applyNumberFormat="1" applyFill="1" applyAlignment="1" applyProtection="1">
      <alignment horizontal="left" vertical="top"/>
      <protection hidden="1"/>
    </xf>
    <xf numFmtId="0" fontId="4" fillId="2" borderId="11" xfId="0" applyFont="1" applyFill="1" applyBorder="1" applyAlignment="1">
      <alignment horizontal="left" vertical="center" wrapText="1"/>
    </xf>
    <xf numFmtId="0" fontId="4" fillId="2" borderId="15" xfId="0" applyFont="1" applyFill="1" applyBorder="1" applyAlignment="1">
      <alignment horizontal="left" vertical="center" wrapText="1"/>
    </xf>
    <xf numFmtId="11" fontId="0" fillId="0" borderId="0" xfId="0" applyNumberFormat="1" applyFill="1" applyAlignment="1" applyProtection="1">
      <alignment horizontal="center" vertical="center"/>
      <protection hidden="1"/>
    </xf>
    <xf numFmtId="0"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0" fontId="0" fillId="0" borderId="0" xfId="0" applyNumberFormat="1" applyFill="1" applyAlignment="1" applyProtection="1">
      <alignment horizontal="left" vertical="top" wrapText="1"/>
      <protection hidden="1"/>
    </xf>
    <xf numFmtId="0" fontId="2" fillId="0" borderId="0" xfId="14" applyAlignment="1">
      <alignment wrapText="1"/>
    </xf>
    <xf numFmtId="164" fontId="0" fillId="0" borderId="0" xfId="0" applyNumberFormat="1" applyFill="1" applyAlignment="1" applyProtection="1">
      <alignment horizontal="center" vertical="center"/>
      <protection hidden="1"/>
    </xf>
    <xf numFmtId="1" fontId="8" fillId="9" borderId="12" xfId="0" applyNumberFormat="1" applyFont="1" applyFill="1" applyBorder="1" applyAlignment="1" applyProtection="1">
      <alignment horizontal="center" vertical="center"/>
    </xf>
    <xf numFmtId="1" fontId="8" fillId="9" borderId="29" xfId="0" applyNumberFormat="1" applyFont="1" applyFill="1" applyBorder="1" applyAlignment="1" applyProtection="1">
      <alignment horizontal="center" vertical="center"/>
    </xf>
    <xf numFmtId="165" fontId="8" fillId="9" borderId="22" xfId="0" applyNumberFormat="1" applyFont="1" applyFill="1" applyBorder="1" applyAlignment="1" applyProtection="1">
      <alignment horizontal="center" vertical="center"/>
    </xf>
    <xf numFmtId="0" fontId="8" fillId="9" borderId="1" xfId="0" applyNumberFormat="1" applyFont="1" applyFill="1" applyBorder="1" applyAlignment="1" applyProtection="1">
      <alignment horizontal="center" vertical="center" wrapText="1"/>
    </xf>
    <xf numFmtId="0" fontId="2" fillId="0" borderId="0" xfId="14" applyAlignment="1">
      <alignment horizontal="left" vertical="top"/>
    </xf>
    <xf numFmtId="0" fontId="8" fillId="0" borderId="24"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xf>
    <xf numFmtId="0" fontId="8" fillId="0" borderId="38" xfId="0" applyFont="1" applyFill="1" applyBorder="1" applyAlignment="1" applyProtection="1">
      <alignment horizontal="left" vertical="center" wrapText="1"/>
    </xf>
    <xf numFmtId="0" fontId="8" fillId="0" borderId="30" xfId="0" applyFont="1" applyFill="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8"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8" fillId="4" borderId="1" xfId="0" applyFont="1" applyFill="1" applyBorder="1" applyAlignment="1" applyProtection="1">
      <alignment horizontal="center" vertical="center"/>
    </xf>
    <xf numFmtId="1" fontId="8" fillId="9" borderId="1" xfId="0" applyNumberFormat="1" applyFont="1" applyFill="1" applyBorder="1" applyAlignment="1" applyProtection="1">
      <alignment horizontal="center" vertical="center" wrapText="1"/>
    </xf>
    <xf numFmtId="0" fontId="8" fillId="5" borderId="1" xfId="0" applyNumberFormat="1" applyFont="1" applyFill="1" applyBorder="1" applyAlignment="1" applyProtection="1">
      <alignment horizontal="center" vertical="center" wrapText="1"/>
      <protection locked="0"/>
    </xf>
    <xf numFmtId="2" fontId="8" fillId="9" borderId="1" xfId="0" applyNumberFormat="1" applyFont="1" applyFill="1" applyBorder="1" applyAlignment="1" applyProtection="1">
      <alignment horizontal="center" vertical="center" wrapText="1"/>
    </xf>
    <xf numFmtId="0" fontId="8" fillId="4" borderId="15" xfId="0" applyFont="1" applyFill="1" applyBorder="1" applyAlignment="1" applyProtection="1">
      <alignment horizontal="center" vertical="center"/>
    </xf>
    <xf numFmtId="0" fontId="8" fillId="0" borderId="15" xfId="0" applyFont="1" applyBorder="1" applyAlignment="1" applyProtection="1">
      <alignment horizontal="left" vertical="center" wrapText="1"/>
    </xf>
    <xf numFmtId="165" fontId="8" fillId="0" borderId="1" xfId="0" applyNumberFormat="1" applyFont="1" applyFill="1" applyBorder="1" applyAlignment="1" applyProtection="1">
      <alignment horizontal="center" vertical="center" wrapText="1"/>
    </xf>
    <xf numFmtId="0" fontId="8" fillId="0" borderId="36" xfId="0" applyFont="1" applyBorder="1" applyAlignment="1" applyProtection="1">
      <alignment horizontal="left" vertical="center" wrapText="1"/>
    </xf>
    <xf numFmtId="0" fontId="8" fillId="4" borderId="37" xfId="0" applyFont="1" applyFill="1" applyBorder="1" applyAlignment="1" applyProtection="1">
      <alignment horizontal="center" vertical="center"/>
    </xf>
    <xf numFmtId="0" fontId="8" fillId="0" borderId="37" xfId="0" applyNumberFormat="1" applyFont="1" applyFill="1" applyBorder="1" applyAlignment="1" applyProtection="1">
      <alignment horizontal="center" vertical="center" wrapText="1"/>
      <protection locked="0"/>
    </xf>
    <xf numFmtId="0" fontId="8" fillId="5" borderId="15" xfId="0" applyNumberFormat="1" applyFont="1" applyFill="1" applyBorder="1" applyAlignment="1" applyProtection="1">
      <alignment horizontal="center" vertical="center" wrapText="1"/>
      <protection locked="0"/>
    </xf>
    <xf numFmtId="165" fontId="8" fillId="4" borderId="15" xfId="0" applyNumberFormat="1" applyFont="1" applyFill="1" applyBorder="1" applyAlignment="1" applyProtection="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1" xfId="0" applyNumberFormat="1" applyFont="1" applyFill="1" applyBorder="1" applyAlignment="1" applyProtection="1">
      <alignment horizontal="center" vertical="center" wrapText="1"/>
    </xf>
    <xf numFmtId="0" fontId="2" fillId="13" borderId="0" xfId="25" applyFont="1" applyFill="1"/>
    <xf numFmtId="0" fontId="22" fillId="13" borderId="36" xfId="25" applyFont="1" applyFill="1" applyBorder="1"/>
    <xf numFmtId="0" fontId="22" fillId="13" borderId="4" xfId="25" applyFont="1" applyFill="1" applyBorder="1"/>
    <xf numFmtId="0" fontId="22" fillId="13" borderId="6" xfId="25" applyFont="1" applyFill="1" applyBorder="1"/>
    <xf numFmtId="0" fontId="2" fillId="13" borderId="0" xfId="25" applyFont="1" applyFill="1" applyProtection="1">
      <protection hidden="1"/>
    </xf>
    <xf numFmtId="0" fontId="22" fillId="13" borderId="21" xfId="25" applyFont="1" applyFill="1" applyBorder="1" applyAlignment="1">
      <alignment horizontal="right"/>
    </xf>
    <xf numFmtId="0" fontId="22" fillId="13" borderId="36" xfId="25" applyFont="1" applyFill="1" applyBorder="1" applyProtection="1">
      <protection hidden="1"/>
    </xf>
    <xf numFmtId="0" fontId="22" fillId="13" borderId="38" xfId="25" applyFont="1" applyFill="1" applyBorder="1" applyAlignment="1">
      <alignment horizontal="center"/>
    </xf>
    <xf numFmtId="0" fontId="27" fillId="13" borderId="0" xfId="25" applyFont="1" applyFill="1" applyAlignment="1" applyProtection="1">
      <alignment horizontal="right"/>
      <protection hidden="1"/>
    </xf>
    <xf numFmtId="165" fontId="8" fillId="0" borderId="15" xfId="0" applyNumberFormat="1" applyFont="1" applyFill="1" applyBorder="1" applyAlignment="1" applyProtection="1">
      <alignment horizontal="center" vertical="center" wrapText="1"/>
    </xf>
    <xf numFmtId="0" fontId="29" fillId="13" borderId="0" xfId="25" applyFont="1" applyFill="1"/>
    <xf numFmtId="0" fontId="29" fillId="4" borderId="0" xfId="25" applyFont="1" applyFill="1" applyAlignment="1">
      <alignment horizontal="center"/>
    </xf>
    <xf numFmtId="0" fontId="24" fillId="13" borderId="0" xfId="25" applyFill="1"/>
    <xf numFmtId="0" fontId="34" fillId="13" borderId="0" xfId="25" applyFont="1" applyFill="1"/>
    <xf numFmtId="0" fontId="35" fillId="13" borderId="0" xfId="25" applyFont="1" applyFill="1"/>
    <xf numFmtId="0" fontId="35" fillId="13" borderId="0" xfId="25" applyFont="1" applyFill="1" applyProtection="1">
      <protection hidden="1"/>
    </xf>
    <xf numFmtId="0" fontId="24" fillId="13" borderId="37" xfId="25" applyFill="1" applyBorder="1"/>
    <xf numFmtId="0" fontId="24" fillId="13" borderId="38" xfId="25" applyFill="1" applyBorder="1"/>
    <xf numFmtId="0" fontId="24" fillId="13" borderId="5" xfId="25" applyFill="1" applyBorder="1"/>
    <xf numFmtId="0" fontId="24" fillId="13" borderId="5" xfId="25" applyFill="1" applyBorder="1" applyProtection="1">
      <protection hidden="1"/>
    </xf>
    <xf numFmtId="0" fontId="24" fillId="13" borderId="6" xfId="25" applyFill="1" applyBorder="1"/>
    <xf numFmtId="0" fontId="24" fillId="14" borderId="25" xfId="25" applyFill="1" applyBorder="1" applyProtection="1">
      <protection hidden="1"/>
    </xf>
    <xf numFmtId="0" fontId="36" fillId="14" borderId="1" xfId="25" applyFont="1" applyFill="1" applyBorder="1" applyProtection="1">
      <protection locked="0"/>
    </xf>
    <xf numFmtId="0" fontId="24" fillId="14" borderId="24" xfId="25" applyFill="1" applyBorder="1" applyProtection="1">
      <protection hidden="1"/>
    </xf>
    <xf numFmtId="0" fontId="24" fillId="13" borderId="0" xfId="25" applyFill="1" applyProtection="1">
      <protection hidden="1"/>
    </xf>
    <xf numFmtId="0" fontId="24" fillId="13" borderId="45" xfId="25" applyFill="1" applyBorder="1"/>
    <xf numFmtId="0" fontId="24" fillId="13" borderId="46" xfId="25" applyFill="1" applyBorder="1"/>
    <xf numFmtId="0" fontId="36" fillId="14" borderId="24" xfId="25" applyFont="1" applyFill="1" applyBorder="1" applyProtection="1">
      <protection locked="0"/>
    </xf>
    <xf numFmtId="0" fontId="24" fillId="15" borderId="25" xfId="25" applyFill="1" applyBorder="1"/>
    <xf numFmtId="164" fontId="37" fillId="15" borderId="1" xfId="25" applyNumberFormat="1" applyFont="1" applyFill="1" applyBorder="1"/>
    <xf numFmtId="0" fontId="24" fillId="15" borderId="24" xfId="25" applyFill="1" applyBorder="1"/>
    <xf numFmtId="0" fontId="24" fillId="13" borderId="25" xfId="25" applyFill="1" applyBorder="1" applyProtection="1">
      <protection hidden="1"/>
    </xf>
    <xf numFmtId="169" fontId="34" fillId="13" borderId="1" xfId="25" applyNumberFormat="1" applyFont="1" applyFill="1" applyBorder="1" applyProtection="1">
      <protection hidden="1"/>
    </xf>
    <xf numFmtId="0" fontId="24" fillId="13" borderId="1" xfId="25" applyFill="1" applyBorder="1" applyProtection="1">
      <protection hidden="1"/>
    </xf>
    <xf numFmtId="170" fontId="34" fillId="13" borderId="24" xfId="25" applyNumberFormat="1" applyFont="1" applyFill="1" applyBorder="1"/>
    <xf numFmtId="0" fontId="36" fillId="14" borderId="47" xfId="25" applyFont="1" applyFill="1" applyBorder="1" applyProtection="1">
      <protection locked="0"/>
    </xf>
    <xf numFmtId="0" fontId="25" fillId="14" borderId="23" xfId="25" applyFont="1" applyFill="1" applyBorder="1" applyProtection="1">
      <protection hidden="1"/>
    </xf>
    <xf numFmtId="170" fontId="34" fillId="13" borderId="24" xfId="25" applyNumberFormat="1" applyFont="1" applyFill="1" applyBorder="1" applyProtection="1">
      <protection hidden="1"/>
    </xf>
    <xf numFmtId="1" fontId="36" fillId="14" borderId="25" xfId="25" applyNumberFormat="1" applyFont="1" applyFill="1" applyBorder="1" applyProtection="1">
      <protection locked="0"/>
    </xf>
    <xf numFmtId="0" fontId="25" fillId="14" borderId="24" xfId="25" applyFont="1" applyFill="1" applyBorder="1" applyProtection="1">
      <protection hidden="1"/>
    </xf>
    <xf numFmtId="0" fontId="24" fillId="15" borderId="26" xfId="25" applyFill="1" applyBorder="1"/>
    <xf numFmtId="164" fontId="37" fillId="15" borderId="11" xfId="25" applyNumberFormat="1" applyFont="1" applyFill="1" applyBorder="1"/>
    <xf numFmtId="0" fontId="24" fillId="15" borderId="27" xfId="25" applyFill="1" applyBorder="1"/>
    <xf numFmtId="0" fontId="24" fillId="14" borderId="28" xfId="25" applyFill="1" applyBorder="1" applyProtection="1">
      <protection hidden="1"/>
    </xf>
    <xf numFmtId="0" fontId="36" fillId="14" borderId="15" xfId="25" applyFont="1" applyFill="1" applyBorder="1" applyProtection="1">
      <protection locked="0"/>
    </xf>
    <xf numFmtId="0" fontId="22" fillId="14" borderId="30" xfId="25" applyFont="1" applyFill="1" applyBorder="1" applyProtection="1">
      <protection hidden="1"/>
    </xf>
    <xf numFmtId="0" fontId="24" fillId="13" borderId="37" xfId="25" applyFill="1" applyBorder="1" applyProtection="1">
      <protection hidden="1"/>
    </xf>
    <xf numFmtId="0" fontId="24" fillId="13" borderId="38" xfId="25" applyFill="1" applyBorder="1" applyProtection="1">
      <protection hidden="1"/>
    </xf>
    <xf numFmtId="164" fontId="34" fillId="13" borderId="1" xfId="25" applyNumberFormat="1" applyFont="1" applyFill="1" applyBorder="1" applyProtection="1">
      <protection hidden="1"/>
    </xf>
    <xf numFmtId="171" fontId="34" fillId="13" borderId="24" xfId="25" applyNumberFormat="1" applyFont="1" applyFill="1" applyBorder="1" applyProtection="1">
      <protection hidden="1"/>
    </xf>
    <xf numFmtId="0" fontId="36" fillId="14" borderId="25" xfId="25" applyFont="1" applyFill="1" applyBorder="1" applyProtection="1">
      <protection locked="0"/>
    </xf>
    <xf numFmtId="0" fontId="2" fillId="14" borderId="24" xfId="25" applyFont="1" applyFill="1" applyBorder="1" applyProtection="1">
      <protection hidden="1"/>
    </xf>
    <xf numFmtId="0" fontId="2" fillId="14" borderId="30" xfId="25" applyFont="1" applyFill="1" applyBorder="1" applyProtection="1">
      <protection hidden="1"/>
    </xf>
    <xf numFmtId="0" fontId="24" fillId="13" borderId="31" xfId="25" applyFill="1" applyBorder="1" applyProtection="1">
      <protection hidden="1"/>
    </xf>
    <xf numFmtId="0" fontId="24" fillId="13" borderId="16" xfId="25" applyFill="1" applyBorder="1" applyProtection="1">
      <protection hidden="1"/>
    </xf>
    <xf numFmtId="0" fontId="24" fillId="13" borderId="11" xfId="25" applyFill="1" applyBorder="1" applyProtection="1">
      <protection hidden="1"/>
    </xf>
    <xf numFmtId="171" fontId="34" fillId="13" borderId="27" xfId="25" applyNumberFormat="1" applyFont="1" applyFill="1" applyBorder="1" applyProtection="1">
      <protection hidden="1"/>
    </xf>
    <xf numFmtId="0" fontId="36" fillId="14" borderId="28" xfId="25" applyFont="1" applyFill="1" applyBorder="1" applyProtection="1">
      <protection locked="0"/>
    </xf>
    <xf numFmtId="0" fontId="24" fillId="14" borderId="30" xfId="25" applyFill="1" applyBorder="1" applyProtection="1">
      <protection hidden="1"/>
    </xf>
    <xf numFmtId="0" fontId="24" fillId="13" borderId="0" xfId="25" applyFill="1" applyAlignment="1" applyProtection="1">
      <alignment horizontal="right"/>
      <protection hidden="1"/>
    </xf>
    <xf numFmtId="0" fontId="26" fillId="13" borderId="4" xfId="25" applyFont="1" applyFill="1" applyBorder="1" applyProtection="1">
      <protection hidden="1"/>
    </xf>
    <xf numFmtId="0" fontId="2" fillId="14" borderId="1" xfId="25" applyFont="1" applyFill="1" applyBorder="1" applyProtection="1">
      <protection hidden="1"/>
    </xf>
    <xf numFmtId="0" fontId="36" fillId="14" borderId="24" xfId="25" applyFont="1" applyFill="1" applyBorder="1" applyAlignment="1" applyProtection="1">
      <alignment horizontal="center" wrapText="1"/>
      <protection locked="0"/>
    </xf>
    <xf numFmtId="0" fontId="24" fillId="15" borderId="25" xfId="25" applyFill="1" applyBorder="1" applyProtection="1">
      <protection hidden="1"/>
    </xf>
    <xf numFmtId="170" fontId="37" fillId="15" borderId="1" xfId="25" applyNumberFormat="1" applyFont="1" applyFill="1" applyBorder="1" applyProtection="1">
      <protection hidden="1"/>
    </xf>
    <xf numFmtId="0" fontId="22" fillId="13" borderId="48" xfId="25" applyFont="1" applyFill="1" applyBorder="1" applyAlignment="1">
      <alignment horizontal="right"/>
    </xf>
    <xf numFmtId="0" fontId="36" fillId="14" borderId="24" xfId="25" applyFont="1" applyFill="1" applyBorder="1" applyAlignment="1" applyProtection="1">
      <alignment horizontal="left"/>
      <protection locked="0"/>
    </xf>
    <xf numFmtId="0" fontId="2" fillId="14" borderId="15" xfId="25" applyFont="1" applyFill="1" applyBorder="1" applyProtection="1">
      <protection hidden="1"/>
    </xf>
    <xf numFmtId="0" fontId="36" fillId="13" borderId="30" xfId="25" applyFont="1" applyFill="1" applyBorder="1" applyAlignment="1">
      <alignment horizontal="center"/>
    </xf>
    <xf numFmtId="0" fontId="24" fillId="15" borderId="1" xfId="25" applyFill="1" applyBorder="1" applyProtection="1">
      <protection hidden="1"/>
    </xf>
    <xf numFmtId="169" fontId="37" fillId="15" borderId="8" xfId="25" applyNumberFormat="1" applyFont="1" applyFill="1" applyBorder="1" applyProtection="1">
      <protection hidden="1"/>
    </xf>
    <xf numFmtId="0" fontId="36" fillId="14" borderId="21" xfId="25" applyFont="1" applyFill="1" applyBorder="1" applyProtection="1">
      <protection locked="0"/>
    </xf>
    <xf numFmtId="0" fontId="24" fillId="14" borderId="24" xfId="25" applyFill="1" applyBorder="1"/>
    <xf numFmtId="0" fontId="36" fillId="14" borderId="24" xfId="25" applyFont="1" applyFill="1" applyBorder="1" applyAlignment="1" applyProtection="1">
      <alignment horizontal="center"/>
      <protection locked="0"/>
    </xf>
    <xf numFmtId="0" fontId="24" fillId="14" borderId="26" xfId="25" applyFill="1" applyBorder="1" applyProtection="1">
      <protection hidden="1"/>
    </xf>
    <xf numFmtId="0" fontId="2" fillId="14" borderId="11" xfId="25" applyFont="1" applyFill="1" applyBorder="1" applyProtection="1">
      <protection hidden="1"/>
    </xf>
    <xf numFmtId="0" fontId="24" fillId="13" borderId="27" xfId="25" applyFill="1" applyBorder="1"/>
    <xf numFmtId="172" fontId="37" fillId="15" borderId="1" xfId="25" applyNumberFormat="1" applyFont="1" applyFill="1" applyBorder="1" applyProtection="1">
      <protection hidden="1"/>
    </xf>
    <xf numFmtId="0" fontId="24" fillId="15" borderId="11" xfId="25" applyFill="1" applyBorder="1" applyProtection="1">
      <protection hidden="1"/>
    </xf>
    <xf numFmtId="0" fontId="36" fillId="14" borderId="26" xfId="25" applyFont="1" applyFill="1" applyBorder="1" applyProtection="1">
      <protection locked="0"/>
    </xf>
    <xf numFmtId="0" fontId="24" fillId="14" borderId="27" xfId="25" applyFill="1" applyBorder="1"/>
    <xf numFmtId="0" fontId="22" fillId="13" borderId="4" xfId="25" applyFont="1" applyFill="1" applyBorder="1" applyProtection="1">
      <protection hidden="1"/>
    </xf>
    <xf numFmtId="0" fontId="36" fillId="14" borderId="37" xfId="25" applyFont="1" applyFill="1" applyBorder="1" applyAlignment="1" applyProtection="1">
      <alignment horizontal="center"/>
      <protection locked="0"/>
    </xf>
    <xf numFmtId="0" fontId="22" fillId="13" borderId="3" xfId="25" applyFont="1" applyFill="1" applyBorder="1" applyAlignment="1" applyProtection="1">
      <alignment horizontal="center"/>
      <protection hidden="1"/>
    </xf>
    <xf numFmtId="172" fontId="37" fillId="15" borderId="24" xfId="25" applyNumberFormat="1" applyFont="1" applyFill="1" applyBorder="1" applyProtection="1">
      <protection hidden="1"/>
    </xf>
    <xf numFmtId="0" fontId="24" fillId="13" borderId="49" xfId="25" applyFill="1" applyBorder="1"/>
    <xf numFmtId="0" fontId="22" fillId="13" borderId="9" xfId="25" applyFont="1" applyFill="1" applyBorder="1" applyAlignment="1">
      <alignment horizontal="right"/>
    </xf>
    <xf numFmtId="0" fontId="36" fillId="14" borderId="1" xfId="25" applyFont="1" applyFill="1" applyBorder="1" applyAlignment="1" applyProtection="1">
      <alignment horizontal="center"/>
      <protection locked="0"/>
    </xf>
    <xf numFmtId="0" fontId="24" fillId="13" borderId="40" xfId="25" applyFill="1" applyBorder="1" applyProtection="1">
      <protection hidden="1"/>
    </xf>
    <xf numFmtId="0" fontId="24" fillId="15" borderId="26" xfId="25" applyFill="1" applyBorder="1" applyProtection="1">
      <protection hidden="1"/>
    </xf>
    <xf numFmtId="172" fontId="37" fillId="15" borderId="27" xfId="25" applyNumberFormat="1" applyFont="1" applyFill="1" applyBorder="1" applyProtection="1">
      <protection hidden="1"/>
    </xf>
    <xf numFmtId="169" fontId="37" fillId="15" borderId="24" xfId="25" applyNumberFormat="1" applyFont="1" applyFill="1" applyBorder="1" applyAlignment="1" applyProtection="1">
      <alignment horizontal="right"/>
      <protection hidden="1"/>
    </xf>
    <xf numFmtId="0" fontId="24" fillId="13" borderId="21" xfId="25" applyFill="1" applyBorder="1" applyProtection="1">
      <protection hidden="1"/>
    </xf>
    <xf numFmtId="180" fontId="34" fillId="13" borderId="22" xfId="25" applyNumberFormat="1" applyFont="1" applyFill="1" applyBorder="1" applyProtection="1">
      <protection hidden="1"/>
    </xf>
    <xf numFmtId="0" fontId="36" fillId="14" borderId="22" xfId="25" applyFont="1" applyFill="1" applyBorder="1" applyProtection="1">
      <protection locked="0"/>
    </xf>
    <xf numFmtId="0" fontId="24" fillId="13" borderId="23" xfId="25" applyFill="1" applyBorder="1" applyProtection="1">
      <protection hidden="1"/>
    </xf>
    <xf numFmtId="0" fontId="24" fillId="13" borderId="6" xfId="25" applyFill="1" applyBorder="1" applyProtection="1">
      <protection hidden="1"/>
    </xf>
    <xf numFmtId="0" fontId="24" fillId="15" borderId="28" xfId="25" applyFill="1" applyBorder="1" applyProtection="1">
      <protection hidden="1"/>
    </xf>
    <xf numFmtId="173" fontId="37" fillId="15" borderId="30" xfId="25" applyNumberFormat="1" applyFont="1" applyFill="1" applyBorder="1" applyProtection="1">
      <protection hidden="1"/>
    </xf>
    <xf numFmtId="175" fontId="34" fillId="13" borderId="22" xfId="25" applyNumberFormat="1" applyFont="1" applyFill="1" applyBorder="1" applyProtection="1">
      <protection hidden="1"/>
    </xf>
    <xf numFmtId="0" fontId="24" fillId="13" borderId="24" xfId="25" applyFill="1" applyBorder="1" applyProtection="1">
      <protection hidden="1"/>
    </xf>
    <xf numFmtId="0" fontId="24" fillId="14" borderId="25" xfId="25" applyFill="1" applyBorder="1"/>
    <xf numFmtId="181" fontId="36" fillId="14" borderId="24" xfId="25" applyNumberFormat="1" applyFont="1" applyFill="1" applyBorder="1" applyProtection="1">
      <protection locked="0"/>
    </xf>
    <xf numFmtId="174" fontId="37" fillId="15" borderId="27" xfId="25" applyNumberFormat="1" applyFont="1" applyFill="1" applyBorder="1" applyProtection="1">
      <protection hidden="1"/>
    </xf>
    <xf numFmtId="176" fontId="34" fillId="13" borderId="22" xfId="25" applyNumberFormat="1" applyFont="1" applyFill="1" applyBorder="1" applyProtection="1">
      <protection hidden="1"/>
    </xf>
    <xf numFmtId="0" fontId="24" fillId="14" borderId="26" xfId="25" applyFill="1" applyBorder="1"/>
    <xf numFmtId="181" fontId="36" fillId="14" borderId="27" xfId="25" applyNumberFormat="1" applyFont="1" applyFill="1" applyBorder="1" applyProtection="1">
      <protection locked="0"/>
    </xf>
    <xf numFmtId="0" fontId="24" fillId="13" borderId="26" xfId="25" applyFill="1" applyBorder="1" applyProtection="1">
      <protection hidden="1"/>
    </xf>
    <xf numFmtId="177" fontId="34" fillId="13" borderId="50" xfId="25" applyNumberFormat="1" applyFont="1" applyFill="1" applyBorder="1" applyProtection="1">
      <protection hidden="1"/>
    </xf>
    <xf numFmtId="0" fontId="36" fillId="14" borderId="50" xfId="25" applyFont="1" applyFill="1" applyBorder="1" applyProtection="1">
      <protection locked="0"/>
    </xf>
    <xf numFmtId="0" fontId="24" fillId="13" borderId="27" xfId="25" applyFill="1" applyBorder="1" applyProtection="1">
      <protection hidden="1"/>
    </xf>
    <xf numFmtId="0" fontId="34" fillId="13" borderId="0" xfId="25" applyFont="1" applyFill="1" applyProtection="1">
      <protection hidden="1"/>
    </xf>
    <xf numFmtId="0" fontId="38" fillId="13" borderId="0" xfId="25" applyFont="1" applyFill="1"/>
    <xf numFmtId="0" fontId="30" fillId="13" borderId="0" xfId="25" applyFont="1" applyFill="1" applyAlignment="1" applyProtection="1">
      <alignment horizontal="center" wrapText="1"/>
      <protection hidden="1"/>
    </xf>
    <xf numFmtId="0" fontId="29" fillId="13" borderId="0" xfId="25" applyFont="1" applyFill="1" applyProtection="1">
      <protection hidden="1"/>
    </xf>
    <xf numFmtId="0" fontId="32" fillId="4" borderId="0" xfId="25" applyFont="1" applyFill="1" applyAlignment="1" applyProtection="1">
      <alignment horizontal="center" wrapText="1"/>
      <protection hidden="1"/>
    </xf>
    <xf numFmtId="0" fontId="29" fillId="4" borderId="0" xfId="25" applyFont="1" applyFill="1" applyAlignment="1" applyProtection="1">
      <alignment horizontal="center"/>
      <protection hidden="1"/>
    </xf>
    <xf numFmtId="0" fontId="30" fillId="13" borderId="0" xfId="25" applyFont="1" applyFill="1" applyProtection="1">
      <protection hidden="1"/>
    </xf>
    <xf numFmtId="0" fontId="29" fillId="13" borderId="0" xfId="25" applyFont="1" applyFill="1" applyAlignment="1" applyProtection="1">
      <alignment horizontal="left"/>
      <protection hidden="1"/>
    </xf>
    <xf numFmtId="0" fontId="29" fillId="13" borderId="0" xfId="25" applyFont="1" applyFill="1" applyAlignment="1" applyProtection="1">
      <alignment horizontal="center"/>
      <protection hidden="1"/>
    </xf>
    <xf numFmtId="164" fontId="29" fillId="13" borderId="0" xfId="25" applyNumberFormat="1" applyFont="1" applyFill="1" applyAlignment="1" applyProtection="1">
      <alignment horizontal="center"/>
      <protection hidden="1"/>
    </xf>
    <xf numFmtId="2" fontId="29" fillId="13" borderId="0" xfId="25" applyNumberFormat="1" applyFont="1" applyFill="1" applyAlignment="1" applyProtection="1">
      <alignment horizontal="center"/>
      <protection hidden="1"/>
    </xf>
    <xf numFmtId="165" fontId="29" fillId="13" borderId="0" xfId="25" applyNumberFormat="1" applyFont="1" applyFill="1" applyAlignment="1" applyProtection="1">
      <alignment horizontal="center"/>
      <protection hidden="1"/>
    </xf>
    <xf numFmtId="0" fontId="29" fillId="13" borderId="0" xfId="25" applyFont="1" applyFill="1" applyAlignment="1">
      <alignment horizontal="left"/>
    </xf>
    <xf numFmtId="0" fontId="29" fillId="13" borderId="0" xfId="25" applyFont="1" applyFill="1" applyAlignment="1">
      <alignment horizontal="center"/>
    </xf>
    <xf numFmtId="164" fontId="30" fillId="13" borderId="0" xfId="25" applyNumberFormat="1" applyFont="1" applyFill="1" applyAlignment="1" applyProtection="1">
      <alignment horizontal="left"/>
      <protection hidden="1"/>
    </xf>
    <xf numFmtId="164" fontId="29" fillId="13" borderId="0" xfId="25" applyNumberFormat="1" applyFont="1" applyFill="1" applyAlignment="1" applyProtection="1">
      <alignment horizontal="left"/>
      <protection hidden="1"/>
    </xf>
    <xf numFmtId="0" fontId="30" fillId="13" borderId="0" xfId="25" applyFont="1" applyFill="1" applyAlignment="1" applyProtection="1">
      <alignment horizontal="center"/>
      <protection hidden="1"/>
    </xf>
    <xf numFmtId="2" fontId="29" fillId="13" borderId="0" xfId="25" applyNumberFormat="1" applyFont="1" applyFill="1"/>
    <xf numFmtId="178" fontId="29" fillId="13" borderId="0" xfId="25" applyNumberFormat="1" applyFont="1" applyFill="1"/>
    <xf numFmtId="167" fontId="29" fillId="13" borderId="0" xfId="25" applyNumberFormat="1" applyFont="1" applyFill="1"/>
    <xf numFmtId="178" fontId="30" fillId="13" borderId="0" xfId="25" applyNumberFormat="1" applyFont="1" applyFill="1" applyAlignment="1" applyProtection="1">
      <alignment horizontal="center"/>
      <protection hidden="1"/>
    </xf>
    <xf numFmtId="0" fontId="30" fillId="13" borderId="0" xfId="25" applyFont="1" applyFill="1" applyAlignment="1">
      <alignment horizontal="center"/>
    </xf>
    <xf numFmtId="179" fontId="29" fillId="13" borderId="0" xfId="25" applyNumberFormat="1" applyFont="1" applyFill="1" applyAlignment="1" applyProtection="1">
      <alignment horizontal="center"/>
      <protection hidden="1"/>
    </xf>
    <xf numFmtId="167" fontId="29" fillId="13" borderId="0" xfId="25" applyNumberFormat="1" applyFont="1" applyFill="1" applyAlignment="1" applyProtection="1">
      <alignment horizontal="center"/>
      <protection hidden="1"/>
    </xf>
    <xf numFmtId="1" fontId="29" fillId="13" borderId="0" xfId="25" applyNumberFormat="1" applyFont="1" applyFill="1" applyProtection="1">
      <protection hidden="1"/>
    </xf>
    <xf numFmtId="167" fontId="29" fillId="13" borderId="0" xfId="25" applyNumberFormat="1" applyFont="1" applyFill="1" applyProtection="1">
      <protection hidden="1"/>
    </xf>
    <xf numFmtId="0" fontId="30" fillId="13" borderId="0" xfId="25" applyFont="1" applyFill="1"/>
    <xf numFmtId="1" fontId="29" fillId="13" borderId="0" xfId="25" applyNumberFormat="1" applyFont="1" applyFill="1" applyAlignment="1" applyProtection="1">
      <alignment horizontal="center"/>
      <protection hidden="1"/>
    </xf>
    <xf numFmtId="168" fontId="29" fillId="13" borderId="0" xfId="25" applyNumberFormat="1" applyFont="1" applyFill="1" applyAlignment="1" applyProtection="1">
      <alignment horizontal="center"/>
      <protection hidden="1"/>
    </xf>
    <xf numFmtId="0" fontId="29" fillId="4" borderId="0" xfId="25" applyFont="1" applyFill="1" applyProtection="1">
      <protection hidden="1"/>
    </xf>
    <xf numFmtId="0" fontId="30" fillId="4" borderId="0" xfId="25" applyFont="1" applyFill="1" applyProtection="1">
      <protection hidden="1"/>
    </xf>
    <xf numFmtId="164" fontId="29" fillId="13" borderId="0" xfId="25" applyNumberFormat="1" applyFont="1" applyFill="1"/>
    <xf numFmtId="0" fontId="33" fillId="13" borderId="0" xfId="25" applyFont="1" applyFill="1" applyProtection="1">
      <protection hidden="1"/>
    </xf>
    <xf numFmtId="0" fontId="32" fillId="13" borderId="0" xfId="25" applyFont="1" applyFill="1" applyAlignment="1" applyProtection="1">
      <alignment horizontal="center" wrapText="1"/>
      <protection hidden="1"/>
    </xf>
    <xf numFmtId="1" fontId="29" fillId="13" borderId="0" xfId="25" applyNumberFormat="1" applyFont="1" applyFill="1"/>
    <xf numFmtId="1" fontId="29" fillId="13" borderId="0" xfId="25" applyNumberFormat="1" applyFont="1" applyFill="1" applyAlignment="1">
      <alignment horizontal="right"/>
    </xf>
    <xf numFmtId="164" fontId="29" fillId="4" borderId="0" xfId="25" applyNumberFormat="1" applyFont="1" applyFill="1" applyAlignment="1" applyProtection="1">
      <alignment horizontal="center"/>
      <protection hidden="1"/>
    </xf>
    <xf numFmtId="2" fontId="29" fillId="4" borderId="0" xfId="25" applyNumberFormat="1" applyFont="1" applyFill="1" applyAlignment="1" applyProtection="1">
      <alignment horizontal="center"/>
      <protection hidden="1"/>
    </xf>
    <xf numFmtId="0" fontId="31" fillId="13" borderId="0" xfId="25" applyFont="1" applyFill="1" applyAlignment="1" applyProtection="1">
      <alignment horizontal="center" wrapText="1"/>
      <protection hidden="1"/>
    </xf>
    <xf numFmtId="0" fontId="31" fillId="4" borderId="0" xfId="25" applyFont="1" applyFill="1" applyAlignment="1" applyProtection="1">
      <alignment horizontal="center" wrapText="1"/>
      <protection hidden="1"/>
    </xf>
    <xf numFmtId="164" fontId="29" fillId="13" borderId="0" xfId="25" applyNumberFormat="1" applyFont="1" applyFill="1" applyProtection="1">
      <protection hidden="1"/>
    </xf>
    <xf numFmtId="165" fontId="30" fillId="13" borderId="0" xfId="25" applyNumberFormat="1" applyFont="1" applyFill="1"/>
    <xf numFmtId="0" fontId="2" fillId="14" borderId="25" xfId="25" applyFont="1" applyFill="1" applyBorder="1" applyProtection="1">
      <protection hidden="1"/>
    </xf>
    <xf numFmtId="1" fontId="8" fillId="5" borderId="1" xfId="0" applyNumberFormat="1" applyFont="1" applyFill="1" applyBorder="1" applyAlignment="1" applyProtection="1">
      <alignment horizontal="center" vertical="center" wrapText="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15" xfId="0" applyBorder="1" applyAlignment="1">
      <alignment horizontal="left" vertical="top"/>
    </xf>
    <xf numFmtId="0" fontId="0" fillId="0" borderId="15" xfId="0" applyBorder="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vertical="top" wrapText="1"/>
    </xf>
    <xf numFmtId="0" fontId="0" fillId="0" borderId="1" xfId="0" applyBorder="1" applyAlignment="1">
      <alignment vertical="top" wrapText="1"/>
    </xf>
    <xf numFmtId="0" fontId="3" fillId="0" borderId="1" xfId="2" applyBorder="1" applyAlignment="1">
      <alignment horizontal="left" vertical="top" wrapText="1"/>
    </xf>
    <xf numFmtId="0" fontId="5" fillId="0" borderId="0" xfId="0" applyFont="1" applyAlignment="1">
      <alignment wrapText="1"/>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left" vertical="top" wrapText="1"/>
    </xf>
    <xf numFmtId="0" fontId="5" fillId="0" borderId="0" xfId="0" applyFont="1" applyAlignment="1">
      <alignment vertical="top" wrapText="1"/>
    </xf>
    <xf numFmtId="0" fontId="0" fillId="0" borderId="8" xfId="0" applyBorder="1" applyAlignment="1">
      <alignment horizontal="left" vertical="top" wrapText="1"/>
    </xf>
    <xf numFmtId="0" fontId="3" fillId="0" borderId="1" xfId="2" quotePrefix="1" applyBorder="1" applyAlignment="1">
      <alignment horizontal="left" vertical="top" wrapText="1"/>
    </xf>
    <xf numFmtId="0" fontId="8" fillId="0" borderId="1" xfId="0" applyFont="1" applyBorder="1" applyAlignment="1">
      <alignment vertical="top" wrapText="1"/>
    </xf>
    <xf numFmtId="0" fontId="1" fillId="0" borderId="1" xfId="0" applyFont="1" applyBorder="1" applyAlignment="1">
      <alignment vertical="top" wrapText="1"/>
    </xf>
    <xf numFmtId="2" fontId="0" fillId="0" borderId="1" xfId="0" applyNumberFormat="1" applyBorder="1" applyAlignment="1">
      <alignment horizontal="left" vertical="top" wrapText="1"/>
    </xf>
    <xf numFmtId="164" fontId="1" fillId="0" borderId="1" xfId="0" applyNumberFormat="1" applyFont="1" applyBorder="1" applyAlignment="1">
      <alignment horizontal="left" vertical="top" wrapText="1"/>
    </xf>
    <xf numFmtId="0" fontId="10" fillId="4" borderId="4" xfId="0" applyFont="1" applyFill="1" applyBorder="1" applyAlignment="1" applyProtection="1">
      <alignment vertical="center" wrapText="1"/>
    </xf>
    <xf numFmtId="0" fontId="10" fillId="4" borderId="5" xfId="0" applyFont="1" applyFill="1" applyBorder="1" applyAlignment="1" applyProtection="1">
      <alignment vertical="center" wrapText="1"/>
    </xf>
    <xf numFmtId="0" fontId="10" fillId="4" borderId="6" xfId="0" applyFont="1" applyFill="1" applyBorder="1" applyAlignment="1" applyProtection="1">
      <alignment vertical="center" wrapText="1"/>
    </xf>
    <xf numFmtId="0" fontId="7" fillId="0" borderId="16" xfId="0" applyFont="1" applyBorder="1" applyAlignment="1" applyProtection="1">
      <alignment horizontal="center" vertical="center"/>
    </xf>
    <xf numFmtId="0" fontId="10" fillId="0" borderId="18" xfId="0" applyFont="1" applyFill="1" applyBorder="1" applyAlignment="1" applyProtection="1">
      <alignment vertical="center" wrapText="1"/>
    </xf>
    <xf numFmtId="0" fontId="10" fillId="0" borderId="19" xfId="0" applyFont="1" applyFill="1" applyBorder="1" applyAlignment="1" applyProtection="1">
      <alignment vertical="center" wrapText="1"/>
    </xf>
    <xf numFmtId="0" fontId="10" fillId="0" borderId="20" xfId="0" applyFont="1" applyFill="1" applyBorder="1" applyAlignment="1" applyProtection="1">
      <alignment vertical="center" wrapText="1"/>
    </xf>
    <xf numFmtId="0" fontId="10" fillId="0" borderId="18" xfId="0" applyFont="1" applyFill="1" applyBorder="1" applyAlignment="1" applyProtection="1">
      <alignment horizontal="left" vertical="center" wrapText="1"/>
    </xf>
    <xf numFmtId="0" fontId="10" fillId="0" borderId="19" xfId="0" applyFont="1" applyFill="1" applyBorder="1" applyAlignment="1" applyProtection="1">
      <alignment horizontal="left" vertical="center" wrapText="1"/>
    </xf>
    <xf numFmtId="0" fontId="10" fillId="0" borderId="20" xfId="0" applyFont="1" applyFill="1" applyBorder="1" applyAlignment="1" applyProtection="1">
      <alignment horizontal="left" vertical="center" wrapText="1"/>
    </xf>
    <xf numFmtId="0" fontId="10" fillId="0" borderId="18" xfId="4" applyFont="1" applyFill="1" applyBorder="1" applyAlignment="1" applyProtection="1">
      <alignment vertical="center" wrapText="1"/>
    </xf>
    <xf numFmtId="0" fontId="10" fillId="0" borderId="19" xfId="4" applyFont="1" applyFill="1" applyBorder="1" applyAlignment="1" applyProtection="1">
      <alignment vertical="center" wrapText="1"/>
    </xf>
    <xf numFmtId="0" fontId="10" fillId="0" borderId="20" xfId="4" applyFont="1" applyFill="1" applyBorder="1" applyAlignment="1" applyProtection="1">
      <alignment vertical="center" wrapText="1"/>
    </xf>
    <xf numFmtId="0" fontId="10" fillId="4" borderId="18" xfId="0" applyFont="1" applyFill="1" applyBorder="1" applyAlignment="1" applyProtection="1">
      <alignment vertical="center" wrapText="1"/>
    </xf>
    <xf numFmtId="0" fontId="10" fillId="4" borderId="19" xfId="0" applyFont="1" applyFill="1" applyBorder="1" applyAlignment="1" applyProtection="1">
      <alignment vertical="center" wrapText="1"/>
    </xf>
    <xf numFmtId="0" fontId="10" fillId="4" borderId="20" xfId="0" applyFont="1" applyFill="1" applyBorder="1" applyAlignment="1" applyProtection="1">
      <alignment vertical="center" wrapText="1"/>
    </xf>
    <xf numFmtId="0" fontId="8" fillId="4" borderId="31" xfId="0" applyFont="1" applyFill="1" applyBorder="1" applyAlignment="1" applyProtection="1">
      <alignment horizontal="left" vertical="center" wrapText="1"/>
    </xf>
    <xf numFmtId="0" fontId="8" fillId="4" borderId="16" xfId="0" applyFont="1" applyFill="1" applyBorder="1" applyAlignment="1" applyProtection="1">
      <alignment horizontal="left" vertical="center" wrapText="1"/>
    </xf>
    <xf numFmtId="0" fontId="8" fillId="4" borderId="32" xfId="0" applyFont="1" applyFill="1" applyBorder="1" applyAlignment="1" applyProtection="1">
      <alignment horizontal="left" vertical="center" wrapText="1"/>
    </xf>
    <xf numFmtId="0" fontId="4" fillId="3" borderId="51" xfId="0" applyFont="1" applyFill="1" applyBorder="1" applyAlignment="1">
      <alignment horizontal="center" vertical="top" wrapText="1"/>
    </xf>
    <xf numFmtId="0" fontId="4" fillId="3" borderId="0"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22" fillId="13" borderId="36" xfId="25" applyFont="1" applyFill="1" applyBorder="1" applyAlignment="1" applyProtection="1">
      <alignment horizontal="left" wrapText="1"/>
      <protection hidden="1"/>
    </xf>
    <xf numFmtId="0" fontId="22" fillId="13" borderId="37" xfId="25" applyFont="1" applyFill="1" applyBorder="1" applyAlignment="1" applyProtection="1">
      <alignment horizontal="left" wrapText="1"/>
      <protection hidden="1"/>
    </xf>
    <xf numFmtId="0" fontId="22" fillId="13" borderId="2" xfId="25" applyFont="1" applyFill="1" applyBorder="1" applyAlignment="1" applyProtection="1">
      <alignment horizontal="center"/>
      <protection hidden="1"/>
    </xf>
    <xf numFmtId="0" fontId="22" fillId="13" borderId="3" xfId="25" applyFont="1" applyFill="1" applyBorder="1" applyAlignment="1" applyProtection="1">
      <alignment horizontal="center"/>
      <protection hidden="1"/>
    </xf>
  </cellXfs>
  <cellStyles count="27">
    <cellStyle name="Hyperlink" xfId="2" builtinId="8"/>
    <cellStyle name="Normal" xfId="0" builtinId="0"/>
    <cellStyle name="Normal 10" xfId="25"/>
    <cellStyle name="Normal 2" xfId="1"/>
    <cellStyle name="Normal 2 2" xfId="5"/>
    <cellStyle name="Normal 3" xfId="6"/>
    <cellStyle name="Normal 3 2" xfId="7"/>
    <cellStyle name="Normal 4" xfId="8"/>
    <cellStyle name="Normal 4 2" xfId="9"/>
    <cellStyle name="Normal 5" xfId="10"/>
    <cellStyle name="Normal 5 2" xfId="11"/>
    <cellStyle name="Normal 6" xfId="12"/>
    <cellStyle name="Normal 6 2" xfId="13"/>
    <cellStyle name="Normal 7" xfId="14"/>
    <cellStyle name="Normal 8" xfId="4"/>
    <cellStyle name="Normal 9" xfId="15"/>
    <cellStyle name="Percent" xfId="3" builtinId="5"/>
    <cellStyle name="Percent 2" xfId="16"/>
    <cellStyle name="Percent 2 2" xfId="17"/>
    <cellStyle name="Percent 2 3" xfId="26"/>
    <cellStyle name="Percent 3" xfId="18"/>
    <cellStyle name="Percent 3 2" xfId="19"/>
    <cellStyle name="Percent 4" xfId="20"/>
    <cellStyle name="Percent 4 2" xfId="21"/>
    <cellStyle name="Percent 5" xfId="22"/>
    <cellStyle name="Percent 5 2" xfId="23"/>
    <cellStyle name="Percent 6" xfId="24"/>
  </cellStyles>
  <dxfs count="27">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dxf>
    <dxf>
      <font>
        <color rgb="FF9C0006"/>
      </font>
    </dxf>
    <dxf>
      <font>
        <color rgb="FF9C0006"/>
      </font>
      <fill>
        <patternFill>
          <bgColor rgb="FFFFC7CE"/>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25" b="1" i="0" u="none" strike="noStrike" baseline="0">
                <a:solidFill>
                  <a:srgbClr val="000000"/>
                </a:solidFill>
                <a:latin typeface="Arial"/>
                <a:ea typeface="Arial"/>
                <a:cs typeface="Arial"/>
              </a:defRPr>
            </a:pPr>
            <a:r>
              <a:rPr lang="en-US"/>
              <a:t>Control to Output Bode</a:t>
            </a:r>
          </a:p>
        </c:rich>
      </c:tx>
      <c:layout>
        <c:manualLayout>
          <c:xMode val="edge"/>
          <c:yMode val="edge"/>
          <c:x val="0.32352947582796965"/>
          <c:y val="3.4700270130467267E-2"/>
        </c:manualLayout>
      </c:layout>
      <c:overlay val="0"/>
      <c:spPr>
        <a:noFill/>
        <a:ln w="25400">
          <a:noFill/>
        </a:ln>
      </c:spPr>
    </c:title>
    <c:autoTitleDeleted val="0"/>
    <c:plotArea>
      <c:layout>
        <c:manualLayout>
          <c:layoutTarget val="inner"/>
          <c:xMode val="edge"/>
          <c:yMode val="edge"/>
          <c:x val="0.13903743315508021"/>
          <c:y val="0.16088328075709779"/>
          <c:w val="0.71657754010695185"/>
          <c:h val="0.62145110410094639"/>
        </c:manualLayout>
      </c:layout>
      <c:scatterChart>
        <c:scatterStyle val="smoothMarker"/>
        <c:varyColors val="0"/>
        <c:ser>
          <c:idx val="0"/>
          <c:order val="0"/>
          <c:tx>
            <c:v>Gain</c:v>
          </c:tx>
          <c:spPr>
            <a:ln w="25400">
              <a:solidFill>
                <a:srgbClr val="000080"/>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compensation!$S$80:$S$330</c:f>
              <c:numCache>
                <c:formatCode>0.000</c:formatCode>
                <c:ptCount val="251"/>
                <c:pt idx="0">
                  <c:v>15.69171389449629</c:v>
                </c:pt>
                <c:pt idx="1">
                  <c:v>15.691714539618344</c:v>
                </c:pt>
                <c:pt idx="2">
                  <c:v>15.691715246980573</c:v>
                </c:pt>
                <c:pt idx="3">
                  <c:v>15.691716022587796</c:v>
                </c:pt>
                <c:pt idx="4">
                  <c:v>15.691716873024147</c:v>
                </c:pt>
                <c:pt idx="5">
                  <c:v>15.691717805509018</c:v>
                </c:pt>
                <c:pt idx="6">
                  <c:v>15.691718827958264</c:v>
                </c:pt>
                <c:pt idx="7">
                  <c:v>15.691719949051489</c:v>
                </c:pt>
                <c:pt idx="8">
                  <c:v>15.691721178305656</c:v>
                </c:pt>
                <c:pt idx="9">
                  <c:v>15.691722526155917</c:v>
                </c:pt>
                <c:pt idx="10">
                  <c:v>15.6917240040442</c:v>
                </c:pt>
                <c:pt idx="11">
                  <c:v>15.691725624516298</c:v>
                </c:pt>
                <c:pt idx="12">
                  <c:v>15.691727401328411</c:v>
                </c:pt>
                <c:pt idx="13">
                  <c:v>15.691729349563875</c:v>
                </c:pt>
                <c:pt idx="14">
                  <c:v>15.691731485761277</c:v>
                </c:pt>
                <c:pt idx="15">
                  <c:v>15.691733828054772</c:v>
                </c:pt>
                <c:pt idx="16">
                  <c:v>15.691736396328062</c:v>
                </c:pt>
                <c:pt idx="17">
                  <c:v>15.691739212383176</c:v>
                </c:pt>
                <c:pt idx="18">
                  <c:v>15.691742300125568</c:v>
                </c:pt>
                <c:pt idx="19">
                  <c:v>15.691745685766982</c:v>
                </c:pt>
                <c:pt idx="20">
                  <c:v>15.691749398048017</c:v>
                </c:pt>
                <c:pt idx="21">
                  <c:v>15.69175346848211</c:v>
                </c:pt>
                <c:pt idx="22">
                  <c:v>15.691757931622956</c:v>
                </c:pt>
                <c:pt idx="23">
                  <c:v>15.691762825357936</c:v>
                </c:pt>
                <c:pt idx="24">
                  <c:v>15.691768191229666</c:v>
                </c:pt>
                <c:pt idx="25">
                  <c:v>15.691774074788636</c:v>
                </c:pt>
                <c:pt idx="26">
                  <c:v>15.691780525979906</c:v>
                </c:pt>
                <c:pt idx="27">
                  <c:v>15.691787599567027</c:v>
                </c:pt>
                <c:pt idx="28">
                  <c:v>15.691795355596946</c:v>
                </c:pt>
                <c:pt idx="29">
                  <c:v>15.691803859909669</c:v>
                </c:pt>
                <c:pt idx="30">
                  <c:v>15.691813184697164</c:v>
                </c:pt>
                <c:pt idx="31">
                  <c:v>15.691823409116157</c:v>
                </c:pt>
                <c:pt idx="32">
                  <c:v>15.691834619960005</c:v>
                </c:pt>
                <c:pt idx="33">
                  <c:v>15.691846912395457</c:v>
                </c:pt>
                <c:pt idx="34">
                  <c:v>15.691860390770421</c:v>
                </c:pt>
                <c:pt idx="35">
                  <c:v>15.691875169499674</c:v>
                </c:pt>
                <c:pt idx="36">
                  <c:v>15.691891374036013</c:v>
                </c:pt>
                <c:pt idx="37">
                  <c:v>15.691909141935085</c:v>
                </c:pt>
                <c:pt idx="38">
                  <c:v>15.691928624022919</c:v>
                </c:pt>
                <c:pt idx="39">
                  <c:v>15.691949985676061</c:v>
                </c:pt>
                <c:pt idx="40">
                  <c:v>15.691973408225262</c:v>
                </c:pt>
                <c:pt idx="41">
                  <c:v>15.691999090494404</c:v>
                </c:pt>
                <c:pt idx="42">
                  <c:v>15.692027250488017</c:v>
                </c:pt>
                <c:pt idx="43">
                  <c:v>15.69205812724147</c:v>
                </c:pt>
                <c:pt idx="44">
                  <c:v>15.692091982849576</c:v>
                </c:pt>
                <c:pt idx="45">
                  <c:v>15.692129104690915</c:v>
                </c:pt>
                <c:pt idx="46">
                  <c:v>15.692169807866614</c:v>
                </c:pt>
                <c:pt idx="47">
                  <c:v>15.692214437874286</c:v>
                </c:pt>
                <c:pt idx="48">
                  <c:v>15.692263373539884</c:v>
                </c:pt>
                <c:pt idx="49">
                  <c:v>15.692317030232187</c:v>
                </c:pt>
                <c:pt idx="50">
                  <c:v>15.692375863387264</c:v>
                </c:pt>
                <c:pt idx="51">
                  <c:v>15.692440372372722</c:v>
                </c:pt>
                <c:pt idx="52">
                  <c:v>15.692511104724485</c:v>
                </c:pt>
                <c:pt idx="53">
                  <c:v>15.692588660792069</c:v>
                </c:pt>
                <c:pt idx="54">
                  <c:v>15.692673698831472</c:v>
                </c:pt>
                <c:pt idx="55">
                  <c:v>15.692766940589111</c:v>
                </c:pt>
                <c:pt idx="56">
                  <c:v>15.692869177423802</c:v>
                </c:pt>
                <c:pt idx="57">
                  <c:v>15.692981277018678</c:v>
                </c:pt>
                <c:pt idx="58">
                  <c:v>15.693104190739913</c:v>
                </c:pt>
                <c:pt idx="59">
                  <c:v>15.693238961704237</c:v>
                </c:pt>
                <c:pt idx="60">
                  <c:v>15.693386733623782</c:v>
                </c:pt>
                <c:pt idx="61">
                  <c:v>15.693548760502596</c:v>
                </c:pt>
                <c:pt idx="62">
                  <c:v>15.693726417267071</c:v>
                </c:pt>
                <c:pt idx="63">
                  <c:v>15.693921211419735</c:v>
                </c:pt>
                <c:pt idx="64">
                  <c:v>15.694134795814916</c:v>
                </c:pt>
                <c:pt idx="65">
                  <c:v>15.694368982663862</c:v>
                </c:pt>
                <c:pt idx="66">
                  <c:v>15.694625758887426</c:v>
                </c:pt>
                <c:pt idx="67">
                  <c:v>15.694907302945424</c:v>
                </c:pt>
                <c:pt idx="68">
                  <c:v>15.695216003284401</c:v>
                </c:pt>
                <c:pt idx="69">
                  <c:v>15.695554478558666</c:v>
                </c:pt>
                <c:pt idx="70">
                  <c:v>15.695925599794528</c:v>
                </c:pt>
                <c:pt idx="71">
                  <c:v>15.696332514683544</c:v>
                </c:pt>
                <c:pt idx="72">
                  <c:v>15.696778674208209</c:v>
                </c:pt>
                <c:pt idx="73">
                  <c:v>15.697267861822922</c:v>
                </c:pt>
                <c:pt idx="74">
                  <c:v>15.697804225433876</c:v>
                </c:pt>
                <c:pt idx="75">
                  <c:v>15.698392312444538</c:v>
                </c:pt>
                <c:pt idx="76">
                  <c:v>15.699037108158498</c:v>
                </c:pt>
                <c:pt idx="77">
                  <c:v>15.699744077858533</c:v>
                </c:pt>
                <c:pt idx="78">
                  <c:v>15.700519212910699</c:v>
                </c:pt>
                <c:pt idx="79">
                  <c:v>15.701369081274564</c:v>
                </c:pt>
                <c:pt idx="80">
                  <c:v>15.702300882835944</c:v>
                </c:pt>
                <c:pt idx="81">
                  <c:v>15.703322510016793</c:v>
                </c:pt>
                <c:pt idx="82">
                  <c:v>15.704442614158706</c:v>
                </c:pt>
                <c:pt idx="83">
                  <c:v>15.705670678221432</c:v>
                </c:pt>
                <c:pt idx="84">
                  <c:v>15.707017096386721</c:v>
                </c:pt>
                <c:pt idx="85">
                  <c:v>15.708493261211089</c:v>
                </c:pt>
                <c:pt idx="86">
                  <c:v>15.710111659027621</c:v>
                </c:pt>
                <c:pt idx="87">
                  <c:v>15.711885974359088</c:v>
                </c:pt>
                <c:pt idx="88">
                  <c:v>15.713831204170175</c:v>
                </c:pt>
                <c:pt idx="89">
                  <c:v>15.715963782857941</c:v>
                </c:pt>
                <c:pt idx="90">
                  <c:v>15.718301718954786</c:v>
                </c:pt>
                <c:pt idx="91">
                  <c:v>15.720864744598773</c:v>
                </c:pt>
                <c:pt idx="92">
                  <c:v>15.723674478910903</c:v>
                </c:pt>
                <c:pt idx="93">
                  <c:v>15.726754606507908</c:v>
                </c:pt>
                <c:pt idx="94">
                  <c:v>15.730131072472091</c:v>
                </c:pt>
                <c:pt idx="95">
                  <c:v>15.733832295194967</c:v>
                </c:pt>
                <c:pt idx="96">
                  <c:v>15.737889398608482</c:v>
                </c:pt>
                <c:pt idx="97">
                  <c:v>15.742336465414224</c:v>
                </c:pt>
                <c:pt idx="98">
                  <c:v>15.747210813014391</c:v>
                </c:pt>
                <c:pt idx="99">
                  <c:v>15.752553293935559</c:v>
                </c:pt>
                <c:pt idx="100">
                  <c:v>15.758408622612091</c:v>
                </c:pt>
                <c:pt idx="101">
                  <c:v>15.764825730454053</c:v>
                </c:pt>
                <c:pt idx="102">
                  <c:v>15.771858151156739</c:v>
                </c:pt>
                <c:pt idx="103">
                  <c:v>15.779564438203179</c:v>
                </c:pt>
                <c:pt idx="104">
                  <c:v>15.78800861645268</c:v>
                </c:pt>
                <c:pt idx="105">
                  <c:v>15.797260669577959</c:v>
                </c:pt>
                <c:pt idx="106">
                  <c:v>15.807397064883194</c:v>
                </c:pt>
                <c:pt idx="107">
                  <c:v>15.818501316671949</c:v>
                </c:pt>
                <c:pt idx="108">
                  <c:v>15.830664588789894</c:v>
                </c:pt>
                <c:pt idx="109">
                  <c:v>15.843986336182459</c:v>
                </c:pt>
                <c:pt idx="110">
                  <c:v>15.858574984200507</c:v>
                </c:pt>
                <c:pt idx="111">
                  <c:v>15.87454864285079</c:v>
                </c:pt>
                <c:pt idx="112">
                  <c:v>15.892035851079351</c:v>
                </c:pt>
                <c:pt idx="113">
                  <c:v>15.911176343305813</c:v>
                </c:pt>
                <c:pt idx="114">
                  <c:v>15.932121826540817</c:v>
                </c:pt>
                <c:pt idx="115">
                  <c:v>15.955036751180184</c:v>
                </c:pt>
                <c:pt idx="116">
                  <c:v>15.980099051523833</c:v>
                </c:pt>
                <c:pt idx="117">
                  <c:v>16.007500822608147</c:v>
                </c:pt>
                <c:pt idx="118">
                  <c:v>16.037448887250743</c:v>
                </c:pt>
                <c:pt idx="119">
                  <c:v>16.070165190187396</c:v>
                </c:pt>
                <c:pt idx="120">
                  <c:v>16.1058869333521</c:v>
                </c:pt>
                <c:pt idx="121">
                  <c:v>16.144866335718081</c:v>
                </c:pt>
                <c:pt idx="122">
                  <c:v>16.18736985999065</c:v>
                </c:pt>
                <c:pt idx="123">
                  <c:v>16.233676693205499</c:v>
                </c:pt>
                <c:pt idx="124">
                  <c:v>16.284076194085543</c:v>
                </c:pt>
                <c:pt idx="125">
                  <c:v>16.338863920371438</c:v>
                </c:pt>
                <c:pt idx="126">
                  <c:v>16.398335715701947</c:v>
                </c:pt>
                <c:pt idx="127">
                  <c:v>16.462779156807581</c:v>
                </c:pt>
                <c:pt idx="128">
                  <c:v>16.532461423524577</c:v>
                </c:pt>
                <c:pt idx="129">
                  <c:v>16.607612338837466</c:v>
                </c:pt>
                <c:pt idx="130">
                  <c:v>16.68840091335316</c:v>
                </c:pt>
                <c:pt idx="131">
                  <c:v>16.774903197078228</c:v>
                </c:pt>
                <c:pt idx="132">
                  <c:v>16.867058574631379</c:v>
                </c:pt>
                <c:pt idx="133">
                  <c:v>16.964610838462477</c:v>
                </c:pt>
                <c:pt idx="134">
                  <c:v>17.067029479845623</c:v>
                </c:pt>
                <c:pt idx="135">
                  <c:v>17.173405777739053</c:v>
                </c:pt>
                <c:pt idx="136">
                  <c:v>17.28231773605971</c:v>
                </c:pt>
                <c:pt idx="137">
                  <c:v>17.391658311010055</c:v>
                </c:pt>
                <c:pt idx="138">
                  <c:v>17.498423751212602</c:v>
                </c:pt>
                <c:pt idx="139">
                  <c:v>17.598464995442502</c:v>
                </c:pt>
                <c:pt idx="140">
                  <c:v>17.68621744188744</c:v>
                </c:pt>
                <c:pt idx="141">
                  <c:v>17.754445841725747</c:v>
                </c:pt>
                <c:pt idx="142">
                  <c:v>17.7940730284576</c:v>
                </c:pt>
                <c:pt idx="143">
                  <c:v>17.794199887659367</c:v>
                </c:pt>
                <c:pt idx="144">
                  <c:v>17.742454350144669</c:v>
                </c:pt>
                <c:pt idx="145">
                  <c:v>17.6257984151713</c:v>
                </c:pt>
                <c:pt idx="146">
                  <c:v>17.431834759230021</c:v>
                </c:pt>
                <c:pt idx="147">
                  <c:v>17.150470979921213</c:v>
                </c:pt>
                <c:pt idx="148">
                  <c:v>16.775572112380896</c:v>
                </c:pt>
                <c:pt idx="149">
                  <c:v>16.306096572023186</c:v>
                </c:pt>
                <c:pt idx="150">
                  <c:v>15.746306532292021</c:v>
                </c:pt>
                <c:pt idx="151">
                  <c:v>15.10497223118211</c:v>
                </c:pt>
                <c:pt idx="152">
                  <c:v>14.3938674657151</c:v>
                </c:pt>
                <c:pt idx="153">
                  <c:v>13.626054767966469</c:v>
                </c:pt>
                <c:pt idx="154">
                  <c:v>12.814404781286973</c:v>
                </c:pt>
                <c:pt idx="155">
                  <c:v>11.970584581040063</c:v>
                </c:pt>
                <c:pt idx="156">
                  <c:v>11.104536921926458</c:v>
                </c:pt>
                <c:pt idx="157">
                  <c:v>10.224345316796759</c:v>
                </c:pt>
                <c:pt idx="158">
                  <c:v>9.3363437604707364</c:v>
                </c:pt>
                <c:pt idx="159">
                  <c:v>8.4453490318441062</c:v>
                </c:pt>
                <c:pt idx="160">
                  <c:v>7.5549315007612101</c:v>
                </c:pt>
                <c:pt idx="161">
                  <c:v>6.6676759884090231</c:v>
                </c:pt>
                <c:pt idx="162">
                  <c:v>5.7854099270393613</c:v>
                </c:pt>
                <c:pt idx="163">
                  <c:v>4.9093917801466871</c:v>
                </c:pt>
                <c:pt idx="164">
                  <c:v>4.0404609920785557</c:v>
                </c:pt>
                <c:pt idx="165">
                  <c:v>3.1791543732985099</c:v>
                </c:pt>
                <c:pt idx="166">
                  <c:v>2.3257948584002013</c:v>
                </c:pt>
                <c:pt idx="167">
                  <c:v>1.4805583211540507</c:v>
                </c:pt>
                <c:pt idx="168">
                  <c:v>0.64352335383980885</c:v>
                </c:pt>
                <c:pt idx="169">
                  <c:v>-0.18529198725052581</c:v>
                </c:pt>
                <c:pt idx="170">
                  <c:v>-1.0059033182011681</c:v>
                </c:pt>
                <c:pt idx="171">
                  <c:v>-1.8183405186245123</c:v>
                </c:pt>
                <c:pt idx="172">
                  <c:v>-2.6226339368395051</c:v>
                </c:pt>
                <c:pt idx="173">
                  <c:v>-3.4188048277847178</c:v>
                </c:pt>
                <c:pt idx="174">
                  <c:v>-4.2068589949495045</c:v>
                </c:pt>
                <c:pt idx="175">
                  <c:v>-4.9867828742565354</c:v>
                </c:pt>
                <c:pt idx="176">
                  <c:v>-5.7585414972271574</c:v>
                </c:pt>
                <c:pt idx="177">
                  <c:v>-6.5220779183032898</c:v>
                </c:pt>
                <c:pt idx="178">
                  <c:v>-7.2773137990774721</c:v>
                </c:pt>
                <c:pt idx="179">
                  <c:v>-8.0241509197944278</c:v>
                </c:pt>
                <c:pt idx="180">
                  <c:v>-8.762473443016713</c:v>
                </c:pt>
                <c:pt idx="181">
                  <c:v>-9.4921507912714489</c:v>
                </c:pt>
                <c:pt idx="182">
                  <c:v>-10.213041024011012</c:v>
                </c:pt>
                <c:pt idx="183">
                  <c:v>-10.924994612659225</c:v>
                </c:pt>
                <c:pt idx="184">
                  <c:v>-11.627858518549235</c:v>
                </c:pt>
                <c:pt idx="185">
                  <c:v>-12.32148047946888</c:v>
                </c:pt>
                <c:pt idx="186">
                  <c:v>-13.005713408284937</c:v>
                </c:pt>
                <c:pt idx="187">
                  <c:v>-13.680419803497159</c:v>
                </c:pt>
                <c:pt idx="188">
                  <c:v>-14.34547606815579</c:v>
                </c:pt>
                <c:pt idx="189">
                  <c:v>-15.000776631762932</c:v>
                </c:pt>
                <c:pt idx="190">
                  <c:v>-15.646237770718052</c:v>
                </c:pt>
                <c:pt idx="191">
                  <c:v>-16.28180102743255</c:v>
                </c:pt>
                <c:pt idx="192">
                  <c:v>-16.907436136945222</c:v>
                </c:pt>
                <c:pt idx="193">
                  <c:v>-17.523143382840281</c:v>
                </c:pt>
                <c:pt idx="194">
                  <c:v>-18.12895532122791</c:v>
                </c:pt>
                <c:pt idx="195">
                  <c:v>-18.724937831808099</c:v>
                </c:pt>
                <c:pt idx="196">
                  <c:v>-19.311190477602125</c:v>
                </c:pt>
                <c:pt idx="197">
                  <c:v>-19.887846178544198</c:v>
                </c:pt>
                <c:pt idx="198">
                  <c:v>-20.455070227401016</c:v>
                </c:pt>
                <c:pt idx="199">
                  <c:v>-21.013058698076755</c:v>
                </c:pt>
                <c:pt idx="200">
                  <c:v>-21.562036315024638</c:v>
                </c:pt>
                <c:pt idx="201">
                  <c:v>-22.102253867264775</c:v>
                </c:pt>
                <c:pt idx="202">
                  <c:v>-22.633985260744531</c:v>
                </c:pt>
                <c:pt idx="203">
                  <c:v>-23.157524308193796</c:v>
                </c:pt>
                <c:pt idx="204">
                  <c:v>-23.673181356308937</c:v>
                </c:pt>
                <c:pt idx="205">
                  <c:v>-24.181279846438422</c:v>
                </c:pt>
                <c:pt idx="206">
                  <c:v>-24.682152897604162</c:v>
                </c:pt>
                <c:pt idx="207">
                  <c:v>-25.176139990484344</c:v>
                </c:pt>
                <c:pt idx="208">
                  <c:v>-25.663583818822616</c:v>
                </c:pt>
                <c:pt idx="209">
                  <c:v>-26.144827361488325</c:v>
                </c:pt>
                <c:pt idx="210">
                  <c:v>-26.620211214935257</c:v>
                </c:pt>
                <c:pt idx="211">
                  <c:v>-27.090071212780128</c:v>
                </c:pt>
                <c:pt idx="212">
                  <c:v>-27.554736347199484</c:v>
                </c:pt>
                <c:pt idx="213">
                  <c:v>-28.014526996220393</c:v>
                </c:pt>
                <c:pt idx="214">
                  <c:v>-28.469753451979571</c:v>
                </c:pt>
                <c:pt idx="215">
                  <c:v>-28.920714737755464</c:v>
                </c:pt>
                <c:pt idx="216">
                  <c:v>-29.367697696014208</c:v>
                </c:pt>
                <c:pt idx="217">
                  <c:v>-29.810976325753259</c:v>
                </c:pt>
                <c:pt idx="218">
                  <c:v>-30.250811344909629</c:v>
                </c:pt>
                <c:pt idx="219">
                  <c:v>-30.687449952327452</c:v>
                </c:pt>
                <c:pt idx="220">
                  <c:v>-31.121125763535748</c:v>
                </c:pt>
                <c:pt idx="221">
                  <c:v>-31.55205889515992</c:v>
                </c:pt>
                <c:pt idx="222">
                  <c:v>-31.980456173979835</c:v>
                </c:pt>
                <c:pt idx="223">
                  <c:v>-32.406511448275445</c:v>
                </c:pt>
                <c:pt idx="224">
                  <c:v>-32.830405981009491</c:v>
                </c:pt>
                <c:pt idx="225">
                  <c:v>-33.252308906461835</c:v>
                </c:pt>
                <c:pt idx="226">
                  <c:v>-33.672377734043955</c:v>
                </c:pt>
                <c:pt idx="227">
                  <c:v>-34.09075888510818</c:v>
                </c:pt>
                <c:pt idx="228">
                  <c:v>-34.507588250566322</c:v>
                </c:pt>
                <c:pt idx="229">
                  <c:v>-34.92299175900299</c:v>
                </c:pt>
                <c:pt idx="230">
                  <c:v>-35.337085946687978</c:v>
                </c:pt>
                <c:pt idx="231">
                  <c:v>-35.749978522444238</c:v>
                </c:pt>
                <c:pt idx="232">
                  <c:v>-36.161768921709147</c:v>
                </c:pt>
                <c:pt idx="233">
                  <c:v>-36.572548845338034</c:v>
                </c:pt>
                <c:pt idx="234">
                  <c:v>-36.982402779750714</c:v>
                </c:pt>
                <c:pt idx="235">
                  <c:v>-37.391408495922448</c:v>
                </c:pt>
                <c:pt idx="236">
                  <c:v>-37.799637525480769</c:v>
                </c:pt>
                <c:pt idx="237">
                  <c:v>-38.207155612808386</c:v>
                </c:pt>
                <c:pt idx="238">
                  <c:v>-38.614023142578176</c:v>
                </c:pt>
                <c:pt idx="239">
                  <c:v>-39.020295542573308</c:v>
                </c:pt>
                <c:pt idx="240">
                  <c:v>-39.426023661992701</c:v>
                </c:pt>
                <c:pt idx="241">
                  <c:v>-39.83125412570719</c:v>
                </c:pt>
                <c:pt idx="242">
                  <c:v>-40.236029665145026</c:v>
                </c:pt>
                <c:pt idx="243">
                  <c:v>-40.640389426640027</c:v>
                </c:pt>
                <c:pt idx="244">
                  <c:v>-41.04436925818586</c:v>
                </c:pt>
                <c:pt idx="245">
                  <c:v>-41.44800197561657</c:v>
                </c:pt>
                <c:pt idx="246">
                  <c:v>-41.85131760928212</c:v>
                </c:pt>
                <c:pt idx="247">
                  <c:v>-42.254343632304213</c:v>
                </c:pt>
                <c:pt idx="248">
                  <c:v>-42.657105171506238</c:v>
                </c:pt>
                <c:pt idx="249">
                  <c:v>-43.059625202094281</c:v>
                </c:pt>
                <c:pt idx="250">
                  <c:v>-43.461924727144414</c:v>
                </c:pt>
              </c:numCache>
            </c:numRef>
          </c:yVal>
          <c:smooth val="1"/>
          <c:extLst xmlns:c16r2="http://schemas.microsoft.com/office/drawing/2015/06/chart">
            <c:ext xmlns:c16="http://schemas.microsoft.com/office/drawing/2014/chart" uri="{C3380CC4-5D6E-409C-BE32-E72D297353CC}">
              <c16:uniqueId val="{00000000-57A5-4CE4-8E0F-7BFECC3F4810}"/>
            </c:ext>
          </c:extLst>
        </c:ser>
        <c:dLbls>
          <c:showLegendKey val="0"/>
          <c:showVal val="0"/>
          <c:showCatName val="0"/>
          <c:showSerName val="0"/>
          <c:showPercent val="0"/>
          <c:showBubbleSize val="0"/>
        </c:dLbls>
        <c:axId val="458957952"/>
        <c:axId val="460335744"/>
      </c:scatterChart>
      <c:scatterChart>
        <c:scatterStyle val="lineMarker"/>
        <c:varyColors val="0"/>
        <c:ser>
          <c:idx val="1"/>
          <c:order val="1"/>
          <c:tx>
            <c:v>Phase</c:v>
          </c:tx>
          <c:spPr>
            <a:ln w="25400">
              <a:solidFill>
                <a:srgbClr val="FF00FF"/>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compensation!$P$80:$P$330</c:f>
              <c:numCache>
                <c:formatCode>0.0000</c:formatCode>
                <c:ptCount val="251"/>
                <c:pt idx="0">
                  <c:v>-4.8067036447331117E-2</c:v>
                </c:pt>
                <c:pt idx="1">
                  <c:v>-5.0332371274137644E-2</c:v>
                </c:pt>
                <c:pt idx="2">
                  <c:v>-5.2704468811089443E-2</c:v>
                </c:pt>
                <c:pt idx="3">
                  <c:v>-5.5188360743618152E-2</c:v>
                </c:pt>
                <c:pt idx="4">
                  <c:v>-5.7789315910060784E-2</c:v>
                </c:pt>
                <c:pt idx="5">
                  <c:v>-6.0512851480833824E-2</c:v>
                </c:pt>
                <c:pt idx="6">
                  <c:v>-6.3364744664833314E-2</c:v>
                </c:pt>
                <c:pt idx="7">
                  <c:v>-6.6351044967966677E-2</c:v>
                </c:pt>
                <c:pt idx="8">
                  <c:v>-6.9478087029900451E-2</c:v>
                </c:pt>
                <c:pt idx="9">
                  <c:v>-7.2752504066345994E-2</c:v>
                </c:pt>
                <c:pt idx="10">
                  <c:v>-7.6181241945504102E-2</c:v>
                </c:pt>
                <c:pt idx="11">
                  <c:v>-7.9771573928649378E-2</c:v>
                </c:pt>
                <c:pt idx="12">
                  <c:v>-8.3531116106269745E-2</c:v>
                </c:pt>
                <c:pt idx="13">
                  <c:v>-8.7467843562659783E-2</c:v>
                </c:pt>
                <c:pt idx="14">
                  <c:v>-9.159010730344623E-2</c:v>
                </c:pt>
                <c:pt idx="15">
                  <c:v>-9.5906651982172866E-2</c:v>
                </c:pt>
                <c:pt idx="16">
                  <c:v>-0.10042663446378028</c:v>
                </c:pt>
                <c:pt idx="17">
                  <c:v>-0.10515964326465589</c:v>
                </c:pt>
                <c:pt idx="18">
                  <c:v>-0.11011571891080536</c:v>
                </c:pt>
                <c:pt idx="19">
                  <c:v>-0.11530537525771196</c:v>
                </c:pt>
                <c:pt idx="20">
                  <c:v>-0.1207396218175253</c:v>
                </c:pt>
                <c:pt idx="21">
                  <c:v>-0.12642998714144849</c:v>
                </c:pt>
                <c:pt idx="22">
                  <c:v>-0.13238854330748159</c:v>
                </c:pt>
                <c:pt idx="23">
                  <c:v>-0.13862793156610562</c:v>
                </c:pt>
                <c:pt idx="24">
                  <c:v>-0.14516138919908081</c:v>
                </c:pt>
                <c:pt idx="25">
                  <c:v>-0.1520027776491624</c:v>
                </c:pt>
                <c:pt idx="26">
                  <c:v>-0.15916661198140494</c:v>
                </c:pt>
                <c:pt idx="27">
                  <c:v>-0.16666809173968541</c:v>
                </c:pt>
                <c:pt idx="28">
                  <c:v>-0.17452313326516988</c:v>
                </c:pt>
                <c:pt idx="29">
                  <c:v>-0.18274840354681191</c:v>
                </c:pt>
                <c:pt idx="30">
                  <c:v>-0.19136135567737134</c:v>
                </c:pt>
                <c:pt idx="31">
                  <c:v>-0.20038026599213848</c:v>
                </c:pt>
                <c:pt idx="32">
                  <c:v>-0.20982427297140641</c:v>
                </c:pt>
                <c:pt idx="33">
                  <c:v>-0.21971341799180644</c:v>
                </c:pt>
                <c:pt idx="34">
                  <c:v>-0.23006868801594249</c:v>
                </c:pt>
                <c:pt idx="35">
                  <c:v>-0.24091206031426968</c:v>
                </c:pt>
                <c:pt idx="36">
                  <c:v>-0.25226654931803133</c:v>
                </c:pt>
                <c:pt idx="37">
                  <c:v>-0.26415625570717971</c:v>
                </c:pt>
                <c:pt idx="38">
                  <c:v>-0.27660641784252976</c:v>
                </c:pt>
                <c:pt idx="39">
                  <c:v>-0.28964346565724874</c:v>
                </c:pt>
                <c:pt idx="40">
                  <c:v>-0.30329507712879306</c:v>
                </c:pt>
                <c:pt idx="41">
                  <c:v>-0.31759023745897141</c:v>
                </c:pt>
                <c:pt idx="42">
                  <c:v>-0.33255930109662291</c:v>
                </c:pt>
                <c:pt idx="43">
                  <c:v>-0.34823405674486557</c:v>
                </c:pt>
                <c:pt idx="44">
                  <c:v>-0.36464779550267701</c:v>
                </c:pt>
                <c:pt idx="45">
                  <c:v>-0.38183538229898312</c:v>
                </c:pt>
                <c:pt idx="46">
                  <c:v>-0.39983333078646233</c:v>
                </c:pt>
                <c:pt idx="47">
                  <c:v>-0.41867988187191263</c:v>
                </c:pt>
                <c:pt idx="48">
                  <c:v>-0.4384150860704194</c:v>
                </c:pt>
                <c:pt idx="49">
                  <c:v>-0.45908088988175577</c:v>
                </c:pt>
                <c:pt idx="50">
                  <c:v>-0.48072122639944592</c:v>
                </c:pt>
                <c:pt idx="51">
                  <c:v>-0.50338211037601133</c:v>
                </c:pt>
                <c:pt idx="52">
                  <c:v>-0.52711173798196398</c:v>
                </c:pt>
                <c:pt idx="53">
                  <c:v>-0.55196059151138976</c:v>
                </c:pt>
                <c:pt idx="54">
                  <c:v>-0.57798154930368251</c:v>
                </c:pt>
                <c:pt idx="55">
                  <c:v>-0.60523000116888315</c:v>
                </c:pt>
                <c:pt idx="56">
                  <c:v>-0.63376396962409831</c:v>
                </c:pt>
                <c:pt idx="57">
                  <c:v>-0.66364423726980204</c:v>
                </c:pt>
                <c:pt idx="58">
                  <c:v>-0.69493448065875052</c:v>
                </c:pt>
                <c:pt idx="59">
                  <c:v>-0.72770141103609032</c:v>
                </c:pt>
                <c:pt idx="60">
                  <c:v>-0.76201492235790658</c:v>
                </c:pt>
                <c:pt idx="61">
                  <c:v>-0.79794824702719191</c:v>
                </c:pt>
                <c:pt idx="62">
                  <c:v>-0.83557811982088903</c:v>
                </c:pt>
                <c:pt idx="63">
                  <c:v>-0.87498495052077818</c:v>
                </c:pt>
                <c:pt idx="64">
                  <c:v>-0.91625300580338198</c:v>
                </c:pt>
                <c:pt idx="65">
                  <c:v>-0.95947060099252424</c:v>
                </c:pt>
                <c:pt idx="66">
                  <c:v>-1.004730302330906</c:v>
                </c:pt>
                <c:pt idx="67">
                  <c:v>-1.0521291404870519</c:v>
                </c:pt>
                <c:pt idx="68">
                  <c:v>-1.1017688360801505</c:v>
                </c:pt>
                <c:pt idx="69">
                  <c:v>-1.1537560380805021</c:v>
                </c:pt>
                <c:pt idx="70">
                  <c:v>-1.2082025760266006</c:v>
                </c:pt>
                <c:pt idx="71">
                  <c:v>-1.2652257270946246</c:v>
                </c:pt>
                <c:pt idx="72">
                  <c:v>-1.3249484991623026</c:v>
                </c:pt>
                <c:pt idx="73">
                  <c:v>-1.3874999311288922</c:v>
                </c:pt>
                <c:pt idx="74">
                  <c:v>-1.4530154118889274</c:v>
                </c:pt>
                <c:pt idx="75">
                  <c:v>-1.5216370195105235</c:v>
                </c:pt>
                <c:pt idx="76">
                  <c:v>-1.5935138823432535</c:v>
                </c:pt>
                <c:pt idx="77">
                  <c:v>-1.6688025639779012</c:v>
                </c:pt>
                <c:pt idx="78">
                  <c:v>-1.7476674742047829</c:v>
                </c:pt>
                <c:pt idx="79">
                  <c:v>-1.8302813083727136</c:v>
                </c:pt>
                <c:pt idx="80">
                  <c:v>-1.9168255178416136</c:v>
                </c:pt>
                <c:pt idx="81">
                  <c:v>-2.0074908145534058</c:v>
                </c:pt>
                <c:pt idx="82">
                  <c:v>-2.1024777131246215</c:v>
                </c:pt>
                <c:pt idx="83">
                  <c:v>-2.2019971142977144</c:v>
                </c:pt>
                <c:pt idx="84">
                  <c:v>-2.306270934083082</c:v>
                </c:pt>
                <c:pt idx="85">
                  <c:v>-2.4155327834916522</c:v>
                </c:pt>
                <c:pt idx="86">
                  <c:v>-2.5300287044097285</c:v>
                </c:pt>
                <c:pt idx="87">
                  <c:v>-2.6500179679139046</c:v>
                </c:pt>
                <c:pt idx="88">
                  <c:v>-2.7757739421845655</c:v>
                </c:pt>
                <c:pt idx="89">
                  <c:v>-2.9075850381630044</c:v>
                </c:pt>
                <c:pt idx="90">
                  <c:v>-3.0457557422363322</c:v>
                </c:pt>
                <c:pt idx="91">
                  <c:v>-3.190607746546219</c:v>
                </c:pt>
                <c:pt idx="92">
                  <c:v>-3.3424811890307784</c:v>
                </c:pt>
                <c:pt idx="93">
                  <c:v>-3.5017360170596588</c:v>
                </c:pt>
                <c:pt idx="94">
                  <c:v>-3.6687534905446708</c:v>
                </c:pt>
                <c:pt idx="95">
                  <c:v>-3.8439378427527653</c:v>
                </c:pt>
                <c:pt idx="96">
                  <c:v>-4.027718119764482</c:v>
                </c:pt>
                <c:pt idx="97">
                  <c:v>-4.2205502226758194</c:v>
                </c:pt>
                <c:pt idx="98">
                  <c:v>-4.4229191803078551</c:v>
                </c:pt>
                <c:pt idx="99">
                  <c:v>-4.6353416844562751</c:v>
                </c:pt>
                <c:pt idx="100">
                  <c:v>-4.8583689246871016</c:v>
                </c:pt>
                <c:pt idx="101">
                  <c:v>-5.0925897654909722</c:v>
                </c:pt>
                <c:pt idx="102">
                  <c:v>-5.3386343153950513</c:v>
                </c:pt>
                <c:pt idx="103">
                  <c:v>-5.5971779455752406</c:v>
                </c:pt>
                <c:pt idx="104">
                  <c:v>-5.8689458248266693</c:v>
                </c:pt>
                <c:pt idx="105">
                  <c:v>-6.1547180486849244</c:v>
                </c:pt>
                <c:pt idx="106">
                  <c:v>-6.4553354533528591</c:v>
                </c:pt>
                <c:pt idx="107">
                  <c:v>-6.7717062202326446</c:v>
                </c:pt>
                <c:pt idx="108">
                  <c:v>-7.1048133947289669</c:v>
                </c:pt>
                <c:pt idx="109">
                  <c:v>-7.4557234640889298</c:v>
                </c:pt>
                <c:pt idx="110">
                  <c:v>-7.8255961640002578</c:v>
                </c:pt>
                <c:pt idx="111">
                  <c:v>-8.2156957132162187</c:v>
                </c:pt>
                <c:pt idx="112">
                  <c:v>-8.6274037104933488</c:v>
                </c:pt>
                <c:pt idx="113">
                  <c:v>-9.062233969654109</c:v>
                </c:pt>
                <c:pt idx="114">
                  <c:v>-9.5218496178445964</c:v>
                </c:pt>
                <c:pt idx="115">
                  <c:v>-10.008082840469555</c:v>
                </c:pt>
                <c:pt idx="116">
                  <c:v>-10.522957725485718</c:v>
                </c:pt>
                <c:pt idx="117">
                  <c:v>-11.068716741557727</c:v>
                </c:pt>
                <c:pt idx="118">
                  <c:v>-11.647851481016279</c:v>
                </c:pt>
                <c:pt idx="119">
                  <c:v>-12.263138411656975</c:v>
                </c:pt>
                <c:pt idx="120">
                  <c:v>-12.917680513069051</c:v>
                </c:pt>
                <c:pt idx="121">
                  <c:v>-13.614955824749256</c:v>
                </c:pt>
                <c:pt idx="122">
                  <c:v>-14.35887410488842</c:v>
                </c:pt>
                <c:pt idx="123">
                  <c:v>-15.153842988237614</c:v>
                </c:pt>
                <c:pt idx="124">
                  <c:v>-16.004845232468412</c:v>
                </c:pt>
                <c:pt idx="125">
                  <c:v>-16.917528841212757</c:v>
                </c:pt>
                <c:pt idx="126">
                  <c:v>-17.898312022469767</c:v>
                </c:pt>
                <c:pt idx="127">
                  <c:v>-18.954505036966136</c:v>
                </c:pt>
                <c:pt idx="128">
                  <c:v>-20.094450933025069</c:v>
                </c:pt>
                <c:pt idx="129">
                  <c:v>-21.32768682056059</c:v>
                </c:pt>
                <c:pt idx="130">
                  <c:v>-22.665126492089659</c:v>
                </c:pt>
                <c:pt idx="131">
                  <c:v>-24.119263510206093</c:v>
                </c:pt>
                <c:pt idx="132">
                  <c:v>-25.704390812853653</c:v>
                </c:pt>
                <c:pt idx="133">
                  <c:v>-27.436827623079001</c:v>
                </c:pt>
                <c:pt idx="134">
                  <c:v>-29.335135784568067</c:v>
                </c:pt>
                <c:pt idx="135">
                  <c:v>-31.42029388884438</c:v>
                </c:pt>
                <c:pt idx="136">
                  <c:v>-33.715776529042195</c:v>
                </c:pt>
                <c:pt idx="137">
                  <c:v>-36.247455290916704</c:v>
                </c:pt>
                <c:pt idx="138">
                  <c:v>-39.043195950048087</c:v>
                </c:pt>
                <c:pt idx="139">
                  <c:v>-42.13197403120023</c:v>
                </c:pt>
                <c:pt idx="140">
                  <c:v>-45.542277215383457</c:v>
                </c:pt>
                <c:pt idx="141">
                  <c:v>-49.299532064931697</c:v>
                </c:pt>
                <c:pt idx="142">
                  <c:v>-53.422332632969386</c:v>
                </c:pt>
                <c:pt idx="143">
                  <c:v>-57.917435833493329</c:v>
                </c:pt>
                <c:pt idx="144">
                  <c:v>-62.773905060025399</c:v>
                </c:pt>
                <c:pt idx="145">
                  <c:v>-67.957444591586736</c:v>
                </c:pt>
                <c:pt idx="146">
                  <c:v>-73.406695302941515</c:v>
                </c:pt>
                <c:pt idx="147">
                  <c:v>-79.033599712077091</c:v>
                </c:pt>
                <c:pt idx="148">
                  <c:v>-84.729310776277643</c:v>
                </c:pt>
                <c:pt idx="149">
                  <c:v>-90.375325694145758</c:v>
                </c:pt>
                <c:pt idx="150">
                  <c:v>-95.857291024321242</c:v>
                </c:pt>
                <c:pt idx="151">
                  <c:v>-101.0776337509004</c:v>
                </c:pt>
                <c:pt idx="152">
                  <c:v>-105.96375172601199</c:v>
                </c:pt>
                <c:pt idx="153">
                  <c:v>-110.47052165842017</c:v>
                </c:pt>
                <c:pt idx="154">
                  <c:v>-114.57799605776796</c:v>
                </c:pt>
                <c:pt idx="155">
                  <c:v>-118.28628455178648</c:v>
                </c:pt>
                <c:pt idx="156">
                  <c:v>-121.60960764231561</c:v>
                </c:pt>
                <c:pt idx="157">
                  <c:v>-124.57087128708714</c:v>
                </c:pt>
                <c:pt idx="158">
                  <c:v>-127.19738587809908</c:v>
                </c:pt>
                <c:pt idx="159">
                  <c:v>-129.51783183822141</c:v>
                </c:pt>
                <c:pt idx="160">
                  <c:v>-131.56030247120211</c:v>
                </c:pt>
                <c:pt idx="161">
                  <c:v>-133.35116549908633</c:v>
                </c:pt>
                <c:pt idx="162">
                  <c:v>-134.91449445530839</c:v>
                </c:pt>
                <c:pt idx="163">
                  <c:v>-136.27186968196497</c:v>
                </c:pt>
                <c:pt idx="164">
                  <c:v>-137.44240325507968</c:v>
                </c:pt>
                <c:pt idx="165">
                  <c:v>-138.44288885620074</c:v>
                </c:pt>
                <c:pt idx="166">
                  <c:v>-139.28801283421879</c:v>
                </c:pt>
                <c:pt idx="167">
                  <c:v>-139.99058736195127</c:v>
                </c:pt>
                <c:pt idx="168">
                  <c:v>-140.5617829931015</c:v>
                </c:pt>
                <c:pt idx="169">
                  <c:v>-141.01134840319625</c:v>
                </c:pt>
                <c:pt idx="170">
                  <c:v>-141.34781155090172</c:v>
                </c:pt>
                <c:pt idx="171">
                  <c:v>-141.57866031421528</c:v>
                </c:pt>
                <c:pt idx="172">
                  <c:v>-141.71050279937765</c:v>
                </c:pt>
                <c:pt idx="173">
                  <c:v>-141.74920862656487</c:v>
                </c:pt>
                <c:pt idx="174">
                  <c:v>-141.70003297748269</c:v>
                </c:pt>
                <c:pt idx="175">
                  <c:v>-141.56772530658716</c:v>
                </c:pt>
                <c:pt idx="176">
                  <c:v>-141.35662453167967</c:v>
                </c:pt>
                <c:pt idx="177">
                  <c:v>-141.07074233005849</c:v>
                </c:pt>
                <c:pt idx="178">
                  <c:v>-140.71383593271457</c:v>
                </c:pt>
                <c:pt idx="179">
                  <c:v>-140.2894715665183</c:v>
                </c:pt>
                <c:pt idx="180">
                  <c:v>-139.80107946352112</c:v>
                </c:pt>
                <c:pt idx="181">
                  <c:v>-139.25200114933466</c:v>
                </c:pt>
                <c:pt idx="182">
                  <c:v>-138.64552954594032</c:v>
                </c:pt>
                <c:pt idx="183">
                  <c:v>-137.98494228215398</c:v>
                </c:pt>
                <c:pt idx="184">
                  <c:v>-137.2735284994142</c:v>
                </c:pt>
                <c:pt idx="185">
                  <c:v>-136.51460937237323</c:v>
                </c:pt>
                <c:pt idx="186">
                  <c:v>-135.71155253246067</c:v>
                </c:pt>
                <c:pt idx="187">
                  <c:v>-134.86778058642693</c:v>
                </c:pt>
                <c:pt idx="188">
                  <c:v>-133.98677395764415</c:v>
                </c:pt>
                <c:pt idx="189">
                  <c:v>-133.07206834085281</c:v>
                </c:pt>
                <c:pt idx="190">
                  <c:v>-132.12724714473762</c:v>
                </c:pt>
                <c:pt idx="191">
                  <c:v>-131.1559293934462</c:v>
                </c:pt>
                <c:pt idx="192">
                  <c:v>-130.16175365910851</c:v>
                </c:pt>
                <c:pt idx="193">
                  <c:v>-129.14835869334459</c:v>
                </c:pt>
                <c:pt idx="194">
                  <c:v>-128.11936150758521</c:v>
                </c:pt>
                <c:pt idx="195">
                  <c:v>-127.07833371175631</c:v>
                </c:pt>
                <c:pt idx="196">
                  <c:v>-126.02877695213509</c:v>
                </c:pt>
                <c:pt idx="197">
                  <c:v>-124.97409828795888</c:v>
                </c:pt>
                <c:pt idx="198">
                  <c:v>-123.91758631134516</c:v>
                </c:pt>
                <c:pt idx="199">
                  <c:v>-122.86238874764504</c:v>
                </c:pt>
                <c:pt idx="200">
                  <c:v>-121.81149217759129</c:v>
                </c:pt>
                <c:pt idx="201">
                  <c:v>-120.76770440455034</c:v>
                </c:pt>
                <c:pt idx="202">
                  <c:v>-119.73363985745057</c:v>
                </c:pt>
                <c:pt idx="203">
                  <c:v>-118.71170828067925</c:v>
                </c:pt>
                <c:pt idx="204">
                  <c:v>-117.7041068245353</c:v>
                </c:pt>
                <c:pt idx="205">
                  <c:v>-116.71281552089164</c:v>
                </c:pt>
                <c:pt idx="206">
                  <c:v>-115.73959601451917</c:v>
                </c:pt>
                <c:pt idx="207">
                  <c:v>-114.7859933252541</c:v>
                </c:pt>
                <c:pt idx="208">
                  <c:v>-113.85334034232945</c:v>
                </c:pt>
                <c:pt idx="209">
                  <c:v>-112.94276470047424</c:v>
                </c:pt>
                <c:pt idx="210">
                  <c:v>-112.05519765704989</c:v>
                </c:pt>
                <c:pt idx="211">
                  <c:v>-111.19138457864713</c:v>
                </c:pt>
                <c:pt idx="212">
                  <c:v>-110.35189665141131</c:v>
                </c:pt>
                <c:pt idx="213">
                  <c:v>-109.53714344873829</c:v>
                </c:pt>
                <c:pt idx="214">
                  <c:v>-108.74738601949343</c:v>
                </c:pt>
                <c:pt idx="215">
                  <c:v>-107.98275019633289</c:v>
                </c:pt>
                <c:pt idx="216">
                  <c:v>-107.2432398640907</c:v>
                </c:pt>
                <c:pt idx="217">
                  <c:v>-106.52874997002986</c:v>
                </c:pt>
                <c:pt idx="218">
                  <c:v>-105.8390790990008</c:v>
                </c:pt>
                <c:pt idx="219">
                  <c:v>-105.17394147565327</c:v>
                </c:pt>
                <c:pt idx="220">
                  <c:v>-104.5329782917252</c:v>
                </c:pt>
                <c:pt idx="221">
                  <c:v>-103.91576828841113</c:v>
                </c:pt>
                <c:pt idx="222">
                  <c:v>-103.32183755154163</c:v>
                </c:pt>
                <c:pt idx="223">
                  <c:v>-102.75066850072939</c:v>
                </c:pt>
                <c:pt idx="224">
                  <c:v>-102.20170807290187</c:v>
                </c:pt>
                <c:pt idx="225">
                  <c:v>-101.67437511600589</c:v>
                </c:pt>
                <c:pt idx="226">
                  <c:v>-101.16806702052739</c:v>
                </c:pt>
                <c:pt idx="227">
                  <c:v>-100.68216562523359</c:v>
                </c:pt>
                <c:pt idx="228">
                  <c:v>-100.21604243964255</c:v>
                </c:pt>
                <c:pt idx="229">
                  <c:v>-99.769063229595076</c:v>
                </c:pt>
                <c:pt idx="230">
                  <c:v>-99.340592014335883</c:v>
                </c:pt>
                <c:pt idx="231">
                  <c:v>-98.929994524073791</c:v>
                </c:pt>
                <c:pt idx="232">
                  <c:v>-98.536641166406881</c:v>
                </c:pt>
                <c:pt idx="233">
                  <c:v>-98.159909548546636</c:v>
                </c:pt>
                <c:pt idx="234">
                  <c:v>-97.799186600192513</c:v>
                </c:pt>
                <c:pt idx="235">
                  <c:v>-97.453870339392836</c:v>
                </c:pt>
                <c:pt idx="236">
                  <c:v>-97.123371320937395</c:v>
                </c:pt>
                <c:pt idx="237">
                  <c:v>-96.807113803894765</c:v>
                </c:pt>
                <c:pt idx="238">
                  <c:v>-96.504536671928065</c:v>
                </c:pt>
                <c:pt idx="239">
                  <c:v>-96.21509413707733</c:v>
                </c:pt>
                <c:pt idx="240">
                  <c:v>-95.938256254837796</c:v>
                </c:pt>
                <c:pt idx="241">
                  <c:v>-95.673509275637102</c:v>
                </c:pt>
                <c:pt idx="242">
                  <c:v>-95.420355855236608</c:v>
                </c:pt>
                <c:pt idx="243">
                  <c:v>-95.178315144185561</c:v>
                </c:pt>
                <c:pt idx="244">
                  <c:v>-94.946922774232874</c:v>
                </c:pt>
                <c:pt idx="245">
                  <c:v>-94.725730757561905</c:v>
                </c:pt>
                <c:pt idx="246">
                  <c:v>-94.514307312855465</c:v>
                </c:pt>
                <c:pt idx="247">
                  <c:v>-94.31223663051118</c:v>
                </c:pt>
                <c:pt idx="248">
                  <c:v>-94.119118587804763</c:v>
                </c:pt>
                <c:pt idx="249">
                  <c:v>-93.93456842343295</c:v>
                </c:pt>
                <c:pt idx="250">
                  <c:v>-93.758216379644708</c:v>
                </c:pt>
              </c:numCache>
            </c:numRef>
          </c:yVal>
          <c:smooth val="0"/>
          <c:extLst xmlns:c16r2="http://schemas.microsoft.com/office/drawing/2015/06/chart">
            <c:ext xmlns:c16="http://schemas.microsoft.com/office/drawing/2014/chart" uri="{C3380CC4-5D6E-409C-BE32-E72D297353CC}">
              <c16:uniqueId val="{00000001-57A5-4CE4-8E0F-7BFECC3F4810}"/>
            </c:ext>
          </c:extLst>
        </c:ser>
        <c:dLbls>
          <c:showLegendKey val="0"/>
          <c:showVal val="0"/>
          <c:showCatName val="0"/>
          <c:showSerName val="0"/>
          <c:showPercent val="0"/>
          <c:showBubbleSize val="0"/>
        </c:dLbls>
        <c:axId val="460366592"/>
        <c:axId val="460368512"/>
      </c:scatterChart>
      <c:valAx>
        <c:axId val="458957952"/>
        <c:scaling>
          <c:logBase val="10"/>
          <c:orientation val="minMax"/>
          <c:max val="1000000"/>
          <c:min val="1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625" b="1" i="0" u="none" strike="noStrike" baseline="0">
                    <a:solidFill>
                      <a:srgbClr val="000000"/>
                    </a:solidFill>
                    <a:latin typeface="Arial"/>
                    <a:ea typeface="Arial"/>
                    <a:cs typeface="Arial"/>
                  </a:defRPr>
                </a:pPr>
                <a:r>
                  <a:rPr lang="en-US"/>
                  <a:t>Frequency - Hz</a:t>
                </a:r>
              </a:p>
            </c:rich>
          </c:tx>
          <c:layout>
            <c:manualLayout>
              <c:xMode val="edge"/>
              <c:yMode val="edge"/>
              <c:x val="0.40106947212511301"/>
              <c:y val="0.8422712671864922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n-US"/>
          </a:p>
        </c:txPr>
        <c:crossAx val="460335744"/>
        <c:crossesAt val="-100"/>
        <c:crossBetween val="midCat"/>
      </c:valAx>
      <c:valAx>
        <c:axId val="460335744"/>
        <c:scaling>
          <c:orientation val="minMax"/>
        </c:scaling>
        <c:delete val="0"/>
        <c:axPos val="l"/>
        <c:majorGridlines>
          <c:spPr>
            <a:ln w="3175">
              <a:solidFill>
                <a:srgbClr val="000000"/>
              </a:solidFill>
              <a:prstDash val="solid"/>
            </a:ln>
          </c:spPr>
        </c:majorGridlines>
        <c:title>
          <c:tx>
            <c:rich>
              <a:bodyPr/>
              <a:lstStyle/>
              <a:p>
                <a:pPr>
                  <a:defRPr sz="625" b="1" i="0" u="none" strike="noStrike" baseline="0">
                    <a:solidFill>
                      <a:srgbClr val="000000"/>
                    </a:solidFill>
                    <a:latin typeface="Arial"/>
                    <a:ea typeface="Arial"/>
                    <a:cs typeface="Arial"/>
                  </a:defRPr>
                </a:pPr>
                <a:r>
                  <a:rPr lang="en-US"/>
                  <a:t>Gain - dB</a:t>
                </a:r>
              </a:p>
            </c:rich>
          </c:tx>
          <c:layout>
            <c:manualLayout>
              <c:xMode val="edge"/>
              <c:yMode val="edge"/>
              <c:x val="4.2780790886616349E-2"/>
              <c:y val="0.394321832033769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n-US"/>
          </a:p>
        </c:txPr>
        <c:crossAx val="458957952"/>
        <c:crosses val="autoZero"/>
        <c:crossBetween val="midCat"/>
        <c:majorUnit val="10"/>
        <c:minorUnit val="2"/>
      </c:valAx>
      <c:valAx>
        <c:axId val="460366592"/>
        <c:scaling>
          <c:logBase val="10"/>
          <c:orientation val="minMax"/>
        </c:scaling>
        <c:delete val="1"/>
        <c:axPos val="b"/>
        <c:numFmt formatCode="General" sourceLinked="1"/>
        <c:majorTickMark val="out"/>
        <c:minorTickMark val="none"/>
        <c:tickLblPos val="nextTo"/>
        <c:crossAx val="460368512"/>
        <c:crosses val="autoZero"/>
        <c:crossBetween val="midCat"/>
      </c:valAx>
      <c:valAx>
        <c:axId val="460368512"/>
        <c:scaling>
          <c:orientation val="minMax"/>
        </c:scaling>
        <c:delete val="0"/>
        <c:axPos val="r"/>
        <c:title>
          <c:tx>
            <c:rich>
              <a:bodyPr/>
              <a:lstStyle/>
              <a:p>
                <a:pPr>
                  <a:defRPr sz="625" b="0" i="0" u="none" strike="noStrike" baseline="0">
                    <a:solidFill>
                      <a:srgbClr val="000000"/>
                    </a:solidFill>
                    <a:latin typeface="Arial"/>
                    <a:ea typeface="Arial"/>
                    <a:cs typeface="Arial"/>
                  </a:defRPr>
                </a:pPr>
                <a:r>
                  <a:rPr lang="en-US" sz="625" b="1" i="0" u="none" strike="noStrike" baseline="0">
                    <a:solidFill>
                      <a:srgbClr val="000000"/>
                    </a:solidFill>
                    <a:latin typeface="Arial"/>
                    <a:cs typeface="Arial"/>
                  </a:rPr>
                  <a:t>Phase - °</a:t>
                </a:r>
              </a:p>
            </c:rich>
          </c:tx>
          <c:layout>
            <c:manualLayout>
              <c:xMode val="edge"/>
              <c:yMode val="edge"/>
              <c:x val="0.91978605112120326"/>
              <c:y val="0.4037853388764360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n-US"/>
          </a:p>
        </c:txPr>
        <c:crossAx val="460366592"/>
        <c:crosses val="max"/>
        <c:crossBetween val="midCat"/>
        <c:majorUnit val="45"/>
      </c:valAx>
      <c:spPr>
        <a:solidFill>
          <a:srgbClr val="C0C0C0"/>
        </a:solidFill>
        <a:ln w="12700">
          <a:solidFill>
            <a:srgbClr val="808080"/>
          </a:solidFill>
          <a:prstDash val="solid"/>
        </a:ln>
      </c:spPr>
    </c:plotArea>
    <c:legend>
      <c:legendPos val="r"/>
      <c:layout>
        <c:manualLayout>
          <c:xMode val="edge"/>
          <c:yMode val="edge"/>
          <c:x val="0.36097375961782319"/>
          <c:y val="0.93063084566973009"/>
          <c:w val="0.28610512799338578"/>
          <c:h val="5.0474893324459938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US"/>
              <a:t>Error Amp Bode</a:t>
            </a:r>
          </a:p>
        </c:rich>
      </c:tx>
      <c:layout>
        <c:manualLayout>
          <c:xMode val="edge"/>
          <c:yMode val="edge"/>
          <c:x val="0.39455878200410138"/>
          <c:y val="3.4700270130467267E-2"/>
        </c:manualLayout>
      </c:layout>
      <c:overlay val="0"/>
      <c:spPr>
        <a:noFill/>
        <a:ln w="25400">
          <a:noFill/>
        </a:ln>
      </c:spPr>
    </c:title>
    <c:autoTitleDeleted val="0"/>
    <c:plotArea>
      <c:layout>
        <c:manualLayout>
          <c:layoutTarget val="inner"/>
          <c:xMode val="edge"/>
          <c:yMode val="edge"/>
          <c:x val="0.12018167202928365"/>
          <c:y val="0.17981072555205047"/>
          <c:w val="0.75283613422117313"/>
          <c:h val="0.58675078864353314"/>
        </c:manualLayout>
      </c:layout>
      <c:scatterChart>
        <c:scatterStyle val="smoothMarker"/>
        <c:varyColors val="0"/>
        <c:ser>
          <c:idx val="0"/>
          <c:order val="0"/>
          <c:tx>
            <c:v>Gain</c:v>
          </c:tx>
          <c:spPr>
            <a:ln w="25400">
              <a:solidFill>
                <a:srgbClr val="000080"/>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compensation!$U$80:$U$330</c:f>
              <c:numCache>
                <c:formatCode>0.00</c:formatCode>
                <c:ptCount val="251"/>
                <c:pt idx="0">
                  <c:v>56.360983683616098</c:v>
                </c:pt>
                <c:pt idx="1">
                  <c:v>56.349842786159726</c:v>
                </c:pt>
                <c:pt idx="2">
                  <c:v>56.337659795268316</c:v>
                </c:pt>
                <c:pt idx="3">
                  <c:v>56.324340576944365</c:v>
                </c:pt>
                <c:pt idx="4">
                  <c:v>56.309783143125429</c:v>
                </c:pt>
                <c:pt idx="5">
                  <c:v>56.293877121815342</c:v>
                </c:pt>
                <c:pt idx="6">
                  <c:v>56.276503216136639</c:v>
                </c:pt>
                <c:pt idx="7">
                  <c:v>56.257532657598937</c:v>
                </c:pt>
                <c:pt idx="8">
                  <c:v>56.236826660207022</c:v>
                </c:pt>
                <c:pt idx="9">
                  <c:v>56.214235883525006</c:v>
                </c:pt>
                <c:pt idx="10">
                  <c:v>56.189599914484333</c:v>
                </c:pt>
                <c:pt idx="11">
                  <c:v>56.162746779551938</c:v>
                </c:pt>
                <c:pt idx="12">
                  <c:v>56.133492500846913</c:v>
                </c:pt>
                <c:pt idx="13">
                  <c:v>56.101640711874275</c:v>
                </c:pt>
                <c:pt idx="14">
                  <c:v>56.06698235068145</c:v>
                </c:pt>
                <c:pt idx="15">
                  <c:v>56.029295450371535</c:v>
                </c:pt>
                <c:pt idx="16">
                  <c:v>55.988345048924366</c:v>
                </c:pt>
                <c:pt idx="17">
                  <c:v>55.943883242080148</c:v>
                </c:pt>
                <c:pt idx="18">
                  <c:v>55.89564940447022</c:v>
                </c:pt>
                <c:pt idx="19">
                  <c:v>55.843370605079016</c:v>
                </c:pt>
                <c:pt idx="20">
                  <c:v>55.786762243294149</c:v>
                </c:pt>
                <c:pt idx="21">
                  <c:v>55.725528931037474</c:v>
                </c:pt>
                <c:pt idx="22">
                  <c:v>55.659365644558932</c:v>
                </c:pt>
                <c:pt idx="23">
                  <c:v>55.587959166207497</c:v>
                </c:pt>
                <c:pt idx="24">
                  <c:v>55.510989831685464</c:v>
                </c:pt>
                <c:pt idx="25">
                  <c:v>55.428133591818991</c:v>
                </c:pt>
                <c:pt idx="26">
                  <c:v>55.339064389675443</c:v>
                </c:pt>
                <c:pt idx="27">
                  <c:v>55.24345684397489</c:v>
                </c:pt>
                <c:pt idx="28">
                  <c:v>55.140989218355003</c:v>
                </c:pt>
                <c:pt idx="29">
                  <c:v>55.031346643472155</c:v>
                </c:pt>
                <c:pt idx="30">
                  <c:v>54.914224545645915</c:v>
                </c:pt>
                <c:pt idx="31">
                  <c:v>54.789332222410692</c:v>
                </c:pt>
                <c:pt idx="32">
                  <c:v>54.656396492708261</c:v>
                </c:pt>
                <c:pt idx="33">
                  <c:v>54.515165338401381</c:v>
                </c:pt>
                <c:pt idx="34">
                  <c:v>54.365411445225426</c:v>
                </c:pt>
                <c:pt idx="35">
                  <c:v>54.206935546074924</c:v>
                </c:pt>
                <c:pt idx="36">
                  <c:v>54.039569468383775</c:v>
                </c:pt>
                <c:pt idx="37">
                  <c:v>53.863178790813528</c:v>
                </c:pt>
                <c:pt idx="38">
                  <c:v>53.677665022728235</c:v>
                </c:pt>
                <c:pt idx="39">
                  <c:v>53.482967232875481</c:v>
                </c:pt>
                <c:pt idx="40">
                  <c:v>53.279063070807631</c:v>
                </c:pt>
                <c:pt idx="41">
                  <c:v>53.065969145001674</c:v>
                </c:pt>
                <c:pt idx="42">
                  <c:v>52.843740744226338</c:v>
                </c:pt>
                <c:pt idx="43">
                  <c:v>52.612470912112165</c:v>
                </c:pt>
                <c:pt idx="44">
                  <c:v>52.372288907680158</c:v>
                </c:pt>
                <c:pt idx="45">
                  <c:v>52.123358105418745</c:v>
                </c:pt>
                <c:pt idx="46">
                  <c:v>51.865873406170131</c:v>
                </c:pt>
                <c:pt idx="47">
                  <c:v>51.600058243700879</c:v>
                </c:pt>
                <c:pt idx="48">
                  <c:v>51.326161280815832</c:v>
                </c:pt>
                <c:pt idx="49">
                  <c:v>51.044452893048636</c:v>
                </c:pt>
                <c:pt idx="50">
                  <c:v>50.755221537489945</c:v>
                </c:pt>
                <c:pt idx="51">
                  <c:v>50.458770099665308</c:v>
                </c:pt>
                <c:pt idx="52">
                  <c:v>50.155412303264896</c:v>
                </c:pt>
                <c:pt idx="53">
                  <c:v>49.845469256788284</c:v>
                </c:pt>
                <c:pt idx="54">
                  <c:v>49.529266198720457</c:v>
                </c:pt>
                <c:pt idx="55">
                  <c:v>49.207129489567329</c:v>
                </c:pt>
                <c:pt idx="56">
                  <c:v>48.879383885749441</c:v>
                </c:pt>
                <c:pt idx="57">
                  <c:v>48.546350117636983</c:v>
                </c:pt>
                <c:pt idx="58">
                  <c:v>48.208342782421177</c:v>
                </c:pt>
                <c:pt idx="59">
                  <c:v>47.86566855239144</c:v>
                </c:pt>
                <c:pt idx="60">
                  <c:v>47.518624690731563</c:v>
                </c:pt>
                <c:pt idx="61">
                  <c:v>47.167497860215235</c:v>
                </c:pt>
                <c:pt idx="62">
                  <c:v>46.812563205132776</c:v>
                </c:pt>
                <c:pt idx="63">
                  <c:v>46.454083683295181</c:v>
                </c:pt>
                <c:pt idx="64">
                  <c:v>46.092309622860498</c:v>
                </c:pt>
                <c:pt idx="65">
                  <c:v>45.727478477806933</c:v>
                </c:pt>
                <c:pt idx="66">
                  <c:v>45.359814755928866</c:v>
                </c:pt>
                <c:pt idx="67">
                  <c:v>44.989530094032745</c:v>
                </c:pt>
                <c:pt idx="68">
                  <c:v>44.616823456380523</c:v>
                </c:pt>
                <c:pt idx="69">
                  <c:v>44.241881434185032</c:v>
                </c:pt>
                <c:pt idx="70">
                  <c:v>43.864878625961481</c:v>
                </c:pt>
                <c:pt idx="71">
                  <c:v>43.485978080662953</c:v>
                </c:pt>
                <c:pt idx="72">
                  <c:v>43.105331787669606</c:v>
                </c:pt>
                <c:pt idx="73">
                  <c:v>42.723081199805726</c:v>
                </c:pt>
                <c:pt idx="74">
                  <c:v>42.339357777549665</c:v>
                </c:pt>
                <c:pt idx="75">
                  <c:v>41.954283544463976</c:v>
                </c:pt>
                <c:pt idx="76">
                  <c:v>41.5679716455776</c:v>
                </c:pt>
                <c:pt idx="77">
                  <c:v>41.180526901973487</c:v>
                </c:pt>
                <c:pt idx="78">
                  <c:v>40.792046356207209</c:v>
                </c:pt>
                <c:pt idx="79">
                  <c:v>40.402619804362878</c:v>
                </c:pt>
                <c:pt idx="80">
                  <c:v>40.012330311592336</c:v>
                </c:pt>
                <c:pt idx="81">
                  <c:v>39.621254708866473</c:v>
                </c:pt>
                <c:pt idx="82">
                  <c:v>39.229464069417652</c:v>
                </c:pt>
                <c:pt idx="83">
                  <c:v>38.837024163984097</c:v>
                </c:pt>
                <c:pt idx="84">
                  <c:v>38.443995894486797</c:v>
                </c:pt>
                <c:pt idx="85">
                  <c:v>38.050435706201611</c:v>
                </c:pt>
                <c:pt idx="86">
                  <c:v>37.656395978838042</c:v>
                </c:pt>
                <c:pt idx="87">
                  <c:v>37.261925397212025</c:v>
                </c:pt>
                <c:pt idx="88">
                  <c:v>36.867069302428781</c:v>
                </c:pt>
                <c:pt idx="89">
                  <c:v>36.471870024654208</c:v>
                </c:pt>
                <c:pt idx="90">
                  <c:v>36.07636719869825</c:v>
                </c:pt>
                <c:pt idx="91">
                  <c:v>35.680598063721355</c:v>
                </c:pt>
                <c:pt idx="92">
                  <c:v>35.284597748458296</c:v>
                </c:pt>
                <c:pt idx="93">
                  <c:v>34.888399543403239</c:v>
                </c:pt>
                <c:pt idx="94">
                  <c:v>34.492035161435034</c:v>
                </c:pt>
                <c:pt idx="95">
                  <c:v>34.095534988394625</c:v>
                </c:pt>
                <c:pt idx="96">
                  <c:v>33.698928325138517</c:v>
                </c:pt>
                <c:pt idx="97">
                  <c:v>33.302243622607826</c:v>
                </c:pt>
                <c:pt idx="98">
                  <c:v>32.905508711464506</c:v>
                </c:pt>
                <c:pt idx="99">
                  <c:v>32.508751027853279</c:v>
                </c:pt>
                <c:pt idx="100">
                  <c:v>32.11199783686164</c:v>
                </c:pt>
                <c:pt idx="101">
                  <c:v>31.715276455262856</c:v>
                </c:pt>
                <c:pt idx="102">
                  <c:v>31.318614475143832</c:v>
                </c:pt>
                <c:pt idx="103">
                  <c:v>30.922039990042034</c:v>
                </c:pt>
                <c:pt idx="104">
                  <c:v>30.525581825242256</c:v>
                </c:pt>
                <c:pt idx="105">
                  <c:v>30.129269773914981</c:v>
                </c:pt>
                <c:pt idx="106">
                  <c:v>29.733134840815655</c:v>
                </c:pt>
                <c:pt idx="107">
                  <c:v>29.33720949530905</c:v>
                </c:pt>
                <c:pt idx="108">
                  <c:v>28.94152793552637</c:v>
                </c:pt>
                <c:pt idx="109">
                  <c:v>28.546126365519665</c:v>
                </c:pt>
                <c:pt idx="110">
                  <c:v>28.151043287330712</c:v>
                </c:pt>
                <c:pt idx="111">
                  <c:v>27.756319809951911</c:v>
                </c:pt>
                <c:pt idx="112">
                  <c:v>27.36199997721496</c:v>
                </c:pt>
                <c:pt idx="113">
                  <c:v>26.968131116703123</c:v>
                </c:pt>
                <c:pt idx="114">
                  <c:v>26.574764211835241</c:v>
                </c:pt>
                <c:pt idx="115">
                  <c:v>26.181954299320836</c:v>
                </c:pt>
                <c:pt idx="116">
                  <c:v>25.789760894221132</c:v>
                </c:pt>
                <c:pt idx="117">
                  <c:v>25.398248444875591</c:v>
                </c:pt>
                <c:pt idx="118">
                  <c:v>25.007486819954153</c:v>
                </c:pt>
                <c:pt idx="119">
                  <c:v>24.617551829871523</c:v>
                </c:pt>
                <c:pt idx="120">
                  <c:v>24.228525784739915</c:v>
                </c:pt>
                <c:pt idx="121">
                  <c:v>23.840498090931128</c:v>
                </c:pt>
                <c:pt idx="122">
                  <c:v>23.453565888159467</c:v>
                </c:pt>
                <c:pt idx="123">
                  <c:v>23.067834728768748</c:v>
                </c:pt>
                <c:pt idx="124">
                  <c:v>22.683419300596235</c:v>
                </c:pt>
                <c:pt idx="125">
                  <c:v>22.300444194374212</c:v>
                </c:pt>
                <c:pt idx="126">
                  <c:v>21.919044716104651</c:v>
                </c:pt>
                <c:pt idx="127">
                  <c:v>21.539367744168977</c:v>
                </c:pt>
                <c:pt idx="128">
                  <c:v>21.16157263011036</c:v>
                </c:pt>
                <c:pt idx="129">
                  <c:v>20.785832141001283</c:v>
                </c:pt>
                <c:pt idx="130">
                  <c:v>20.412333440079195</c:v>
                </c:pt>
                <c:pt idx="131">
                  <c:v>20.041279100857125</c:v>
                </c:pt>
                <c:pt idx="132">
                  <c:v>19.672888148168703</c:v>
                </c:pt>
                <c:pt idx="133">
                  <c:v>19.307397117565927</c:v>
                </c:pt>
                <c:pt idx="134">
                  <c:v>18.945061122127345</c:v>
                </c:pt>
                <c:pt idx="135">
                  <c:v>18.5861549130335</c:v>
                </c:pt>
                <c:pt idx="136">
                  <c:v>18.23097391722229</c:v>
                </c:pt>
                <c:pt idx="137">
                  <c:v>17.879835232047562</c:v>
                </c:pt>
                <c:pt idx="138">
                  <c:v>17.533078553149657</c:v>
                </c:pt>
                <c:pt idx="139">
                  <c:v>17.191067007752299</c:v>
                </c:pt>
                <c:pt idx="140">
                  <c:v>16.854187861387775</c:v>
                </c:pt>
                <c:pt idx="141">
                  <c:v>16.522853061731148</c:v>
                </c:pt>
                <c:pt idx="142">
                  <c:v>16.197499578933392</c:v>
                </c:pt>
                <c:pt idx="143">
                  <c:v>15.878589497767422</c:v>
                </c:pt>
                <c:pt idx="144">
                  <c:v>15.566609813288617</c:v>
                </c:pt>
                <c:pt idx="145">
                  <c:v>15.262071878837158</c:v>
                </c:pt>
                <c:pt idx="146">
                  <c:v>14.965510453427278</c:v>
                </c:pt>
                <c:pt idx="147">
                  <c:v>14.677482295258702</c:v>
                </c:pt>
                <c:pt idx="148">
                  <c:v>14.398564249661307</c:v>
                </c:pt>
                <c:pt idx="149">
                  <c:v>14.129350783682398</c:v>
                </c:pt>
                <c:pt idx="150">
                  <c:v>13.870450926152674</c:v>
                </c:pt>
                <c:pt idx="151">
                  <c:v>13.622484581783297</c:v>
                </c:pt>
                <c:pt idx="152">
                  <c:v>13.386078200901078</c:v>
                </c:pt>
                <c:pt idx="153">
                  <c:v>13.161859802937975</c:v>
                </c:pt>
                <c:pt idx="154">
                  <c:v>12.950453371630493</c:v>
                </c:pt>
                <c:pt idx="155">
                  <c:v>12.752472662707088</c:v>
                </c:pt>
                <c:pt idx="156">
                  <c:v>12.568514489971745</c:v>
                </c:pt>
                <c:pt idx="157">
                  <c:v>12.399151582150107</c:v>
                </c:pt>
                <c:pt idx="158">
                  <c:v>12.244925129357869</c:v>
                </c:pt>
                <c:pt idx="159">
                  <c:v>12.106337163011045</c:v>
                </c:pt>
                <c:pt idx="160">
                  <c:v>11.983842934680716</c:v>
                </c:pt>
                <c:pt idx="161">
                  <c:v>11.877843475991426</c:v>
                </c:pt>
                <c:pt idx="162">
                  <c:v>11.788678531456792</c:v>
                </c:pt>
                <c:pt idx="163">
                  <c:v>11.716620057706743</c:v>
                </c:pt>
                <c:pt idx="164">
                  <c:v>11.661866474882034</c:v>
                </c:pt>
                <c:pt idx="165">
                  <c:v>11.624537838681386</c:v>
                </c:pt>
                <c:pt idx="166">
                  <c:v>11.604672074943503</c:v>
                </c:pt>
                <c:pt idx="167">
                  <c:v>11.602222383812892</c:v>
                </c:pt>
                <c:pt idx="168">
                  <c:v>11.617055879218135</c:v>
                </c:pt>
                <c:pt idx="169">
                  <c:v>11.648953483946013</c:v>
                </c:pt>
                <c:pt idx="170">
                  <c:v>11.697611053734407</c:v>
                </c:pt>
                <c:pt idx="171">
                  <c:v>11.76264165840127</c:v>
                </c:pt>
                <c:pt idx="172">
                  <c:v>11.843578906809372</c:v>
                </c:pt>
                <c:pt idx="173">
                  <c:v>11.939881167819635</c:v>
                </c:pt>
                <c:pt idx="174">
                  <c:v>12.050936513105102</c:v>
                </c:pt>
                <c:pt idx="175">
                  <c:v>12.176068190917706</c:v>
                </c:pt>
                <c:pt idx="176">
                  <c:v>12.314540432992263</c:v>
                </c:pt>
                <c:pt idx="177">
                  <c:v>12.465564399433955</c:v>
                </c:pt>
                <c:pt idx="178">
                  <c:v>12.628304077755157</c:v>
                </c:pt>
                <c:pt idx="179">
                  <c:v>12.80188197086332</c:v>
                </c:pt>
                <c:pt idx="180">
                  <c:v>12.985384433138691</c:v>
                </c:pt>
                <c:pt idx="181">
                  <c:v>13.177866542081009</c:v>
                </c:pt>
                <c:pt idx="182">
                  <c:v>13.378356423726682</c:v>
                </c:pt>
                <c:pt idx="183">
                  <c:v>13.585858981676422</c:v>
                </c:pt>
                <c:pt idx="184">
                  <c:v>13.799359010979542</c:v>
                </c:pt>
                <c:pt idx="185">
                  <c:v>14.017823708386935</c:v>
                </c:pt>
                <c:pt idx="186">
                  <c:v>14.240204619053237</c:v>
                </c:pt>
                <c:pt idx="187">
                  <c:v>14.46543908628507</c:v>
                </c:pt>
                <c:pt idx="188">
                  <c:v>14.692451295262819</c:v>
                </c:pt>
                <c:pt idx="189">
                  <c:v>14.920153023748314</c:v>
                </c:pt>
                <c:pt idx="190">
                  <c:v>15.147444232579382</c:v>
                </c:pt>
                <c:pt idx="191">
                  <c:v>15.373213646088992</c:v>
                </c:pt>
                <c:pt idx="192">
                  <c:v>15.59633948711204</c:v>
                </c:pt>
                <c:pt idx="193">
                  <c:v>15.815690542319295</c:v>
                </c:pt>
                <c:pt idx="194">
                  <c:v>16.03012774025132</c:v>
                </c:pt>
                <c:pt idx="195">
                  <c:v>16.238506425268465</c:v>
                </c:pt>
                <c:pt idx="196">
                  <c:v>16.439679503978631</c:v>
                </c:pt>
                <c:pt idx="197">
                  <c:v>16.632501624646025</c:v>
                </c:pt>
                <c:pt idx="198">
                  <c:v>16.815834522634322</c:v>
                </c:pt>
                <c:pt idx="199">
                  <c:v>16.988553624408929</c:v>
                </c:pt>
                <c:pt idx="200">
                  <c:v>17.149555947921936</c:v>
                </c:pt>
                <c:pt idx="201">
                  <c:v>17.297769268371852</c:v>
                </c:pt>
                <c:pt idx="202">
                  <c:v>17.432162436915025</c:v>
                </c:pt>
                <c:pt idx="203">
                  <c:v>17.551756649448922</c:v>
                </c:pt>
                <c:pt idx="204">
                  <c:v>17.655637368689653</c:v>
                </c:pt>
                <c:pt idx="205">
                  <c:v>17.742966513115846</c:v>
                </c:pt>
                <c:pt idx="206">
                  <c:v>17.812994450072772</c:v>
                </c:pt>
                <c:pt idx="207">
                  <c:v>17.865071277132433</c:v>
                </c:pt>
                <c:pt idx="208">
                  <c:v>17.898656854611112</c:v>
                </c:pt>
                <c:pt idx="209">
                  <c:v>17.913329069588318</c:v>
                </c:pt>
                <c:pt idx="210">
                  <c:v>17.90878987079256</c:v>
                </c:pt>
                <c:pt idx="211">
                  <c:v>17.884868712529837</c:v>
                </c:pt>
                <c:pt idx="212">
                  <c:v>17.841523177625383</c:v>
                </c:pt>
                <c:pt idx="213">
                  <c:v>17.778836702856346</c:v>
                </c:pt>
                <c:pt idx="214">
                  <c:v>17.697013491247333</c:v>
                </c:pt>
                <c:pt idx="215">
                  <c:v>17.596370848500293</c:v>
                </c:pt>
                <c:pt idx="216">
                  <c:v>17.477329311540178</c:v>
                </c:pt>
                <c:pt idx="217">
                  <c:v>17.340401034639832</c:v>
                </c:pt>
                <c:pt idx="218">
                  <c:v>17.186176956325902</c:v>
                </c:pt>
                <c:pt idx="219">
                  <c:v>17.015313286777051</c:v>
                </c:pt>
                <c:pt idx="220">
                  <c:v>16.828517833907384</c:v>
                </c:pt>
                <c:pt idx="221">
                  <c:v>16.62653663360107</c:v>
                </c:pt>
                <c:pt idx="222">
                  <c:v>16.410141274657764</c:v>
                </c:pt>
                <c:pt idx="223">
                  <c:v>16.18011722162899</c:v>
                </c:pt>
                <c:pt idx="224">
                  <c:v>15.937253347958327</c:v>
                </c:pt>
                <c:pt idx="225">
                  <c:v>15.682332805230818</c:v>
                </c:pt>
                <c:pt idx="226">
                  <c:v>15.416125277367875</c:v>
                </c:pt>
                <c:pt idx="227">
                  <c:v>15.139380604630905</c:v>
                </c:pt>
                <c:pt idx="228">
                  <c:v>14.852823712709542</c:v>
                </c:pt>
                <c:pt idx="229">
                  <c:v>14.557150746808388</c:v>
                </c:pt>
                <c:pt idx="230">
                  <c:v>14.253026288241111</c:v>
                </c:pt>
                <c:pt idx="231">
                  <c:v>13.941081519672148</c:v>
                </c:pt>
                <c:pt idx="232">
                  <c:v>13.621913202581549</c:v>
                </c:pt>
                <c:pt idx="233">
                  <c:v>13.296083334585539</c:v>
                </c:pt>
                <c:pt idx="234">
                  <c:v>12.964119362870729</c:v>
                </c:pt>
                <c:pt idx="235">
                  <c:v>12.626514841492762</c:v>
                </c:pt>
                <c:pt idx="236">
                  <c:v>12.283730433253995</c:v>
                </c:pt>
                <c:pt idx="237">
                  <c:v>11.936195170251157</c:v>
                </c:pt>
                <c:pt idx="238">
                  <c:v>11.584307900236521</c:v>
                </c:pt>
                <c:pt idx="239">
                  <c:v>11.22843885814933</c:v>
                </c:pt>
                <c:pt idx="240">
                  <c:v>10.868931313264296</c:v>
                </c:pt>
                <c:pt idx="241">
                  <c:v>10.506103252225632</c:v>
                </c:pt>
                <c:pt idx="242">
                  <c:v>10.140249066753436</c:v>
                </c:pt>
                <c:pt idx="243">
                  <c:v>9.7716412220750559</c:v>
                </c:pt>
                <c:pt idx="244">
                  <c:v>9.4005318882321056</c:v>
                </c:pt>
                <c:pt idx="245">
                  <c:v>9.0271545214590727</c:v>
                </c:pt>
                <c:pt idx="246">
                  <c:v>8.6517253869546735</c:v>
                </c:pt>
                <c:pt idx="247">
                  <c:v>8.2744450176922797</c:v>
                </c:pt>
                <c:pt idx="248">
                  <c:v>7.8954996065627139</c:v>
                </c:pt>
                <c:pt idx="249">
                  <c:v>7.5150623312232767</c:v>
                </c:pt>
                <c:pt idx="250">
                  <c:v>7.1332946126361954</c:v>
                </c:pt>
              </c:numCache>
            </c:numRef>
          </c:yVal>
          <c:smooth val="1"/>
          <c:extLst xmlns:c16r2="http://schemas.microsoft.com/office/drawing/2015/06/chart">
            <c:ext xmlns:c16="http://schemas.microsoft.com/office/drawing/2014/chart" uri="{C3380CC4-5D6E-409C-BE32-E72D297353CC}">
              <c16:uniqueId val="{00000000-6B2E-40FA-B0D7-A74546B2E6C0}"/>
            </c:ext>
          </c:extLst>
        </c:ser>
        <c:ser>
          <c:idx val="2"/>
          <c:order val="2"/>
          <c:tx>
            <c:strRef>
              <c:f>compensation!$W$78</c:f>
              <c:strCache>
                <c:ptCount val="1"/>
                <c:pt idx="0">
                  <c:v>GBWP limit</c:v>
                </c:pt>
              </c:strCache>
            </c:strRef>
          </c:tx>
          <c:spPr>
            <a:ln w="25400">
              <a:solidFill>
                <a:srgbClr val="FF0000"/>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compensation!$W$80:$W$330</c:f>
              <c:numCache>
                <c:formatCode>General</c:formatCode>
                <c:ptCount val="251"/>
                <c:pt idx="0">
                  <c:v>59.999998069798394</c:v>
                </c:pt>
                <c:pt idx="1">
                  <c:v>59.999997883576064</c:v>
                </c:pt>
                <c:pt idx="2">
                  <c:v>59.999997679387356</c:v>
                </c:pt>
                <c:pt idx="3">
                  <c:v>59.9999974554989</c:v>
                </c:pt>
                <c:pt idx="4">
                  <c:v>59.999997210010108</c:v>
                </c:pt>
                <c:pt idx="5">
                  <c:v>59.999996940837008</c:v>
                </c:pt>
                <c:pt idx="6">
                  <c:v>59.999996645694587</c:v>
                </c:pt>
                <c:pt idx="7">
                  <c:v>59.999996322077386</c:v>
                </c:pt>
                <c:pt idx="8">
                  <c:v>59.999995967238213</c:v>
                </c:pt>
                <c:pt idx="9">
                  <c:v>59.999995578164835</c:v>
                </c:pt>
                <c:pt idx="10">
                  <c:v>59.999995151554387</c:v>
                </c:pt>
                <c:pt idx="11">
                  <c:v>59.999994683785395</c:v>
                </c:pt>
                <c:pt idx="12">
                  <c:v>59.999994170886936</c:v>
                </c:pt>
                <c:pt idx="13">
                  <c:v>59.999993608505036</c:v>
                </c:pt>
                <c:pt idx="14">
                  <c:v>59.999992991865632</c:v>
                </c:pt>
                <c:pt idx="15">
                  <c:v>59.999992315734062</c:v>
                </c:pt>
                <c:pt idx="16">
                  <c:v>59.999991574370675</c:v>
                </c:pt>
                <c:pt idx="17">
                  <c:v>59.99999076148201</c:v>
                </c:pt>
                <c:pt idx="18">
                  <c:v>59.999989870167511</c:v>
                </c:pt>
                <c:pt idx="19">
                  <c:v>59.999988892860792</c:v>
                </c:pt>
                <c:pt idx="20">
                  <c:v>59.999987821265535</c:v>
                </c:pt>
                <c:pt idx="21">
                  <c:v>59.999986646285009</c:v>
                </c:pt>
                <c:pt idx="22">
                  <c:v>59.999985357944851</c:v>
                </c:pt>
                <c:pt idx="23">
                  <c:v>59.999983945308408</c:v>
                </c:pt>
                <c:pt idx="24">
                  <c:v>59.999982396383857</c:v>
                </c:pt>
                <c:pt idx="25">
                  <c:v>59.999980698022497</c:v>
                </c:pt>
                <c:pt idx="26">
                  <c:v>59.999978835807056</c:v>
                </c:pt>
                <c:pt idx="27">
                  <c:v>59.999976793929349</c:v>
                </c:pt>
                <c:pt idx="28">
                  <c:v>59.99997455505607</c:v>
                </c:pt>
                <c:pt idx="29">
                  <c:v>59.999972100181665</c:v>
                </c:pt>
                <c:pt idx="30">
                  <c:v>59.999969408467003</c:v>
                </c:pt>
                <c:pt idx="31">
                  <c:v>59.999966457062484</c:v>
                </c:pt>
                <c:pt idx="32">
                  <c:v>59.999963220914083</c:v>
                </c:pt>
                <c:pt idx="33">
                  <c:v>59.999959672550688</c:v>
                </c:pt>
                <c:pt idx="34">
                  <c:v>59.999955781850929</c:v>
                </c:pt>
                <c:pt idx="35">
                  <c:v>59.999951515787487</c:v>
                </c:pt>
                <c:pt idx="36">
                  <c:v>59.999946838146755</c:v>
                </c:pt>
                <c:pt idx="37">
                  <c:v>59.99994170922146</c:v>
                </c:pt>
                <c:pt idx="38">
                  <c:v>59.999936085473692</c:v>
                </c:pt>
                <c:pt idx="39">
                  <c:v>59.999929919165226</c:v>
                </c:pt>
                <c:pt idx="40">
                  <c:v>59.999923157952523</c:v>
                </c:pt>
                <c:pt idx="41">
                  <c:v>59.999915744442305</c:v>
                </c:pt>
                <c:pt idx="42">
                  <c:v>59.999907615704544</c:v>
                </c:pt>
                <c:pt idx="43">
                  <c:v>59.999898702738307</c:v>
                </c:pt>
                <c:pt idx="44">
                  <c:v>59.99988892988619</c:v>
                </c:pt>
                <c:pt idx="45">
                  <c:v>59.999878214192215</c:v>
                </c:pt>
                <c:pt idx="46">
                  <c:v>59.999866464697803</c:v>
                </c:pt>
                <c:pt idx="47">
                  <c:v>59.999853581669889</c:v>
                </c:pt>
                <c:pt idx="48">
                  <c:v>59.999839455754618</c:v>
                </c:pt>
                <c:pt idx="49">
                  <c:v>59.999823967049331</c:v>
                </c:pt>
                <c:pt idx="50">
                  <c:v>59.999806984085176</c:v>
                </c:pt>
                <c:pt idx="51">
                  <c:v>59.999788362711598</c:v>
                </c:pt>
                <c:pt idx="52">
                  <c:v>59.999767944873277</c:v>
                </c:pt>
                <c:pt idx="53">
                  <c:v>59.999745557269073</c:v>
                </c:pt>
                <c:pt idx="54">
                  <c:v>59.999721009881839</c:v>
                </c:pt>
                <c:pt idx="55">
                  <c:v>59.999694094366419</c:v>
                </c:pt>
                <c:pt idx="56">
                  <c:v>59.999664582282371</c:v>
                </c:pt>
                <c:pt idx="57">
                  <c:v>59.999632223156183</c:v>
                </c:pt>
                <c:pt idx="58">
                  <c:v>59.999596742356985</c:v>
                </c:pt>
                <c:pt idx="59">
                  <c:v>59.999557838767437</c:v>
                </c:pt>
                <c:pt idx="60">
                  <c:v>59.999515182230297</c:v>
                </c:pt>
                <c:pt idx="61">
                  <c:v>59.99946841074896</c:v>
                </c:pt>
                <c:pt idx="62">
                  <c:v>59.999417127418411</c:v>
                </c:pt>
                <c:pt idx="63">
                  <c:v>59.999360897060647</c:v>
                </c:pt>
                <c:pt idx="64">
                  <c:v>59.999299242536175</c:v>
                </c:pt>
                <c:pt idx="65">
                  <c:v>59.999231640700394</c:v>
                </c:pt>
                <c:pt idx="66">
                  <c:v>59.999157517970893</c:v>
                </c:pt>
                <c:pt idx="67">
                  <c:v>59.999076245468153</c:v>
                </c:pt>
                <c:pt idx="68">
                  <c:v>59.998987133689006</c:v>
                </c:pt>
                <c:pt idx="69">
                  <c:v>59.998889426667681</c:v>
                </c:pt>
                <c:pt idx="70">
                  <c:v>59.998782295575666</c:v>
                </c:pt>
                <c:pt idx="71">
                  <c:v>59.998664831706478</c:v>
                </c:pt>
                <c:pt idx="72">
                  <c:v>59.998536038786568</c:v>
                </c:pt>
                <c:pt idx="73">
                  <c:v>59.99839482454788</c:v>
                </c:pt>
                <c:pt idx="74">
                  <c:v>59.998239991491509</c:v>
                </c:pt>
                <c:pt idx="75">
                  <c:v>59.998070226765485</c:v>
                </c:pt>
                <c:pt idx="76">
                  <c:v>59.997884091071867</c:v>
                </c:pt>
                <c:pt idx="77">
                  <c:v>59.997680006511125</c:v>
                </c:pt>
                <c:pt idx="78">
                  <c:v>59.997456243262405</c:v>
                </c:pt>
                <c:pt idx="79">
                  <c:v>59.997210904989451</c:v>
                </c:pt>
                <c:pt idx="80">
                  <c:v>59.996941912851113</c:v>
                </c:pt>
                <c:pt idx="81">
                  <c:v>59.996646987984548</c:v>
                </c:pt>
                <c:pt idx="82">
                  <c:v>59.996323632316731</c:v>
                </c:pt>
                <c:pt idx="83">
                  <c:v>59.995969107546841</c:v>
                </c:pt>
                <c:pt idx="84">
                  <c:v>59.995580412127232</c:v>
                </c:pt>
                <c:pt idx="85">
                  <c:v>59.995154256055478</c:v>
                </c:pt>
                <c:pt idx="86">
                  <c:v>59.994687033272704</c:v>
                </c:pt>
                <c:pt idx="87">
                  <c:v>59.994174791444657</c:v>
                </c:pt>
                <c:pt idx="88">
                  <c:v>59.993613198882656</c:v>
                </c:pt>
                <c:pt idx="89">
                  <c:v>59.992997508339172</c:v>
                </c:pt>
                <c:pt idx="90">
                  <c:v>59.992322517390235</c:v>
                </c:pt>
                <c:pt idx="91">
                  <c:v>59.991582525090692</c:v>
                </c:pt>
                <c:pt idx="92">
                  <c:v>59.990771284562719</c:v>
                </c:pt>
                <c:pt idx="93">
                  <c:v>59.989881951147353</c:v>
                </c:pt>
                <c:pt idx="94">
                  <c:v>59.988907025719115</c:v>
                </c:pt>
                <c:pt idx="95">
                  <c:v>59.987838292729798</c:v>
                </c:pt>
                <c:pt idx="96">
                  <c:v>59.986666752512505</c:v>
                </c:pt>
                <c:pt idx="97">
                  <c:v>59.985382547339761</c:v>
                </c:pt>
                <c:pt idx="98">
                  <c:v>59.983974880689608</c:v>
                </c:pt>
                <c:pt idx="99">
                  <c:v>59.982431929132787</c:v>
                </c:pt>
                <c:pt idx="100">
                  <c:v>59.980740746210166</c:v>
                </c:pt>
                <c:pt idx="101">
                  <c:v>59.978887157625429</c:v>
                </c:pt>
                <c:pt idx="102">
                  <c:v>59.976855647031371</c:v>
                </c:pt>
                <c:pt idx="103">
                  <c:v>59.974629231641643</c:v>
                </c:pt>
                <c:pt idx="104">
                  <c:v>59.972189326852799</c:v>
                </c:pt>
                <c:pt idx="105">
                  <c:v>59.969515599014912</c:v>
                </c:pt>
                <c:pt idx="106">
                  <c:v>59.966585805444275</c:v>
                </c:pt>
                <c:pt idx="107">
                  <c:v>59.963375620730133</c:v>
                </c:pt>
                <c:pt idx="108">
                  <c:v>59.959858448349273</c:v>
                </c:pt>
                <c:pt idx="109">
                  <c:v>59.956005216571938</c:v>
                </c:pt>
                <c:pt idx="110">
                  <c:v>59.951784157619457</c:v>
                </c:pt>
                <c:pt idx="111">
                  <c:v>59.947160569023339</c:v>
                </c:pt>
                <c:pt idx="112">
                  <c:v>59.942096556139589</c:v>
                </c:pt>
                <c:pt idx="113">
                  <c:v>59.936550754794744</c:v>
                </c:pt>
                <c:pt idx="114">
                  <c:v>59.930478033086594</c:v>
                </c:pt>
                <c:pt idx="115">
                  <c:v>59.923829171438776</c:v>
                </c:pt>
                <c:pt idx="116">
                  <c:v>59.916550520119287</c:v>
                </c:pt>
                <c:pt idx="117">
                  <c:v>59.908583633588314</c:v>
                </c:pt>
                <c:pt idx="118">
                  <c:v>59.899864881246756</c:v>
                </c:pt>
                <c:pt idx="119">
                  <c:v>59.890325034424585</c:v>
                </c:pt>
                <c:pt idx="120">
                  <c:v>59.879888829787795</c:v>
                </c:pt>
                <c:pt idx="121">
                  <c:v>59.868474509766344</c:v>
                </c:pt>
                <c:pt idx="122">
                  <c:v>59.855993341124744</c:v>
                </c:pt>
                <c:pt idx="123">
                  <c:v>59.842349113427183</c:v>
                </c:pt>
                <c:pt idx="124">
                  <c:v>59.82743761990217</c:v>
                </c:pt>
                <c:pt idx="125">
                  <c:v>59.811146124101803</c:v>
                </c:pt>
                <c:pt idx="126">
                  <c:v>59.793352816792556</c:v>
                </c:pt>
                <c:pt idx="127">
                  <c:v>59.773926268715208</c:v>
                </c:pt>
                <c:pt idx="128">
                  <c:v>59.752724886223653</c:v>
                </c:pt>
                <c:pt idx="129">
                  <c:v>59.729596378355396</c:v>
                </c:pt>
                <c:pt idx="130">
                  <c:v>59.704377245600256</c:v>
                </c:pt>
                <c:pt idx="131">
                  <c:v>59.676892302504484</c:v>
                </c:pt>
                <c:pt idx="132">
                  <c:v>59.646954248252371</c:v>
                </c:pt>
                <c:pt idx="133">
                  <c:v>59.614363301469069</c:v>
                </c:pt>
                <c:pt idx="134">
                  <c:v>59.578906917630803</c:v>
                </c:pt>
                <c:pt idx="135">
                  <c:v>59.54035960957598</c:v>
                </c:pt>
                <c:pt idx="136">
                  <c:v>59.498482893585056</c:v>
                </c:pt>
                <c:pt idx="137">
                  <c:v>59.453025385211674</c:v>
                </c:pt>
                <c:pt idx="138">
                  <c:v>59.403723070353813</c:v>
                </c:pt>
                <c:pt idx="139">
                  <c:v>59.350299777775632</c:v>
                </c:pt>
                <c:pt idx="140">
                  <c:v>59.292467879229982</c:v>
                </c:pt>
                <c:pt idx="141">
                  <c:v>59.229929242279731</c:v>
                </c:pt>
                <c:pt idx="142">
                  <c:v>59.162376458656205</c:v>
                </c:pt>
                <c:pt idx="143">
                  <c:v>59.089494367324988</c:v>
                </c:pt>
                <c:pt idx="144">
                  <c:v>59.010961886181946</c:v>
                </c:pt>
                <c:pt idx="145">
                  <c:v>58.926454159360915</c:v>
                </c:pt>
                <c:pt idx="146">
                  <c:v>58.835645018469179</c:v>
                </c:pt>
                <c:pt idx="147">
                  <c:v>58.738209745752485</c:v>
                </c:pt>
                <c:pt idx="148">
                  <c:v>58.633828115442952</c:v>
                </c:pt>
                <c:pt idx="149">
                  <c:v>58.522187676724101</c:v>
                </c:pt>
                <c:pt idx="150">
                  <c:v>58.402987228382216</c:v>
                </c:pt>
                <c:pt idx="151">
                  <c:v>58.27594042198335</c:v>
                </c:pt>
                <c:pt idx="152">
                  <c:v>58.140779418121291</c:v>
                </c:pt>
                <c:pt idx="153">
                  <c:v>57.997258509815111</c:v>
                </c:pt>
                <c:pt idx="154">
                  <c:v>57.845157619393106</c:v>
                </c:pt>
                <c:pt idx="155">
                  <c:v>57.684285571021235</c:v>
                </c:pt>
                <c:pt idx="156">
                  <c:v>57.514483041099453</c:v>
                </c:pt>
                <c:pt idx="157">
                  <c:v>57.335625093497889</c:v>
                </c:pt>
                <c:pt idx="158">
                  <c:v>57.14762321616459</c:v>
                </c:pt>
                <c:pt idx="159">
                  <c:v>56.95042678977137</c:v>
                </c:pt>
                <c:pt idx="160">
                  <c:v>56.74402393717245</c:v>
                </c:pt>
                <c:pt idx="161">
                  <c:v>56.528441723585566</c:v>
                </c:pt>
                <c:pt idx="162">
                  <c:v>56.303745700353609</c:v>
                </c:pt>
                <c:pt idx="163">
                  <c:v>56.070038808527265</c:v>
                </c:pt>
                <c:pt idx="164">
                  <c:v>55.827459680907907</c:v>
                </c:pt>
                <c:pt idx="165">
                  <c:v>55.576180401270996</c:v>
                </c:pt>
                <c:pt idx="166">
                  <c:v>55.316403796142737</c:v>
                </c:pt>
                <c:pt idx="167">
                  <c:v>55.048360346898555</c:v>
                </c:pt>
                <c:pt idx="168">
                  <c:v>54.772304817641071</c:v>
                </c:pt>
                <c:pt idx="169">
                  <c:v>54.488512697196015</c:v>
                </c:pt>
                <c:pt idx="170">
                  <c:v>54.197276551907407</c:v>
                </c:pt>
                <c:pt idx="171">
                  <c:v>53.89890238024654</c:v>
                </c:pt>
                <c:pt idx="172">
                  <c:v>53.593706051339524</c:v>
                </c:pt>
                <c:pt idx="173">
                  <c:v>53.28200989822782</c:v>
                </c:pt>
                <c:pt idx="174">
                  <c:v>52.964139523914675</c:v>
                </c:pt>
                <c:pt idx="175">
                  <c:v>52.6404208648772</c:v>
                </c:pt>
                <c:pt idx="176">
                  <c:v>52.311177543499817</c:v>
                </c:pt>
                <c:pt idx="177">
                  <c:v>51.976728528430172</c:v>
                </c:pt>
                <c:pt idx="178">
                  <c:v>51.637386110635617</c:v>
                </c:pt>
                <c:pt idx="179">
                  <c:v>51.293454193251797</c:v>
                </c:pt>
                <c:pt idx="180">
                  <c:v>50.945226885319705</c:v>
                </c:pt>
                <c:pt idx="181">
                  <c:v>50.592987383236647</c:v>
                </c:pt>
                <c:pt idx="182">
                  <c:v>50.237007119135562</c:v>
                </c:pt>
                <c:pt idx="183">
                  <c:v>49.877545152308691</c:v>
                </c:pt>
                <c:pt idx="184">
                  <c:v>49.514847778031154</c:v>
                </c:pt>
                <c:pt idx="185">
                  <c:v>49.149148327499859</c:v>
                </c:pt>
                <c:pt idx="186">
                  <c:v>48.78066713287182</c:v>
                </c:pt>
                <c:pt idx="187">
                  <c:v>48.409611632360352</c:v>
                </c:pt>
                <c:pt idx="188">
                  <c:v>48.036176591829474</c:v>
                </c:pt>
                <c:pt idx="189">
                  <c:v>47.660544421161759</c:v>
                </c:pt>
                <c:pt idx="190">
                  <c:v>47.282885565712192</c:v>
                </c:pt>
                <c:pt idx="191">
                  <c:v>46.903358955292589</c:v>
                </c:pt>
                <c:pt idx="192">
                  <c:v>46.522112495263492</c:v>
                </c:pt>
                <c:pt idx="193">
                  <c:v>46.139283586380415</c:v>
                </c:pt>
                <c:pt idx="194">
                  <c:v>45.754999661995427</c:v>
                </c:pt>
                <c:pt idx="195">
                  <c:v>45.369378733025641</c:v>
                </c:pt>
                <c:pt idx="196">
                  <c:v>44.982529932747752</c:v>
                </c:pt>
                <c:pt idx="197">
                  <c:v>44.594554054952205</c:v>
                </c:pt>
                <c:pt idx="198">
                  <c:v>44.205544080292739</c:v>
                </c:pt>
                <c:pt idx="199">
                  <c:v>43.815585686805953</c:v>
                </c:pt>
                <c:pt idx="200">
                  <c:v>43.424757741551574</c:v>
                </c:pt>
                <c:pt idx="201">
                  <c:v>43.033132771159963</c:v>
                </c:pt>
                <c:pt idx="202">
                  <c:v>42.640777409773833</c:v>
                </c:pt>
                <c:pt idx="203">
                  <c:v>42.247752823454348</c:v>
                </c:pt>
                <c:pt idx="204">
                  <c:v>41.85411511060061</c:v>
                </c:pt>
                <c:pt idx="205">
                  <c:v>41.459915678317074</c:v>
                </c:pt>
                <c:pt idx="206">
                  <c:v>41.065201594972862</c:v>
                </c:pt>
                <c:pt idx="207">
                  <c:v>40.67001591943432</c:v>
                </c:pt>
                <c:pt idx="208">
                  <c:v>40.27439800763598</c:v>
                </c:pt>
                <c:pt idx="209">
                  <c:v>39.878383797286645</c:v>
                </c:pt>
                <c:pt idx="210">
                  <c:v>39.482006071602648</c:v>
                </c:pt>
                <c:pt idx="211">
                  <c:v>39.085294703016721</c:v>
                </c:pt>
                <c:pt idx="212">
                  <c:v>38.688276877845574</c:v>
                </c:pt>
                <c:pt idx="213">
                  <c:v>38.290977302908047</c:v>
                </c:pt>
                <c:pt idx="214">
                  <c:v>37.89341839507825</c:v>
                </c:pt>
                <c:pt idx="215">
                  <c:v>37.495620454735537</c:v>
                </c:pt>
                <c:pt idx="216">
                  <c:v>37.097601824042485</c:v>
                </c:pt>
                <c:pt idx="217">
                  <c:v>36.6993790309375</c:v>
                </c:pt>
                <c:pt idx="218">
                  <c:v>36.300966919686452</c:v>
                </c:pt>
                <c:pt idx="219">
                  <c:v>35.90237876878038</c:v>
                </c:pt>
                <c:pt idx="220">
                  <c:v>35.503626396916495</c:v>
                </c:pt>
                <c:pt idx="221">
                  <c:v>35.104720257739082</c:v>
                </c:pt>
                <c:pt idx="222">
                  <c:v>34.70566952396149</c:v>
                </c:pt>
                <c:pt idx="223">
                  <c:v>34.306482161429948</c:v>
                </c:pt>
                <c:pt idx="224">
                  <c:v>33.907164993632236</c:v>
                </c:pt>
                <c:pt idx="225">
                  <c:v>33.507723757095413</c:v>
                </c:pt>
                <c:pt idx="226">
                  <c:v>33.108163148058999</c:v>
                </c:pt>
                <c:pt idx="227">
                  <c:v>32.708486860752139</c:v>
                </c:pt>
                <c:pt idx="228">
                  <c:v>32.308697617546841</c:v>
                </c:pt>
                <c:pt idx="229">
                  <c:v>31.908797191202737</c:v>
                </c:pt>
                <c:pt idx="230">
                  <c:v>31.508786419364036</c:v>
                </c:pt>
                <c:pt idx="231">
                  <c:v>31.108665211411832</c:v>
                </c:pt>
                <c:pt idx="232">
                  <c:v>30.708432547723064</c:v>
                </c:pt>
                <c:pt idx="233">
                  <c:v>30.308086471329165</c:v>
                </c:pt>
                <c:pt idx="234">
                  <c:v>29.907624071915457</c:v>
                </c:pt>
                <c:pt idx="235">
                  <c:v>29.50704146204459</c:v>
                </c:pt>
                <c:pt idx="236">
                  <c:v>29.106333745434455</c:v>
                </c:pt>
                <c:pt idx="237">
                  <c:v>28.705494977063498</c:v>
                </c:pt>
                <c:pt idx="238">
                  <c:v>28.304518114819732</c:v>
                </c:pt>
                <c:pt idx="239">
                  <c:v>27.903394962354866</c:v>
                </c:pt>
                <c:pt idx="240">
                  <c:v>27.502116102744726</c:v>
                </c:pt>
                <c:pt idx="241">
                  <c:v>27.100670822501268</c:v>
                </c:pt>
                <c:pt idx="242">
                  <c:v>26.699047025421091</c:v>
                </c:pt>
                <c:pt idx="243">
                  <c:v>26.297231135698411</c:v>
                </c:pt>
                <c:pt idx="244">
                  <c:v>25.895207989670279</c:v>
                </c:pt>
                <c:pt idx="245">
                  <c:v>25.492960715505255</c:v>
                </c:pt>
                <c:pt idx="246">
                  <c:v>25.090470600088963</c:v>
                </c:pt>
                <c:pt idx="247">
                  <c:v>24.687716942306814</c:v>
                </c:pt>
                <c:pt idx="248">
                  <c:v>24.284676891872699</c:v>
                </c:pt>
                <c:pt idx="249">
                  <c:v>23.881325272805547</c:v>
                </c:pt>
                <c:pt idx="250">
                  <c:v>23.477634390618025</c:v>
                </c:pt>
              </c:numCache>
            </c:numRef>
          </c:yVal>
          <c:smooth val="1"/>
          <c:extLst xmlns:c16r2="http://schemas.microsoft.com/office/drawing/2015/06/chart">
            <c:ext xmlns:c16="http://schemas.microsoft.com/office/drawing/2014/chart" uri="{C3380CC4-5D6E-409C-BE32-E72D297353CC}">
              <c16:uniqueId val="{00000001-6B2E-40FA-B0D7-A74546B2E6C0}"/>
            </c:ext>
          </c:extLst>
        </c:ser>
        <c:dLbls>
          <c:showLegendKey val="0"/>
          <c:showVal val="0"/>
          <c:showCatName val="0"/>
          <c:showSerName val="0"/>
          <c:showPercent val="0"/>
          <c:showBubbleSize val="0"/>
        </c:dLbls>
        <c:axId val="466291328"/>
        <c:axId val="466298368"/>
      </c:scatterChart>
      <c:scatterChart>
        <c:scatterStyle val="lineMarker"/>
        <c:varyColors val="0"/>
        <c:ser>
          <c:idx val="1"/>
          <c:order val="1"/>
          <c:tx>
            <c:v>Phase</c:v>
          </c:tx>
          <c:spPr>
            <a:ln w="25400">
              <a:solidFill>
                <a:srgbClr val="FF00FF"/>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compensation!$V$80:$V$330</c:f>
              <c:numCache>
                <c:formatCode>General</c:formatCode>
                <c:ptCount val="251"/>
                <c:pt idx="0">
                  <c:v>170.65708971817543</c:v>
                </c:pt>
                <c:pt idx="1">
                  <c:v>170.22520862353539</c:v>
                </c:pt>
                <c:pt idx="2">
                  <c:v>169.77419231097051</c:v>
                </c:pt>
                <c:pt idx="3">
                  <c:v>169.30331167542712</c:v>
                </c:pt>
                <c:pt idx="4">
                  <c:v>168.8118268930842</c:v>
                </c:pt>
                <c:pt idx="5">
                  <c:v>168.29898994703422</c:v>
                </c:pt>
                <c:pt idx="6">
                  <c:v>167.76404761012233</c:v>
                </c:pt>
                <c:pt idx="7">
                  <c:v>167.20624493182441</c:v>
                </c:pt>
                <c:pt idx="8">
                  <c:v>166.62482927692045</c:v>
                </c:pt>
                <c:pt idx="9">
                  <c:v>166.01905496357821</c:v>
                </c:pt>
                <c:pt idx="10">
                  <c:v>165.38818854697249</c:v>
                </c:pt>
                <c:pt idx="11">
                  <c:v>164.73151479137576</c:v>
                </c:pt>
                <c:pt idx="12">
                  <c:v>164.0483433684048</c:v>
                </c:pt>
                <c:pt idx="13">
                  <c:v>163.33801631134543</c:v>
                </c:pt>
                <c:pt idx="14">
                  <c:v>162.59991624478451</c:v>
                </c:pt>
                <c:pt idx="15">
                  <c:v>161.8334753947176</c:v>
                </c:pt>
                <c:pt idx="16">
                  <c:v>161.03818536647242</c:v>
                </c:pt>
                <c:pt idx="17">
                  <c:v>160.21360765586192</c:v>
                </c:pt>
                <c:pt idx="18">
                  <c:v>159.35938483273733</c:v>
                </c:pt>
                <c:pt idx="19">
                  <c:v>158.47525230553606</c:v>
                </c:pt>
                <c:pt idx="20">
                  <c:v>157.56105054068965</c:v>
                </c:pt>
                <c:pt idx="21">
                  <c:v>156.61673757241829</c:v>
                </c:pt>
                <c:pt idx="22">
                  <c:v>155.6424015973642</c:v>
                </c:pt>
                <c:pt idx="23">
                  <c:v>154.63827340606514</c:v>
                </c:pt>
                <c:pt idx="24">
                  <c:v>153.60473836123094</c:v>
                </c:pt>
                <c:pt idx="25">
                  <c:v>152.54234759349441</c:v>
                </c:pt>
                <c:pt idx="26">
                  <c:v>151.45182805149554</c:v>
                </c:pt>
                <c:pt idx="27">
                  <c:v>150.3340910179343</c:v>
                </c:pt>
                <c:pt idx="28">
                  <c:v>149.19023868995018</c:v>
                </c:pt>
                <c:pt idx="29">
                  <c:v>148.02156842406382</c:v>
                </c:pt>
                <c:pt idx="30">
                  <c:v>146.82957426596278</c:v>
                </c:pt>
                <c:pt idx="31">
                  <c:v>145.61594542589566</c:v>
                </c:pt>
                <c:pt idx="32">
                  <c:v>144.3825614225606</c:v>
                </c:pt>
                <c:pt idx="33">
                  <c:v>143.1314837020663</c:v>
                </c:pt>
                <c:pt idx="34">
                  <c:v>141.86494364201369</c:v>
                </c:pt>
                <c:pt idx="35">
                  <c:v>140.58532697037154</c:v>
                </c:pt>
                <c:pt idx="36">
                  <c:v>139.29515475940127</c:v>
                </c:pt>
                <c:pt idx="37">
                  <c:v>137.99706128946679</c:v>
                </c:pt>
                <c:pt idx="38">
                  <c:v>136.69376920829973</c:v>
                </c:pt>
                <c:pt idx="39">
                  <c:v>135.38806252975621</c:v>
                </c:pt>
                <c:pt idx="40">
                  <c:v>134.08275811423476</c:v>
                </c:pt>
                <c:pt idx="41">
                  <c:v>132.7806763436781</c:v>
                </c:pt>
                <c:pt idx="42">
                  <c:v>131.48461174226665</c:v>
                </c:pt>
                <c:pt idx="43">
                  <c:v>130.19730429661763</c:v>
                </c:pt>
                <c:pt idx="44">
                  <c:v>128.92141219636176</c:v>
                </c:pt>
                <c:pt idx="45">
                  <c:v>127.65948664984086</c:v>
                </c:pt>
                <c:pt idx="46">
                  <c:v>126.41394933525559</c:v>
                </c:pt>
                <c:pt idx="47">
                  <c:v>125.18707293170029</c:v>
                </c:pt>
                <c:pt idx="48">
                  <c:v>123.98096504510966</c:v>
                </c:pt>
                <c:pt idx="49">
                  <c:v>122.79755570961399</c:v>
                </c:pt>
                <c:pt idx="50">
                  <c:v>121.63858851318327</c:v>
                </c:pt>
                <c:pt idx="51">
                  <c:v>120.50561527476835</c:v>
                </c:pt>
                <c:pt idx="52">
                  <c:v>119.39999409400646</c:v>
                </c:pt>
                <c:pt idx="53">
                  <c:v>118.32289050774543</c:v>
                </c:pt>
                <c:pt idx="54">
                  <c:v>117.27528142222798</c:v>
                </c:pt>
                <c:pt idx="55">
                  <c:v>116.25796144611198</c:v>
                </c:pt>
                <c:pt idx="56">
                  <c:v>115.27155122651919</c:v>
                </c:pt>
                <c:pt idx="57">
                  <c:v>114.31650738587277</c:v>
                </c:pt>
                <c:pt idx="58">
                  <c:v>113.3931336685108</c:v>
                </c:pt>
                <c:pt idx="59">
                  <c:v>112.50159292971597</c:v>
                </c:pt>
                <c:pt idx="60">
                  <c:v>111.64191963253039</c:v>
                </c:pt>
                <c:pt idx="61">
                  <c:v>110.81403255640863</c:v>
                </c:pt>
                <c:pt idx="62">
                  <c:v>110.0177474635467</c:v>
                </c:pt>
                <c:pt idx="63">
                  <c:v>109.25278951126795</c:v>
                </c:pt>
                <c:pt idx="64">
                  <c:v>108.5188052402322</c:v>
                </c:pt>
                <c:pt idx="65">
                  <c:v>107.81537400707195</c:v>
                </c:pt>
                <c:pt idx="66">
                  <c:v>107.14201876539019</c:v>
                </c:pt>
                <c:pt idx="67">
                  <c:v>106.49821613028945</c:v>
                </c:pt>
                <c:pt idx="68">
                  <c:v>105.88340568851633</c:v>
                </c:pt>
                <c:pt idx="69">
                  <c:v>105.29699853889038</c:v>
                </c:pt>
                <c:pt idx="70">
                  <c:v>104.73838506612699</c:v>
                </c:pt>
                <c:pt idx="71">
                  <c:v>104.20694196578725</c:v>
                </c:pt>
                <c:pt idx="72">
                  <c:v>103.70203854927401</c:v>
                </c:pt>
                <c:pt idx="73">
                  <c:v>103.22304236598551</c:v>
                </c:pt>
                <c:pt idx="74">
                  <c:v>102.76932418536347</c:v>
                </c:pt>
                <c:pt idx="75">
                  <c:v>102.34026238505186</c:v>
                </c:pt>
                <c:pt idx="76">
                  <c:v>101.9352467931334</c:v>
                </c:pt>
                <c:pt idx="77">
                  <c:v>101.55368203273964</c:v>
                </c:pt>
                <c:pt idx="78">
                  <c:v>101.19499041661385</c:v>
                </c:pt>
                <c:pt idx="79">
                  <c:v>100.85861443764792</c:v>
                </c:pt>
                <c:pt idx="80">
                  <c:v>100.54401889929581</c:v>
                </c:pt>
                <c:pt idx="81">
                  <c:v>100.25069272723854</c:v>
                </c:pt>
                <c:pt idx="82">
                  <c:v>99.978150500906111</c:v>
                </c:pt>
                <c:pt idx="83">
                  <c:v>99.725933740574646</c:v>
                </c:pt>
                <c:pt idx="84">
                  <c:v>99.493611982831553</c:v>
                </c:pt>
                <c:pt idx="85">
                  <c:v>99.280783674323501</c:v>
                </c:pt>
                <c:pt idx="86">
                  <c:v>99.08707691091422</c:v>
                </c:pt>
                <c:pt idx="87">
                  <c:v>98.912150046719347</c:v>
                </c:pt>
                <c:pt idx="88">
                  <c:v>98.755692194980696</c:v>
                </c:pt>
                <c:pt idx="89">
                  <c:v>98.617423640395174</c:v>
                </c:pt>
                <c:pt idx="90">
                  <c:v>98.497096180352727</c:v>
                </c:pt>
                <c:pt idx="91">
                  <c:v>98.394493410523253</c:v>
                </c:pt>
                <c:pt idx="92">
                  <c:v>98.30943096840997</c:v>
                </c:pt>
                <c:pt idx="93">
                  <c:v>98.241756746800206</c:v>
                </c:pt>
                <c:pt idx="94">
                  <c:v>98.191351087512331</c:v>
                </c:pt>
                <c:pt idx="95">
                  <c:v>98.158126964442189</c:v>
                </c:pt>
                <c:pt idx="96">
                  <c:v>98.142030163630622</c:v>
                </c:pt>
                <c:pt idx="97">
                  <c:v>98.143039466901158</c:v>
                </c:pt>
                <c:pt idx="98">
                  <c:v>98.161166844538158</c:v>
                </c:pt>
                <c:pt idx="99">
                  <c:v>98.196457661470774</c:v>
                </c:pt>
                <c:pt idx="100">
                  <c:v>98.248990900486248</c:v>
                </c:pt>
                <c:pt idx="101">
                  <c:v>98.318879405106657</c:v>
                </c:pt>
                <c:pt idx="102">
                  <c:v>98.406270143898269</c:v>
                </c:pt>
                <c:pt idx="103">
                  <c:v>98.511344497145316</c:v>
                </c:pt>
                <c:pt idx="104">
                  <c:v>98.634318565981559</c:v>
                </c:pt>
                <c:pt idx="105">
                  <c:v>98.775443503220899</c:v>
                </c:pt>
                <c:pt idx="106">
                  <c:v>98.93500586425732</c:v>
                </c:pt>
                <c:pt idx="107">
                  <c:v>99.113327975481127</c:v>
                </c:pt>
                <c:pt idx="108">
                  <c:v>99.310768316682896</c:v>
                </c:pt>
                <c:pt idx="109">
                  <c:v>99.527721912862859</c:v>
                </c:pt>
                <c:pt idx="110">
                  <c:v>99.764620729713471</c:v>
                </c:pt>
                <c:pt idx="111">
                  <c:v>100.02193406578449</c:v>
                </c:pt>
                <c:pt idx="112">
                  <c:v>100.30016893294258</c:v>
                </c:pt>
                <c:pt idx="113">
                  <c:v>100.59987041519477</c:v>
                </c:pt>
                <c:pt idx="114">
                  <c:v>100.92162199421905</c:v>
                </c:pt>
                <c:pt idx="115">
                  <c:v>101.26604582802756</c:v>
                </c:pt>
                <c:pt idx="116">
                  <c:v>101.6338029670455</c:v>
                </c:pt>
                <c:pt idx="117">
                  <c:v>102.02559348950533</c:v>
                </c:pt>
                <c:pt idx="118">
                  <c:v>102.44215653540093</c:v>
                </c:pt>
                <c:pt idx="119">
                  <c:v>102.88427021529915</c:v>
                </c:pt>
                <c:pt idx="120">
                  <c:v>103.35275136705393</c:v>
                </c:pt>
                <c:pt idx="121">
                  <c:v>103.84845512987312</c:v>
                </c:pt>
                <c:pt idx="122">
                  <c:v>104.37227430125945</c:v>
                </c:pt>
                <c:pt idx="123">
                  <c:v>104.92513843805349</c:v>
                </c:pt>
                <c:pt idx="124">
                  <c:v>105.50801265816658</c:v>
                </c:pt>
                <c:pt idx="125">
                  <c:v>106.12189609460854</c:v>
                </c:pt>
                <c:pt idx="126">
                  <c:v>106.76781994810852</c:v>
                </c:pt>
                <c:pt idx="127">
                  <c:v>107.44684507906514</c:v>
                </c:pt>
                <c:pt idx="128">
                  <c:v>108.16005907378947</c:v>
                </c:pt>
                <c:pt idx="129">
                  <c:v>108.90857271413864</c:v>
                </c:pt>
                <c:pt idx="130">
                  <c:v>109.69351577381988</c:v>
                </c:pt>
                <c:pt idx="131">
                  <c:v>110.51603205904186</c:v>
                </c:pt>
                <c:pt idx="132">
                  <c:v>111.37727360606138</c:v>
                </c:pt>
                <c:pt idx="133">
                  <c:v>112.27839394379842</c:v>
                </c:pt>
                <c:pt idx="134">
                  <c:v>113.22054032645968</c:v>
                </c:pt>
                <c:pt idx="135">
                  <c:v>114.2048448394428</c:v>
                </c:pt>
                <c:pt idx="136">
                  <c:v>115.23241428225411</c:v>
                </c:pt>
                <c:pt idx="137">
                  <c:v>116.30431873534826</c:v>
                </c:pt>
                <c:pt idx="138">
                  <c:v>117.42157872441891</c:v>
                </c:pt>
                <c:pt idx="139">
                  <c:v>118.58515090649306</c:v>
                </c:pt>
                <c:pt idx="140">
                  <c:v>119.79591221808276</c:v>
                </c:pt>
                <c:pt idx="141">
                  <c:v>121.05464244746591</c:v>
                </c:pt>
                <c:pt idx="142">
                  <c:v>122.36200522179082</c:v>
                </c:pt>
                <c:pt idx="143">
                  <c:v>123.71852743593371</c:v>
                </c:pt>
                <c:pt idx="144">
                  <c:v>125.12457719449826</c:v>
                </c:pt>
                <c:pt idx="145">
                  <c:v>126.58034039148895</c:v>
                </c:pt>
                <c:pt idx="146">
                  <c:v>128.08579611401896</c:v>
                </c:pt>
                <c:pt idx="147">
                  <c:v>129.64069112652535</c:v>
                </c:pt>
                <c:pt idx="148">
                  <c:v>131.24451376924819</c:v>
                </c:pt>
                <c:pt idx="149">
                  <c:v>132.89646768738552</c:v>
                </c:pt>
                <c:pt idx="150">
                  <c:v>134.59544589261461</c:v>
                </c:pt>
                <c:pt idx="151">
                  <c:v>136.34000574288387</c:v>
                </c:pt>
                <c:pt idx="152">
                  <c:v>138.12834550490788</c:v>
                </c:pt>
                <c:pt idx="153">
                  <c:v>139.9582832310395</c:v>
                </c:pt>
                <c:pt idx="154">
                  <c:v>141.82723873193382</c:v>
                </c:pt>
                <c:pt idx="155">
                  <c:v>143.73221945201945</c:v>
                </c:pt>
                <c:pt idx="156">
                  <c:v>145.66981104974138</c:v>
                </c:pt>
                <c:pt idx="157">
                  <c:v>147.6361734429837</c:v>
                </c:pt>
                <c:pt idx="158">
                  <c:v>149.62704299763328</c:v>
                </c:pt>
                <c:pt idx="159">
                  <c:v>151.63774141152373</c:v>
                </c:pt>
                <c:pt idx="160">
                  <c:v>153.66319167754631</c:v>
                </c:pt>
                <c:pt idx="161">
                  <c:v>155.69794130226464</c:v>
                </c:pt>
                <c:pt idx="162">
                  <c:v>157.73619271733787</c:v>
                </c:pt>
                <c:pt idx="163">
                  <c:v>159.77184056129857</c:v>
                </c:pt>
                <c:pt idx="164">
                  <c:v>161.79851524264396</c:v>
                </c:pt>
                <c:pt idx="165">
                  <c:v>163.809631937777</c:v>
                </c:pt>
                <c:pt idx="166">
                  <c:v>165.79844394587636</c:v>
                </c:pt>
                <c:pt idx="167">
                  <c:v>167.75809913348343</c:v>
                </c:pt>
                <c:pt idx="168">
                  <c:v>169.68169806834806</c:v>
                </c:pt>
                <c:pt idx="169">
                  <c:v>171.56235237516842</c:v>
                </c:pt>
                <c:pt idx="170">
                  <c:v>173.39324185078115</c:v>
                </c:pt>
                <c:pt idx="171">
                  <c:v>175.16766895326512</c:v>
                </c:pt>
                <c:pt idx="172">
                  <c:v>176.87910942313147</c:v>
                </c:pt>
                <c:pt idx="173">
                  <c:v>178.52125799526161</c:v>
                </c:pt>
                <c:pt idx="174">
                  <c:v>180.0880684038828</c:v>
                </c:pt>
                <c:pt idx="175">
                  <c:v>181.5737871535573</c:v>
                </c:pt>
                <c:pt idx="176">
                  <c:v>182.97298081024354</c:v>
                </c:pt>
                <c:pt idx="177">
                  <c:v>184.28055684190772</c:v>
                </c:pt>
                <c:pt idx="178">
                  <c:v>185.49177829396834</c:v>
                </c:pt>
                <c:pt idx="179">
                  <c:v>186.60227280992359</c:v>
                </c:pt>
                <c:pt idx="180">
                  <c:v>187.60803669416325</c:v>
                </c:pt>
                <c:pt idx="181">
                  <c:v>188.50543485784692</c:v>
                </c:pt>
                <c:pt idx="182">
                  <c:v>189.29119758872494</c:v>
                </c:pt>
                <c:pt idx="183">
                  <c:v>189.96241514320977</c:v>
                </c:pt>
                <c:pt idx="184">
                  <c:v>190.51653117708568</c:v>
                </c:pt>
                <c:pt idx="185">
                  <c:v>190.95133601414076</c:v>
                </c:pt>
                <c:pt idx="186">
                  <c:v>191.26496070419242</c:v>
                </c:pt>
                <c:pt idx="187">
                  <c:v>191.45587274748459</c:v>
                </c:pt>
                <c:pt idx="188">
                  <c:v>191.52287426442385</c:v>
                </c:pt>
                <c:pt idx="189">
                  <c:v>191.46510326998214</c:v>
                </c:pt>
                <c:pt idx="190">
                  <c:v>191.2820385714318</c:v>
                </c:pt>
                <c:pt idx="191">
                  <c:v>190.97350864573053</c:v>
                </c:pt>
                <c:pt idx="192">
                  <c:v>190.5397046672438</c:v>
                </c:pt>
                <c:pt idx="193">
                  <c:v>189.98119764574616</c:v>
                </c:pt>
                <c:pt idx="194">
                  <c:v>189.29895939733021</c:v>
                </c:pt>
                <c:pt idx="195">
                  <c:v>188.49438680707843</c:v>
                </c:pt>
                <c:pt idx="196">
                  <c:v>187.56932855500585</c:v>
                </c:pt>
                <c:pt idx="197">
                  <c:v>186.52611317270998</c:v>
                </c:pt>
                <c:pt idx="198">
                  <c:v>185.36757698952744</c:v>
                </c:pt>
                <c:pt idx="199">
                  <c:v>184.09709023211744</c:v>
                </c:pt>
                <c:pt idx="200">
                  <c:v>182.7185792849526</c:v>
                </c:pt>
                <c:pt idx="201">
                  <c:v>181.23654293162417</c:v>
                </c:pt>
                <c:pt idx="202">
                  <c:v>179.65606031216157</c:v>
                </c:pt>
                <c:pt idx="203">
                  <c:v>177.98278838384161</c:v>
                </c:pt>
                <c:pt idx="204">
                  <c:v>176.222946891411</c:v>
                </c:pt>
                <c:pt idx="205">
                  <c:v>174.38328925561268</c:v>
                </c:pt>
                <c:pt idx="206">
                  <c:v>172.47105837780663</c:v>
                </c:pt>
                <c:pt idx="207">
                  <c:v>170.49392711290585</c:v>
                </c:pt>
                <c:pt idx="208">
                  <c:v>168.459924038232</c:v>
                </c:pt>
                <c:pt idx="209">
                  <c:v>166.37734607500985</c:v>
                </c:pt>
                <c:pt idx="210">
                  <c:v>164.25466041807411</c:v>
                </c:pt>
                <c:pt idx="211">
                  <c:v>162.10039900734284</c:v>
                </c:pt>
                <c:pt idx="212">
                  <c:v>159.92304934719954</c:v>
                </c:pt>
                <c:pt idx="213">
                  <c:v>157.73094578197095</c:v>
                </c:pt>
                <c:pt idx="214">
                  <c:v>155.53216533206583</c:v>
                </c:pt>
                <c:pt idx="215">
                  <c:v>153.33443188705334</c:v>
                </c:pt>
                <c:pt idx="216">
                  <c:v>151.14503197600183</c:v>
                </c:pt>
                <c:pt idx="217">
                  <c:v>148.97074455816229</c:v>
                </c:pt>
                <c:pt idx="218">
                  <c:v>146.81778638373939</c:v>
                </c:pt>
                <c:pt idx="219">
                  <c:v>144.69177355536539</c:v>
                </c:pt>
                <c:pt idx="220">
                  <c:v>142.59769905903136</c:v>
                </c:pt>
                <c:pt idx="221">
                  <c:v>140.53992529443406</c:v>
                </c:pt>
                <c:pt idx="222">
                  <c:v>138.52219006173624</c:v>
                </c:pt>
                <c:pt idx="223">
                  <c:v>136.54762407331646</c:v>
                </c:pt>
                <c:pt idx="224">
                  <c:v>134.61877785209191</c:v>
                </c:pt>
                <c:pt idx="225">
                  <c:v>132.737655832737</c:v>
                </c:pt>
                <c:pt idx="226">
                  <c:v>130.90575556826499</c:v>
                </c:pt>
                <c:pt idx="227">
                  <c:v>129.12411012697876</c:v>
                </c:pt>
                <c:pt idx="228">
                  <c:v>127.39333200904039</c:v>
                </c:pt>
                <c:pt idx="229">
                  <c:v>125.71365718686214</c:v>
                </c:pt>
                <c:pt idx="230">
                  <c:v>124.08498815399103</c:v>
                </c:pt>
                <c:pt idx="231">
                  <c:v>122.50693513443541</c:v>
                </c:pt>
                <c:pt idx="232">
                  <c:v>120.97885484601392</c:v>
                </c:pt>
                <c:pt idx="233">
                  <c:v>119.49988642032443</c:v>
                </c:pt>
                <c:pt idx="234">
                  <c:v>118.0689842556627</c:v>
                </c:pt>
                <c:pt idx="235">
                  <c:v>116.68494771817035</c:v>
                </c:pt>
                <c:pt idx="236">
                  <c:v>115.34644771328847</c:v>
                </c:pt>
                <c:pt idx="237">
                  <c:v>114.05205022803806</c:v>
                </c:pt>
                <c:pt idx="238">
                  <c:v>112.80023699906599</c:v>
                </c:pt>
                <c:pt idx="239">
                  <c:v>111.58942349617479</c:v>
                </c:pt>
                <c:pt idx="240">
                  <c:v>110.41797443028564</c:v>
                </c:pt>
                <c:pt idx="241">
                  <c:v>109.28421700209235</c:v>
                </c:pt>
                <c:pt idx="242">
                  <c:v>108.1864521061641</c:v>
                </c:pt>
                <c:pt idx="243">
                  <c:v>107.12296369749981</c:v>
                </c:pt>
                <c:pt idx="244">
                  <c:v>106.09202651556889</c:v>
                </c:pt>
                <c:pt idx="245">
                  <c:v>105.0919123462713</c:v>
                </c:pt>
                <c:pt idx="246">
                  <c:v>104.1208949862331</c:v>
                </c:pt>
                <c:pt idx="247">
                  <c:v>103.17725405726141</c:v>
                </c:pt>
                <c:pt idx="248">
                  <c:v>102.25927780225722</c:v>
                </c:pt>
                <c:pt idx="249">
                  <c:v>101.36526497780235</c:v>
                </c:pt>
                <c:pt idx="250">
                  <c:v>100.4935259432788</c:v>
                </c:pt>
              </c:numCache>
            </c:numRef>
          </c:yVal>
          <c:smooth val="1"/>
          <c:extLst xmlns:c16r2="http://schemas.microsoft.com/office/drawing/2015/06/chart">
            <c:ext xmlns:c16="http://schemas.microsoft.com/office/drawing/2014/chart" uri="{C3380CC4-5D6E-409C-BE32-E72D297353CC}">
              <c16:uniqueId val="{00000002-6B2E-40FA-B0D7-A74546B2E6C0}"/>
            </c:ext>
          </c:extLst>
        </c:ser>
        <c:dLbls>
          <c:showLegendKey val="0"/>
          <c:showVal val="0"/>
          <c:showCatName val="0"/>
          <c:showSerName val="0"/>
          <c:showPercent val="0"/>
          <c:showBubbleSize val="0"/>
        </c:dLbls>
        <c:axId val="100458496"/>
        <c:axId val="100460032"/>
      </c:scatterChart>
      <c:valAx>
        <c:axId val="466291328"/>
        <c:scaling>
          <c:logBase val="10"/>
          <c:orientation val="minMax"/>
          <c:max val="1000000"/>
          <c:min val="1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700" b="1" i="0" u="none" strike="noStrike" baseline="0">
                    <a:solidFill>
                      <a:srgbClr val="000000"/>
                    </a:solidFill>
                    <a:latin typeface="Arial"/>
                    <a:ea typeface="Arial"/>
                    <a:cs typeface="Arial"/>
                  </a:defRPr>
                </a:pPr>
                <a:r>
                  <a:rPr lang="en-US"/>
                  <a:t>Frequency - Hz</a:t>
                </a:r>
              </a:p>
            </c:rich>
          </c:tx>
          <c:layout>
            <c:manualLayout>
              <c:xMode val="edge"/>
              <c:yMode val="edge"/>
              <c:x val="0.40589671661412696"/>
              <c:y val="0.835962156190330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466298368"/>
        <c:crossesAt val="-100"/>
        <c:crossBetween val="midCat"/>
      </c:valAx>
      <c:valAx>
        <c:axId val="466298368"/>
        <c:scaling>
          <c:orientation val="minMax"/>
        </c:scaling>
        <c:delete val="0"/>
        <c:axPos val="l"/>
        <c:majorGridlines>
          <c:spPr>
            <a:ln w="3175">
              <a:solidFill>
                <a:srgbClr val="000000"/>
              </a:solidFill>
              <a:prstDash val="solid"/>
            </a:ln>
          </c:spPr>
        </c:majorGridlines>
        <c:title>
          <c:tx>
            <c:rich>
              <a:bodyPr/>
              <a:lstStyle/>
              <a:p>
                <a:pPr>
                  <a:defRPr sz="700" b="1" i="0" u="none" strike="noStrike" baseline="0">
                    <a:solidFill>
                      <a:srgbClr val="000000"/>
                    </a:solidFill>
                    <a:latin typeface="Arial"/>
                    <a:ea typeface="Arial"/>
                    <a:cs typeface="Arial"/>
                  </a:defRPr>
                </a:pPr>
                <a:r>
                  <a:rPr lang="en-US"/>
                  <a:t>Gain - dB</a:t>
                </a:r>
              </a:p>
            </c:rich>
          </c:tx>
          <c:layout>
            <c:manualLayout>
              <c:xMode val="edge"/>
              <c:yMode val="edge"/>
              <c:x val="3.6281113009022023E-2"/>
              <c:y val="0.391167116884112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466291328"/>
        <c:crosses val="autoZero"/>
        <c:crossBetween val="midCat"/>
        <c:majorUnit val="10"/>
        <c:minorUnit val="2"/>
      </c:valAx>
      <c:valAx>
        <c:axId val="100458496"/>
        <c:scaling>
          <c:logBase val="10"/>
          <c:orientation val="minMax"/>
        </c:scaling>
        <c:delete val="1"/>
        <c:axPos val="b"/>
        <c:numFmt formatCode="General" sourceLinked="1"/>
        <c:majorTickMark val="out"/>
        <c:minorTickMark val="none"/>
        <c:tickLblPos val="nextTo"/>
        <c:crossAx val="100460032"/>
        <c:crosses val="autoZero"/>
        <c:crossBetween val="midCat"/>
      </c:valAx>
      <c:valAx>
        <c:axId val="100460032"/>
        <c:scaling>
          <c:orientation val="minMax"/>
        </c:scaling>
        <c:delete val="0"/>
        <c:axPos val="r"/>
        <c:title>
          <c:tx>
            <c:rich>
              <a:bodyPr/>
              <a:lstStyle/>
              <a:p>
                <a:pPr>
                  <a:defRPr sz="7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Phase - °</a:t>
                </a:r>
              </a:p>
            </c:rich>
          </c:tx>
          <c:layout>
            <c:manualLayout>
              <c:xMode val="edge"/>
              <c:yMode val="edge"/>
              <c:x val="0.92970739768640032"/>
              <c:y val="0.3974762278802740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00458496"/>
        <c:crosses val="max"/>
        <c:crossBetween val="midCat"/>
        <c:majorUnit val="45"/>
      </c:valAx>
      <c:spPr>
        <a:solidFill>
          <a:srgbClr val="C0C0C0"/>
        </a:solidFill>
        <a:ln w="12700">
          <a:solidFill>
            <a:srgbClr val="808080"/>
          </a:solidFill>
          <a:prstDash val="solid"/>
        </a:ln>
      </c:spPr>
    </c:plotArea>
    <c:legend>
      <c:legendPos val="r"/>
      <c:layout>
        <c:manualLayout>
          <c:xMode val="edge"/>
          <c:yMode val="edge"/>
          <c:x val="0.27665251665439161"/>
          <c:y val="0.92432148400417258"/>
          <c:w val="0.43538756719379662"/>
          <c:h val="5.3629574157238687E-2"/>
        </c:manualLayout>
      </c:layout>
      <c:overlay val="0"/>
      <c:spPr>
        <a:solidFill>
          <a:srgbClr val="FFFFFF"/>
        </a:solidFill>
        <a:ln w="3175">
          <a:solidFill>
            <a:srgbClr val="000000"/>
          </a:solidFill>
          <a:prstDash val="solid"/>
        </a:ln>
      </c:spPr>
      <c:txPr>
        <a:bodyPr/>
        <a:lstStyle/>
        <a:p>
          <a:pPr>
            <a:defRPr sz="49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25" b="1" i="0" u="none" strike="noStrike" baseline="0">
                <a:solidFill>
                  <a:srgbClr val="000000"/>
                </a:solidFill>
                <a:latin typeface="Arial"/>
                <a:ea typeface="Arial"/>
                <a:cs typeface="Arial"/>
              </a:defRPr>
            </a:pPr>
            <a:r>
              <a:rPr lang="en-US"/>
              <a:t>Total System Bode</a:t>
            </a:r>
          </a:p>
        </c:rich>
      </c:tx>
      <c:layout>
        <c:manualLayout>
          <c:xMode val="edge"/>
          <c:yMode val="edge"/>
          <c:x val="0.35656904633282582"/>
          <c:y val="3.4700270130467267E-2"/>
        </c:manualLayout>
      </c:layout>
      <c:overlay val="0"/>
      <c:spPr>
        <a:noFill/>
        <a:ln w="25400">
          <a:noFill/>
        </a:ln>
      </c:spPr>
    </c:title>
    <c:autoTitleDeleted val="0"/>
    <c:plotArea>
      <c:layout>
        <c:manualLayout>
          <c:layoutTarget val="inner"/>
          <c:xMode val="edge"/>
          <c:yMode val="edge"/>
          <c:x val="0.1394103701647984"/>
          <c:y val="0.16088328075709779"/>
          <c:w val="0.72922347470817628"/>
          <c:h val="0.62145110410094639"/>
        </c:manualLayout>
      </c:layout>
      <c:scatterChart>
        <c:scatterStyle val="smoothMarker"/>
        <c:varyColors val="0"/>
        <c:ser>
          <c:idx val="0"/>
          <c:order val="0"/>
          <c:tx>
            <c:v>Gain</c:v>
          </c:tx>
          <c:spPr>
            <a:ln w="25400">
              <a:solidFill>
                <a:srgbClr val="000080"/>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compensation!$D$80:$D$330</c:f>
              <c:numCache>
                <c:formatCode>0.000</c:formatCode>
                <c:ptCount val="251"/>
                <c:pt idx="0">
                  <c:v>72.052697578112387</c:v>
                </c:pt>
                <c:pt idx="1">
                  <c:v>72.041557325778072</c:v>
                </c:pt>
                <c:pt idx="2">
                  <c:v>72.029375042248887</c:v>
                </c:pt>
                <c:pt idx="3">
                  <c:v>72.016056599532163</c:v>
                </c:pt>
                <c:pt idx="4">
                  <c:v>72.001500016149578</c:v>
                </c:pt>
                <c:pt idx="5">
                  <c:v>71.985594927324357</c:v>
                </c:pt>
                <c:pt idx="6">
                  <c:v>71.968222044094901</c:v>
                </c:pt>
                <c:pt idx="7">
                  <c:v>71.949252606650418</c:v>
                </c:pt>
                <c:pt idx="8">
                  <c:v>71.928547838512685</c:v>
                </c:pt>
                <c:pt idx="9">
                  <c:v>71.90595840968092</c:v>
                </c:pt>
                <c:pt idx="10">
                  <c:v>71.881323918528537</c:v>
                </c:pt>
                <c:pt idx="11">
                  <c:v>71.854472404068233</c:v>
                </c:pt>
                <c:pt idx="12">
                  <c:v>71.82521990217532</c:v>
                </c:pt>
                <c:pt idx="13">
                  <c:v>71.793370061438154</c:v>
                </c:pt>
                <c:pt idx="14">
                  <c:v>71.758713836442723</c:v>
                </c:pt>
                <c:pt idx="15">
                  <c:v>71.7210292784263</c:v>
                </c:pt>
                <c:pt idx="16">
                  <c:v>71.680081445252426</c:v>
                </c:pt>
                <c:pt idx="17">
                  <c:v>71.635622454463316</c:v>
                </c:pt>
                <c:pt idx="18">
                  <c:v>71.587391704595788</c:v>
                </c:pt>
                <c:pt idx="19">
                  <c:v>71.535116290845991</c:v>
                </c:pt>
                <c:pt idx="20">
                  <c:v>71.478511641342166</c:v>
                </c:pt>
                <c:pt idx="21">
                  <c:v>71.417282399519578</c:v>
                </c:pt>
                <c:pt idx="22">
                  <c:v>71.351123576181891</c:v>
                </c:pt>
                <c:pt idx="23">
                  <c:v>71.279721991565438</c:v>
                </c:pt>
                <c:pt idx="24">
                  <c:v>71.202758022915134</c:v>
                </c:pt>
                <c:pt idx="25">
                  <c:v>71.119907666607631</c:v>
                </c:pt>
                <c:pt idx="26">
                  <c:v>71.030844915655351</c:v>
                </c:pt>
                <c:pt idx="27">
                  <c:v>70.935244443541919</c:v>
                </c:pt>
                <c:pt idx="28">
                  <c:v>70.832784573951955</c:v>
                </c:pt>
                <c:pt idx="29">
                  <c:v>70.723150503381817</c:v>
                </c:pt>
                <c:pt idx="30">
                  <c:v>70.606037730343076</c:v>
                </c:pt>
                <c:pt idx="31">
                  <c:v>70.481155631526846</c:v>
                </c:pt>
                <c:pt idx="32">
                  <c:v>70.348231112668259</c:v>
                </c:pt>
                <c:pt idx="33">
                  <c:v>70.207012250796836</c:v>
                </c:pt>
                <c:pt idx="34">
                  <c:v>70.057271835995849</c:v>
                </c:pt>
                <c:pt idx="35">
                  <c:v>69.898810715574598</c:v>
                </c:pt>
                <c:pt idx="36">
                  <c:v>69.731460842419793</c:v>
                </c:pt>
                <c:pt idx="37">
                  <c:v>69.55508793274862</c:v>
                </c:pt>
                <c:pt idx="38">
                  <c:v>69.369593646751156</c:v>
                </c:pt>
                <c:pt idx="39">
                  <c:v>69.174917218551542</c:v>
                </c:pt>
                <c:pt idx="40">
                  <c:v>68.97103647903289</c:v>
                </c:pt>
                <c:pt idx="41">
                  <c:v>68.75796823549608</c:v>
                </c:pt>
                <c:pt idx="42">
                  <c:v>68.535767994714348</c:v>
                </c:pt>
                <c:pt idx="43">
                  <c:v>68.304529039353639</c:v>
                </c:pt>
                <c:pt idx="44">
                  <c:v>68.064380890529733</c:v>
                </c:pt>
                <c:pt idx="45">
                  <c:v>67.815487210109666</c:v>
                </c:pt>
                <c:pt idx="46">
                  <c:v>67.558043214036744</c:v>
                </c:pt>
                <c:pt idx="47">
                  <c:v>67.29227268157517</c:v>
                </c:pt>
                <c:pt idx="48">
                  <c:v>67.018424654355712</c:v>
                </c:pt>
                <c:pt idx="49">
                  <c:v>66.736769923280818</c:v>
                </c:pt>
                <c:pt idx="50">
                  <c:v>66.447597400877214</c:v>
                </c:pt>
                <c:pt idx="51">
                  <c:v>66.151210472038031</c:v>
                </c:pt>
                <c:pt idx="52">
                  <c:v>65.847923407989384</c:v>
                </c:pt>
                <c:pt idx="53">
                  <c:v>65.538057917580346</c:v>
                </c:pt>
                <c:pt idx="54">
                  <c:v>65.221939897551934</c:v>
                </c:pt>
                <c:pt idx="55">
                  <c:v>64.899896430156446</c:v>
                </c:pt>
                <c:pt idx="56">
                  <c:v>64.572253063173235</c:v>
                </c:pt>
                <c:pt idx="57">
                  <c:v>64.239331394655665</c:v>
                </c:pt>
                <c:pt idx="58">
                  <c:v>63.901446973161086</c:v>
                </c:pt>
                <c:pt idx="59">
                  <c:v>63.558907514095679</c:v>
                </c:pt>
                <c:pt idx="60">
                  <c:v>63.212011424355346</c:v>
                </c:pt>
                <c:pt idx="61">
                  <c:v>62.861046620717829</c:v>
                </c:pt>
                <c:pt idx="62">
                  <c:v>62.506289622399848</c:v>
                </c:pt>
                <c:pt idx="63">
                  <c:v>62.148004894714916</c:v>
                </c:pt>
                <c:pt idx="64">
                  <c:v>61.786444418675416</c:v>
                </c:pt>
                <c:pt idx="65">
                  <c:v>61.421847460470794</c:v>
                </c:pt>
                <c:pt idx="66">
                  <c:v>61.054440514816292</c:v>
                </c:pt>
                <c:pt idx="67">
                  <c:v>60.684437396978169</c:v>
                </c:pt>
                <c:pt idx="68">
                  <c:v>60.312039459664923</c:v>
                </c:pt>
                <c:pt idx="69">
                  <c:v>59.937435912743695</c:v>
                </c:pt>
                <c:pt idx="70">
                  <c:v>59.560804225756009</c:v>
                </c:pt>
                <c:pt idx="71">
                  <c:v>59.182310595346493</c:v>
                </c:pt>
                <c:pt idx="72">
                  <c:v>58.802110461877817</c:v>
                </c:pt>
                <c:pt idx="73">
                  <c:v>58.420349061628649</c:v>
                </c:pt>
                <c:pt idx="74">
                  <c:v>58.037162002983543</c:v>
                </c:pt>
                <c:pt idx="75">
                  <c:v>57.652675856908516</c:v>
                </c:pt>
                <c:pt idx="76">
                  <c:v>57.2670087537361</c:v>
                </c:pt>
                <c:pt idx="77">
                  <c:v>56.880270979832019</c:v>
                </c:pt>
                <c:pt idx="78">
                  <c:v>56.492565569117907</c:v>
                </c:pt>
                <c:pt idx="79">
                  <c:v>56.103988885637442</c:v>
                </c:pt>
                <c:pt idx="80">
                  <c:v>55.714631194428279</c:v>
                </c:pt>
                <c:pt idx="81">
                  <c:v>55.324577218883263</c:v>
                </c:pt>
                <c:pt idx="82">
                  <c:v>54.93390668357636</c:v>
                </c:pt>
                <c:pt idx="83">
                  <c:v>54.542694842205528</c:v>
                </c:pt>
                <c:pt idx="84">
                  <c:v>54.151012990873518</c:v>
                </c:pt>
                <c:pt idx="85">
                  <c:v>53.7589289674127</c:v>
                </c:pt>
                <c:pt idx="86">
                  <c:v>53.366507637865666</c:v>
                </c:pt>
                <c:pt idx="87">
                  <c:v>52.973811371571117</c:v>
                </c:pt>
                <c:pt idx="88">
                  <c:v>52.580900506598958</c:v>
                </c:pt>
                <c:pt idx="89">
                  <c:v>52.187833807512149</c:v>
                </c:pt>
                <c:pt idx="90">
                  <c:v>51.794668917653034</c:v>
                </c:pt>
                <c:pt idx="91">
                  <c:v>51.401462808320126</c:v>
                </c:pt>
                <c:pt idx="92">
                  <c:v>51.008272227369197</c:v>
                </c:pt>
                <c:pt idx="93">
                  <c:v>50.615154149911149</c:v>
                </c:pt>
                <c:pt idx="94">
                  <c:v>50.222166233907124</c:v>
                </c:pt>
                <c:pt idx="95">
                  <c:v>49.82936728358959</c:v>
                </c:pt>
                <c:pt idx="96">
                  <c:v>49.436817723746998</c:v>
                </c:pt>
                <c:pt idx="97">
                  <c:v>49.044580088022052</c:v>
                </c:pt>
                <c:pt idx="98">
                  <c:v>48.652719524478897</c:v>
                </c:pt>
                <c:pt idx="99">
                  <c:v>48.261304321788842</c:v>
                </c:pt>
                <c:pt idx="100">
                  <c:v>47.870406459473728</c:v>
                </c:pt>
                <c:pt idx="101">
                  <c:v>47.480102185716909</c:v>
                </c:pt>
                <c:pt idx="102">
                  <c:v>47.090472626300567</c:v>
                </c:pt>
                <c:pt idx="103">
                  <c:v>46.701604428245211</c:v>
                </c:pt>
                <c:pt idx="104">
                  <c:v>46.313590441694934</c:v>
                </c:pt>
                <c:pt idx="105">
                  <c:v>45.926530443492936</c:v>
                </c:pt>
                <c:pt idx="106">
                  <c:v>45.540531905698849</c:v>
                </c:pt>
                <c:pt idx="107">
                  <c:v>45.155710811980995</c:v>
                </c:pt>
                <c:pt idx="108">
                  <c:v>44.772192524316267</c:v>
                </c:pt>
                <c:pt idx="109">
                  <c:v>44.390112701702122</c:v>
                </c:pt>
                <c:pt idx="110">
                  <c:v>44.009618271531217</c:v>
                </c:pt>
                <c:pt idx="111">
                  <c:v>43.630868452802702</c:v>
                </c:pt>
                <c:pt idx="112">
                  <c:v>43.254035828294313</c:v>
                </c:pt>
                <c:pt idx="113">
                  <c:v>42.879307460008938</c:v>
                </c:pt>
                <c:pt idx="114">
                  <c:v>42.506886038376059</c:v>
                </c:pt>
                <c:pt idx="115">
                  <c:v>42.136991050501024</c:v>
                </c:pt>
                <c:pt idx="116">
                  <c:v>41.769859945744969</c:v>
                </c:pt>
                <c:pt idx="117">
                  <c:v>41.405749267483742</c:v>
                </c:pt>
                <c:pt idx="118">
                  <c:v>41.0449357072049</c:v>
                </c:pt>
                <c:pt idx="119">
                  <c:v>40.687717020058919</c:v>
                </c:pt>
                <c:pt idx="120">
                  <c:v>40.334412718092011</c:v>
                </c:pt>
                <c:pt idx="121">
                  <c:v>39.985364426649213</c:v>
                </c:pt>
                <c:pt idx="122">
                  <c:v>39.640935748150113</c:v>
                </c:pt>
                <c:pt idx="123">
                  <c:v>39.301511421974247</c:v>
                </c:pt>
                <c:pt idx="124">
                  <c:v>38.967495494681778</c:v>
                </c:pt>
                <c:pt idx="125">
                  <c:v>38.639308114745646</c:v>
                </c:pt>
                <c:pt idx="126">
                  <c:v>38.317380431806598</c:v>
                </c:pt>
                <c:pt idx="127">
                  <c:v>38.002146900976555</c:v>
                </c:pt>
                <c:pt idx="128">
                  <c:v>37.694034053634937</c:v>
                </c:pt>
                <c:pt idx="129">
                  <c:v>37.393444479838749</c:v>
                </c:pt>
                <c:pt idx="130">
                  <c:v>37.100734353432358</c:v>
                </c:pt>
                <c:pt idx="131">
                  <c:v>36.816182297935356</c:v>
                </c:pt>
                <c:pt idx="132">
                  <c:v>36.539946722800082</c:v>
                </c:pt>
                <c:pt idx="133">
                  <c:v>36.272007956028403</c:v>
                </c:pt>
                <c:pt idx="134">
                  <c:v>36.012090601972972</c:v>
                </c:pt>
                <c:pt idx="135">
                  <c:v>35.759560690772553</c:v>
                </c:pt>
                <c:pt idx="136">
                  <c:v>35.513291653281996</c:v>
                </c:pt>
                <c:pt idx="137">
                  <c:v>35.271493543057616</c:v>
                </c:pt>
                <c:pt idx="138">
                  <c:v>35.031502304362263</c:v>
                </c:pt>
                <c:pt idx="139">
                  <c:v>34.7895320031948</c:v>
                </c:pt>
                <c:pt idx="140">
                  <c:v>34.540405303275215</c:v>
                </c:pt>
                <c:pt idx="141">
                  <c:v>34.277298903456895</c:v>
                </c:pt>
                <c:pt idx="142">
                  <c:v>33.991572607390992</c:v>
                </c:pt>
                <c:pt idx="143">
                  <c:v>33.672789385426789</c:v>
                </c:pt>
                <c:pt idx="144">
                  <c:v>33.309064163433284</c:v>
                </c:pt>
                <c:pt idx="145">
                  <c:v>32.887870294008458</c:v>
                </c:pt>
                <c:pt idx="146">
                  <c:v>32.397345212657299</c:v>
                </c:pt>
                <c:pt idx="147">
                  <c:v>31.827953275179915</c:v>
                </c:pt>
                <c:pt idx="148">
                  <c:v>31.174136362042205</c:v>
                </c:pt>
                <c:pt idx="149">
                  <c:v>30.435447355705584</c:v>
                </c:pt>
                <c:pt idx="150">
                  <c:v>29.616757458444695</c:v>
                </c:pt>
                <c:pt idx="151">
                  <c:v>28.727456812965407</c:v>
                </c:pt>
                <c:pt idx="152">
                  <c:v>27.779945666616179</c:v>
                </c:pt>
                <c:pt idx="153">
                  <c:v>26.787914570904444</c:v>
                </c:pt>
                <c:pt idx="154">
                  <c:v>25.764858152917466</c:v>
                </c:pt>
                <c:pt idx="155">
                  <c:v>24.723057243747149</c:v>
                </c:pt>
                <c:pt idx="156">
                  <c:v>23.673051411898204</c:v>
                </c:pt>
                <c:pt idx="157">
                  <c:v>22.623496898946868</c:v>
                </c:pt>
                <c:pt idx="158">
                  <c:v>21.581268889828607</c:v>
                </c:pt>
                <c:pt idx="159">
                  <c:v>20.551686194855151</c:v>
                </c:pt>
                <c:pt idx="160">
                  <c:v>19.538774435441926</c:v>
                </c:pt>
                <c:pt idx="161">
                  <c:v>18.545519464400449</c:v>
                </c:pt>
                <c:pt idx="162">
                  <c:v>17.574088458496153</c:v>
                </c:pt>
                <c:pt idx="163">
                  <c:v>16.626011837853429</c:v>
                </c:pt>
                <c:pt idx="164">
                  <c:v>15.70232746696059</c:v>
                </c:pt>
                <c:pt idx="165">
                  <c:v>14.803692211979897</c:v>
                </c:pt>
                <c:pt idx="166">
                  <c:v>13.930466933343704</c:v>
                </c:pt>
                <c:pt idx="167">
                  <c:v>13.082780704966943</c:v>
                </c:pt>
                <c:pt idx="168">
                  <c:v>12.260579233057944</c:v>
                </c:pt>
                <c:pt idx="169">
                  <c:v>11.463661496695487</c:v>
                </c:pt>
                <c:pt idx="170">
                  <c:v>10.691707735533239</c:v>
                </c:pt>
                <c:pt idx="171">
                  <c:v>9.9443011397767584</c:v>
                </c:pt>
                <c:pt idx="172">
                  <c:v>9.2209449699698673</c:v>
                </c:pt>
                <c:pt idx="173">
                  <c:v>8.5210763400349165</c:v>
                </c:pt>
                <c:pt idx="174">
                  <c:v>7.8440775181555971</c:v>
                </c:pt>
                <c:pt idx="175">
                  <c:v>7.1892853166611701</c:v>
                </c:pt>
                <c:pt idx="176">
                  <c:v>6.5559989357651061</c:v>
                </c:pt>
                <c:pt idx="177">
                  <c:v>5.9434864811306651</c:v>
                </c:pt>
                <c:pt idx="178">
                  <c:v>5.3509902786776848</c:v>
                </c:pt>
                <c:pt idx="179">
                  <c:v>4.7777310510688924</c:v>
                </c:pt>
                <c:pt idx="180">
                  <c:v>4.2229109901219779</c:v>
                </c:pt>
                <c:pt idx="181">
                  <c:v>3.6857157508095604</c:v>
                </c:pt>
                <c:pt idx="182">
                  <c:v>3.16531539971567</c:v>
                </c:pt>
                <c:pt idx="183">
                  <c:v>2.6608643690171974</c:v>
                </c:pt>
                <c:pt idx="184">
                  <c:v>2.1715004924303063</c:v>
                </c:pt>
                <c:pt idx="185">
                  <c:v>1.6963432289180549</c:v>
                </c:pt>
                <c:pt idx="186">
                  <c:v>1.2344912107683008</c:v>
                </c:pt>
                <c:pt idx="187">
                  <c:v>0.78501928278791056</c:v>
                </c:pt>
                <c:pt idx="188">
                  <c:v>0.34697522710702877</c:v>
                </c:pt>
                <c:pt idx="189">
                  <c:v>-8.0623608014617432E-2</c:v>
                </c:pt>
                <c:pt idx="190">
                  <c:v>-0.49879353813867056</c:v>
                </c:pt>
                <c:pt idx="191">
                  <c:v>-0.90858738134355832</c:v>
                </c:pt>
                <c:pt idx="192">
                  <c:v>-1.311096649833182</c:v>
                </c:pt>
                <c:pt idx="193">
                  <c:v>-1.7074528405209861</c:v>
                </c:pt>
                <c:pt idx="194">
                  <c:v>-2.0988275809765895</c:v>
                </c:pt>
                <c:pt idx="195">
                  <c:v>-2.4864314065396336</c:v>
                </c:pt>
                <c:pt idx="196">
                  <c:v>-2.8715109736234936</c:v>
                </c:pt>
                <c:pt idx="197">
                  <c:v>-3.2553445538981727</c:v>
                </c:pt>
                <c:pt idx="198">
                  <c:v>-3.6392357047666941</c:v>
                </c:pt>
                <c:pt idx="199">
                  <c:v>-4.0245050736678252</c:v>
                </c:pt>
                <c:pt idx="200">
                  <c:v>-4.4124803671027024</c:v>
                </c:pt>
                <c:pt idx="201">
                  <c:v>-4.8044845988929232</c:v>
                </c:pt>
                <c:pt idx="202">
                  <c:v>-5.2018228238295059</c:v>
                </c:pt>
                <c:pt idx="203">
                  <c:v>-5.6057676587448739</c:v>
                </c:pt>
                <c:pt idx="204">
                  <c:v>-6.017543987619284</c:v>
                </c:pt>
                <c:pt idx="205">
                  <c:v>-6.4383133333225757</c:v>
                </c:pt>
                <c:pt idx="206">
                  <c:v>-6.8691584475313903</c:v>
                </c:pt>
                <c:pt idx="207">
                  <c:v>-7.3110687133519114</c:v>
                </c:pt>
                <c:pt idx="208">
                  <c:v>-7.7649269642115044</c:v>
                </c:pt>
                <c:pt idx="209">
                  <c:v>-8.2314982919000066</c:v>
                </c:pt>
                <c:pt idx="210">
                  <c:v>-8.7114213441426962</c:v>
                </c:pt>
                <c:pt idx="211">
                  <c:v>-9.2052025002502909</c:v>
                </c:pt>
                <c:pt idx="212">
                  <c:v>-9.7132131695741002</c:v>
                </c:pt>
                <c:pt idx="213">
                  <c:v>-10.235690293364048</c:v>
                </c:pt>
                <c:pt idx="214">
                  <c:v>-10.772739960732238</c:v>
                </c:pt>
                <c:pt idx="215">
                  <c:v>-11.324343889255172</c:v>
                </c:pt>
                <c:pt idx="216">
                  <c:v>-11.89036838447403</c:v>
                </c:pt>
                <c:pt idx="217">
                  <c:v>-12.470575291113427</c:v>
                </c:pt>
                <c:pt idx="218">
                  <c:v>-13.064634388583727</c:v>
                </c:pt>
                <c:pt idx="219">
                  <c:v>-13.672136665550401</c:v>
                </c:pt>
                <c:pt idx="220">
                  <c:v>-14.292607929628364</c:v>
                </c:pt>
                <c:pt idx="221">
                  <c:v>-14.92552226155885</c:v>
                </c:pt>
                <c:pt idx="222">
                  <c:v>-15.570314899322071</c:v>
                </c:pt>
                <c:pt idx="223">
                  <c:v>-16.226394226646455</c:v>
                </c:pt>
                <c:pt idx="224">
                  <c:v>-16.893152633051166</c:v>
                </c:pt>
                <c:pt idx="225">
                  <c:v>-17.569976101231017</c:v>
                </c:pt>
                <c:pt idx="226">
                  <c:v>-18.25625245667608</c:v>
                </c:pt>
                <c:pt idx="227">
                  <c:v>-18.951378280477275</c:v>
                </c:pt>
                <c:pt idx="228">
                  <c:v>-19.654764537856778</c:v>
                </c:pt>
                <c:pt idx="229">
                  <c:v>-20.365841012194601</c:v>
                </c:pt>
                <c:pt idx="230">
                  <c:v>-21.084059658446868</c:v>
                </c:pt>
                <c:pt idx="231">
                  <c:v>-21.808897002772092</c:v>
                </c:pt>
                <c:pt idx="232">
                  <c:v>-22.539855719127598</c:v>
                </c:pt>
                <c:pt idx="233">
                  <c:v>-23.276465510752494</c:v>
                </c:pt>
                <c:pt idx="234">
                  <c:v>-24.018283416879985</c:v>
                </c:pt>
                <c:pt idx="235">
                  <c:v>-24.764893654429684</c:v>
                </c:pt>
                <c:pt idx="236">
                  <c:v>-25.515907092226776</c:v>
                </c:pt>
                <c:pt idx="237">
                  <c:v>-26.270960442557229</c:v>
                </c:pt>
                <c:pt idx="238">
                  <c:v>-27.029715242341656</c:v>
                </c:pt>
                <c:pt idx="239">
                  <c:v>-27.791856684423976</c:v>
                </c:pt>
                <c:pt idx="240">
                  <c:v>-28.557092348728403</c:v>
                </c:pt>
                <c:pt idx="241">
                  <c:v>-29.325150873481558</c:v>
                </c:pt>
                <c:pt idx="242">
                  <c:v>-30.095780598391592</c:v>
                </c:pt>
                <c:pt idx="243">
                  <c:v>-30.868748204564973</c:v>
                </c:pt>
                <c:pt idx="244">
                  <c:v>-31.643837369953754</c:v>
                </c:pt>
                <c:pt idx="245">
                  <c:v>-32.420847454157496</c:v>
                </c:pt>
                <c:pt idx="246">
                  <c:v>-33.199592222327446</c:v>
                </c:pt>
                <c:pt idx="247">
                  <c:v>-33.979898614611933</c:v>
                </c:pt>
                <c:pt idx="248">
                  <c:v>-34.761605564943522</c:v>
                </c:pt>
                <c:pt idx="249">
                  <c:v>-35.544562870871005</c:v>
                </c:pt>
                <c:pt idx="250">
                  <c:v>-36.328630114508215</c:v>
                </c:pt>
              </c:numCache>
            </c:numRef>
          </c:yVal>
          <c:smooth val="1"/>
          <c:extLst xmlns:c16r2="http://schemas.microsoft.com/office/drawing/2015/06/chart">
            <c:ext xmlns:c16="http://schemas.microsoft.com/office/drawing/2014/chart" uri="{C3380CC4-5D6E-409C-BE32-E72D297353CC}">
              <c16:uniqueId val="{00000000-8196-4167-8207-56CFED3D0A01}"/>
            </c:ext>
          </c:extLst>
        </c:ser>
        <c:dLbls>
          <c:showLegendKey val="0"/>
          <c:showVal val="0"/>
          <c:showCatName val="0"/>
          <c:showSerName val="0"/>
          <c:showPercent val="0"/>
          <c:showBubbleSize val="0"/>
        </c:dLbls>
        <c:axId val="100487936"/>
        <c:axId val="100489856"/>
      </c:scatterChart>
      <c:scatterChart>
        <c:scatterStyle val="lineMarker"/>
        <c:varyColors val="0"/>
        <c:ser>
          <c:idx val="1"/>
          <c:order val="1"/>
          <c:tx>
            <c:v>Phase</c:v>
          </c:tx>
          <c:spPr>
            <a:ln w="25400">
              <a:solidFill>
                <a:srgbClr val="FF00FF"/>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compensation!$E$80:$E$330</c:f>
              <c:numCache>
                <c:formatCode>General</c:formatCode>
                <c:ptCount val="251"/>
                <c:pt idx="0" formatCode="0.000">
                  <c:v>170.60902268172811</c:v>
                </c:pt>
                <c:pt idx="1">
                  <c:v>170.17487625226127</c:v>
                </c:pt>
                <c:pt idx="2">
                  <c:v>169.72148784215941</c:v>
                </c:pt>
                <c:pt idx="3">
                  <c:v>169.24812331468351</c:v>
                </c:pt>
                <c:pt idx="4">
                  <c:v>168.75403757717413</c:v>
                </c:pt>
                <c:pt idx="5">
                  <c:v>168.23847709555338</c:v>
                </c:pt>
                <c:pt idx="6">
                  <c:v>167.70068286545751</c:v>
                </c:pt>
                <c:pt idx="7">
                  <c:v>167.13989388685644</c:v>
                </c:pt>
                <c:pt idx="8">
                  <c:v>166.55535118989056</c:v>
                </c:pt>
                <c:pt idx="9">
                  <c:v>165.94630245951186</c:v>
                </c:pt>
                <c:pt idx="10">
                  <c:v>165.31200730502698</c:v>
                </c:pt>
                <c:pt idx="11">
                  <c:v>164.65174321744712</c:v>
                </c:pt>
                <c:pt idx="12">
                  <c:v>163.96481225229854</c:v>
                </c:pt>
                <c:pt idx="13">
                  <c:v>163.25054846778278</c:v>
                </c:pt>
                <c:pt idx="14">
                  <c:v>162.50832613748105</c:v>
                </c:pt>
                <c:pt idx="15">
                  <c:v>161.73756874273542</c:v>
                </c:pt>
                <c:pt idx="16">
                  <c:v>160.93775873200863</c:v>
                </c:pt>
                <c:pt idx="17">
                  <c:v>160.10844801259728</c:v>
                </c:pt>
                <c:pt idx="18">
                  <c:v>159.24926911382653</c:v>
                </c:pt>
                <c:pt idx="19">
                  <c:v>158.35994693027834</c:v>
                </c:pt>
                <c:pt idx="20">
                  <c:v>157.44031091887211</c:v>
                </c:pt>
                <c:pt idx="21">
                  <c:v>156.49030758527684</c:v>
                </c:pt>
                <c:pt idx="22">
                  <c:v>155.51001305405671</c:v>
                </c:pt>
                <c:pt idx="23">
                  <c:v>154.49964547449903</c:v>
                </c:pt>
                <c:pt idx="24">
                  <c:v>153.45957697203187</c:v>
                </c:pt>
                <c:pt idx="25">
                  <c:v>152.39034481584525</c:v>
                </c:pt>
                <c:pt idx="26">
                  <c:v>151.29266143951415</c:v>
                </c:pt>
                <c:pt idx="27">
                  <c:v>150.1674229261946</c:v>
                </c:pt>
                <c:pt idx="28">
                  <c:v>149.015715556685</c:v>
                </c:pt>
                <c:pt idx="29">
                  <c:v>147.83882002051701</c:v>
                </c:pt>
                <c:pt idx="30">
                  <c:v>146.6382129102854</c:v>
                </c:pt>
                <c:pt idx="31">
                  <c:v>145.41556515990351</c:v>
                </c:pt>
                <c:pt idx="32">
                  <c:v>144.17273714958918</c:v>
                </c:pt>
                <c:pt idx="33">
                  <c:v>142.91177028407449</c:v>
                </c:pt>
                <c:pt idx="34">
                  <c:v>141.63487495399775</c:v>
                </c:pt>
                <c:pt idx="35">
                  <c:v>140.34441491005728</c:v>
                </c:pt>
                <c:pt idx="36">
                  <c:v>139.04288821008325</c:v>
                </c:pt>
                <c:pt idx="37">
                  <c:v>137.73290503375961</c:v>
                </c:pt>
                <c:pt idx="38">
                  <c:v>136.41716279045718</c:v>
                </c:pt>
                <c:pt idx="39">
                  <c:v>135.09841906409898</c:v>
                </c:pt>
                <c:pt idx="40">
                  <c:v>133.77946303710598</c:v>
                </c:pt>
                <c:pt idx="41">
                  <c:v>132.46308610621912</c:v>
                </c:pt>
                <c:pt idx="42">
                  <c:v>131.15205244117004</c:v>
                </c:pt>
                <c:pt idx="43">
                  <c:v>129.84907023987276</c:v>
                </c:pt>
                <c:pt idx="44">
                  <c:v>128.55676440085907</c:v>
                </c:pt>
                <c:pt idx="45">
                  <c:v>127.27765126754187</c:v>
                </c:pt>
                <c:pt idx="46">
                  <c:v>126.01411600446913</c:v>
                </c:pt>
                <c:pt idx="47">
                  <c:v>124.76839304982838</c:v>
                </c:pt>
                <c:pt idx="48">
                  <c:v>123.54254995903923</c:v>
                </c:pt>
                <c:pt idx="49">
                  <c:v>122.33847481973223</c:v>
                </c:pt>
                <c:pt idx="50">
                  <c:v>121.15786728678381</c:v>
                </c:pt>
                <c:pt idx="51">
                  <c:v>120.00223316439234</c:v>
                </c:pt>
                <c:pt idx="52">
                  <c:v>118.87288235602449</c:v>
                </c:pt>
                <c:pt idx="53">
                  <c:v>117.77092991623404</c:v>
                </c:pt>
                <c:pt idx="54">
                  <c:v>116.69729987292429</c:v>
                </c:pt>
                <c:pt idx="55">
                  <c:v>115.6527314449431</c:v>
                </c:pt>
                <c:pt idx="56">
                  <c:v>114.63778725689509</c:v>
                </c:pt>
                <c:pt idx="57">
                  <c:v>113.65286314860296</c:v>
                </c:pt>
                <c:pt idx="58">
                  <c:v>112.69819918785205</c:v>
                </c:pt>
                <c:pt idx="59">
                  <c:v>111.77389151867987</c:v>
                </c:pt>
                <c:pt idx="60">
                  <c:v>110.87990471017248</c:v>
                </c:pt>
                <c:pt idx="61">
                  <c:v>110.01608430938144</c:v>
                </c:pt>
                <c:pt idx="62">
                  <c:v>109.1821693437258</c:v>
                </c:pt>
                <c:pt idx="63">
                  <c:v>108.37780456074717</c:v>
                </c:pt>
                <c:pt idx="64">
                  <c:v>107.60255223442881</c:v>
                </c:pt>
                <c:pt idx="65">
                  <c:v>106.85590340607943</c:v>
                </c:pt>
                <c:pt idx="66">
                  <c:v>106.13728846305928</c:v>
                </c:pt>
                <c:pt idx="67">
                  <c:v>105.4460869898024</c:v>
                </c:pt>
                <c:pt idx="68">
                  <c:v>104.78163685243618</c:v>
                </c:pt>
                <c:pt idx="69">
                  <c:v>104.14324250080988</c:v>
                </c:pt>
                <c:pt idx="70">
                  <c:v>103.5301824901004</c:v>
                </c:pt>
                <c:pt idx="71">
                  <c:v>102.94171623869262</c:v>
                </c:pt>
                <c:pt idx="72">
                  <c:v>102.3770900501117</c:v>
                </c:pt>
                <c:pt idx="73">
                  <c:v>101.83554243485662</c:v>
                </c:pt>
                <c:pt idx="74">
                  <c:v>101.31630877347455</c:v>
                </c:pt>
                <c:pt idx="75">
                  <c:v>100.81862536554134</c:v>
                </c:pt>
                <c:pt idx="76">
                  <c:v>100.34173291079014</c:v>
                </c:pt>
                <c:pt idx="77">
                  <c:v>99.884879468761739</c:v>
                </c:pt>
                <c:pt idx="78">
                  <c:v>99.447322942409059</c:v>
                </c:pt>
                <c:pt idx="79">
                  <c:v>99.028333129275197</c:v>
                </c:pt>
                <c:pt idx="80">
                  <c:v>98.627193381454191</c:v>
                </c:pt>
                <c:pt idx="81">
                  <c:v>98.243201912685137</c:v>
                </c:pt>
                <c:pt idx="82">
                  <c:v>97.875672787781482</c:v>
                </c:pt>
                <c:pt idx="83">
                  <c:v>97.523936626276935</c:v>
                </c:pt>
                <c:pt idx="84">
                  <c:v>97.187341048748465</c:v>
                </c:pt>
                <c:pt idx="85">
                  <c:v>96.865250890831845</c:v>
                </c:pt>
                <c:pt idx="86">
                  <c:v>96.55704820650449</c:v>
                </c:pt>
                <c:pt idx="87">
                  <c:v>96.262132078805436</c:v>
                </c:pt>
                <c:pt idx="88">
                  <c:v>95.979918252796125</c:v>
                </c:pt>
                <c:pt idx="89">
                  <c:v>95.709838602232168</c:v>
                </c:pt>
                <c:pt idx="90">
                  <c:v>95.451340438116389</c:v>
                </c:pt>
                <c:pt idx="91">
                  <c:v>95.203885663977033</c:v>
                </c:pt>
                <c:pt idx="92">
                  <c:v>94.966949779379192</c:v>
                </c:pt>
                <c:pt idx="93">
                  <c:v>94.74002072974055</c:v>
                </c:pt>
                <c:pt idx="94">
                  <c:v>94.522597596967657</c:v>
                </c:pt>
                <c:pt idx="95">
                  <c:v>94.314189121689424</c:v>
                </c:pt>
                <c:pt idx="96">
                  <c:v>94.114312043866136</c:v>
                </c:pt>
                <c:pt idx="97">
                  <c:v>93.922489244225332</c:v>
                </c:pt>
                <c:pt idx="98">
                  <c:v>93.7382476642303</c:v>
                </c:pt>
                <c:pt idx="99">
                  <c:v>93.561115977014495</c:v>
                </c:pt>
                <c:pt idx="100">
                  <c:v>93.390621975799149</c:v>
                </c:pt>
                <c:pt idx="101">
                  <c:v>93.226289639615686</c:v>
                </c:pt>
                <c:pt idx="102">
                  <c:v>93.067635828503214</c:v>
                </c:pt>
                <c:pt idx="103">
                  <c:v>92.914166551570077</c:v>
                </c:pt>
                <c:pt idx="104">
                  <c:v>92.765372741154891</c:v>
                </c:pt>
                <c:pt idx="105">
                  <c:v>92.620725454535972</c:v>
                </c:pt>
                <c:pt idx="106">
                  <c:v>92.479670410904461</c:v>
                </c:pt>
                <c:pt idx="107">
                  <c:v>92.341621755248482</c:v>
                </c:pt>
                <c:pt idx="108">
                  <c:v>92.205954921953932</c:v>
                </c:pt>
                <c:pt idx="109">
                  <c:v>92.071998448773925</c:v>
                </c:pt>
                <c:pt idx="110">
                  <c:v>91.939024565713211</c:v>
                </c:pt>
                <c:pt idx="111">
                  <c:v>91.806238352568272</c:v>
                </c:pt>
                <c:pt idx="112">
                  <c:v>91.672765222449229</c:v>
                </c:pt>
                <c:pt idx="113">
                  <c:v>91.53763644554067</c:v>
                </c:pt>
                <c:pt idx="114">
                  <c:v>91.399772376374457</c:v>
                </c:pt>
                <c:pt idx="115">
                  <c:v>91.257962987558003</c:v>
                </c:pt>
                <c:pt idx="116">
                  <c:v>91.110845241559787</c:v>
                </c:pt>
                <c:pt idx="117">
                  <c:v>90.956876747947604</c:v>
                </c:pt>
                <c:pt idx="118">
                  <c:v>90.794305054384651</c:v>
                </c:pt>
                <c:pt idx="119">
                  <c:v>90.621131803642186</c:v>
                </c:pt>
                <c:pt idx="120">
                  <c:v>90.435070853984882</c:v>
                </c:pt>
                <c:pt idx="121">
                  <c:v>90.233499305123857</c:v>
                </c:pt>
                <c:pt idx="122">
                  <c:v>90.013400196371038</c:v>
                </c:pt>
                <c:pt idx="123">
                  <c:v>89.771295449815881</c:v>
                </c:pt>
                <c:pt idx="124">
                  <c:v>89.503167425698166</c:v>
                </c:pt>
                <c:pt idx="125">
                  <c:v>89.204367253395787</c:v>
                </c:pt>
                <c:pt idx="126">
                  <c:v>88.869507925638757</c:v>
                </c:pt>
                <c:pt idx="127">
                  <c:v>88.492340042099002</c:v>
                </c:pt>
                <c:pt idx="128">
                  <c:v>88.065608140764397</c:v>
                </c:pt>
                <c:pt idx="129">
                  <c:v>87.580885893578056</c:v>
                </c:pt>
                <c:pt idx="130">
                  <c:v>87.028389281730227</c:v>
                </c:pt>
                <c:pt idx="131">
                  <c:v>86.396768548835766</c:v>
                </c:pt>
                <c:pt idx="132">
                  <c:v>85.672882793207719</c:v>
                </c:pt>
                <c:pt idx="133">
                  <c:v>84.841566320719423</c:v>
                </c:pt>
                <c:pt idx="134">
                  <c:v>83.885404541891617</c:v>
                </c:pt>
                <c:pt idx="135">
                  <c:v>82.784550950598415</c:v>
                </c:pt>
                <c:pt idx="136">
                  <c:v>81.51663775321191</c:v>
                </c:pt>
                <c:pt idx="137">
                  <c:v>80.056863444431556</c:v>
                </c:pt>
                <c:pt idx="138">
                  <c:v>78.37838277437082</c:v>
                </c:pt>
                <c:pt idx="139">
                  <c:v>76.453176875292826</c:v>
                </c:pt>
                <c:pt idx="140">
                  <c:v>74.253635002699298</c:v>
                </c:pt>
                <c:pt idx="141">
                  <c:v>71.755110382534212</c:v>
                </c:pt>
                <c:pt idx="142">
                  <c:v>68.939672588821438</c:v>
                </c:pt>
                <c:pt idx="143">
                  <c:v>65.80109160244038</c:v>
                </c:pt>
                <c:pt idx="144">
                  <c:v>62.350672134472859</c:v>
                </c:pt>
                <c:pt idx="145">
                  <c:v>58.62289579990221</c:v>
                </c:pt>
                <c:pt idx="146">
                  <c:v>54.679100811077447</c:v>
                </c:pt>
                <c:pt idx="147">
                  <c:v>50.607091414448263</c:v>
                </c:pt>
                <c:pt idx="148">
                  <c:v>46.515202992970544</c:v>
                </c:pt>
                <c:pt idx="149">
                  <c:v>42.521141993239766</c:v>
                </c:pt>
                <c:pt idx="150">
                  <c:v>38.738154868293364</c:v>
                </c:pt>
                <c:pt idx="151">
                  <c:v>35.262371991983471</c:v>
                </c:pt>
                <c:pt idx="152">
                  <c:v>32.164593778895892</c:v>
                </c:pt>
                <c:pt idx="153">
                  <c:v>29.487761572619334</c:v>
                </c:pt>
                <c:pt idx="154">
                  <c:v>27.249242674165856</c:v>
                </c:pt>
                <c:pt idx="155">
                  <c:v>25.44593490023297</c:v>
                </c:pt>
                <c:pt idx="156">
                  <c:v>24.060203407425774</c:v>
                </c:pt>
                <c:pt idx="157">
                  <c:v>23.065302155896561</c:v>
                </c:pt>
                <c:pt idx="158">
                  <c:v>22.429657119534198</c:v>
                </c:pt>
                <c:pt idx="159">
                  <c:v>22.119909573302323</c:v>
                </c:pt>
                <c:pt idx="160">
                  <c:v>22.102889206344202</c:v>
                </c:pt>
                <c:pt idx="161">
                  <c:v>22.346775803178303</c:v>
                </c:pt>
                <c:pt idx="162">
                  <c:v>22.821698262029486</c:v>
                </c:pt>
                <c:pt idx="163">
                  <c:v>23.499970879333603</c:v>
                </c:pt>
                <c:pt idx="164">
                  <c:v>24.356111987564276</c:v>
                </c:pt>
                <c:pt idx="165">
                  <c:v>25.36674308157626</c:v>
                </c:pt>
                <c:pt idx="166">
                  <c:v>26.510431111657567</c:v>
                </c:pt>
                <c:pt idx="167">
                  <c:v>27.767511771532156</c:v>
                </c:pt>
                <c:pt idx="168">
                  <c:v>29.119915075246553</c:v>
                </c:pt>
                <c:pt idx="169">
                  <c:v>30.551003971972165</c:v>
                </c:pt>
                <c:pt idx="170">
                  <c:v>32.045430299879428</c:v>
                </c:pt>
                <c:pt idx="171">
                  <c:v>33.589008639049837</c:v>
                </c:pt>
                <c:pt idx="172">
                  <c:v>35.168606623753817</c:v>
                </c:pt>
                <c:pt idx="173">
                  <c:v>36.772049368696742</c:v>
                </c:pt>
                <c:pt idx="174">
                  <c:v>38.388035426400108</c:v>
                </c:pt>
                <c:pt idx="175">
                  <c:v>40.006061846970141</c:v>
                </c:pt>
                <c:pt idx="176">
                  <c:v>41.61635627856387</c:v>
                </c:pt>
                <c:pt idx="177">
                  <c:v>43.209814511849231</c:v>
                </c:pt>
                <c:pt idx="178">
                  <c:v>44.777942361253764</c:v>
                </c:pt>
                <c:pt idx="179">
                  <c:v>46.312801243405289</c:v>
                </c:pt>
                <c:pt idx="180">
                  <c:v>47.806957230642126</c:v>
                </c:pt>
                <c:pt idx="181">
                  <c:v>49.253433708512262</c:v>
                </c:pt>
                <c:pt idx="182">
                  <c:v>50.645668042784621</c:v>
                </c:pt>
                <c:pt idx="183">
                  <c:v>51.977472861055787</c:v>
                </c:pt>
                <c:pt idx="184">
                  <c:v>53.243002677671484</c:v>
                </c:pt>
                <c:pt idx="185">
                  <c:v>54.436726641767535</c:v>
                </c:pt>
                <c:pt idx="186">
                  <c:v>55.553408171731746</c:v>
                </c:pt>
                <c:pt idx="187">
                  <c:v>56.588092161057659</c:v>
                </c:pt>
                <c:pt idx="188">
                  <c:v>57.536100306779701</c:v>
                </c:pt>
                <c:pt idx="189">
                  <c:v>58.393034929129328</c:v>
                </c:pt>
                <c:pt idx="190">
                  <c:v>59.154791426694175</c:v>
                </c:pt>
                <c:pt idx="191">
                  <c:v>59.817579252284332</c:v>
                </c:pt>
                <c:pt idx="192">
                  <c:v>60.377951008135284</c:v>
                </c:pt>
                <c:pt idx="193">
                  <c:v>60.832838952401573</c:v>
                </c:pt>
                <c:pt idx="194">
                  <c:v>61.179597889744997</c:v>
                </c:pt>
                <c:pt idx="195">
                  <c:v>61.416053095322113</c:v>
                </c:pt>
                <c:pt idx="196">
                  <c:v>61.540551602870764</c:v>
                </c:pt>
                <c:pt idx="197">
                  <c:v>61.552014884751102</c:v>
                </c:pt>
                <c:pt idx="198">
                  <c:v>61.449990678182274</c:v>
                </c:pt>
                <c:pt idx="199">
                  <c:v>61.234701484472396</c:v>
                </c:pt>
                <c:pt idx="200">
                  <c:v>60.907087107361306</c:v>
                </c:pt>
                <c:pt idx="201">
                  <c:v>60.468838527073828</c:v>
                </c:pt>
                <c:pt idx="202">
                  <c:v>59.922420454711002</c:v>
                </c:pt>
                <c:pt idx="203">
                  <c:v>59.271080103162362</c:v>
                </c:pt>
                <c:pt idx="204">
                  <c:v>58.518840066875697</c:v>
                </c:pt>
                <c:pt idx="205">
                  <c:v>57.670473734721043</c:v>
                </c:pt>
                <c:pt idx="206">
                  <c:v>56.731462363287463</c:v>
                </c:pt>
                <c:pt idx="207">
                  <c:v>55.707933787651754</c:v>
                </c:pt>
                <c:pt idx="208">
                  <c:v>54.606583695902557</c:v>
                </c:pt>
                <c:pt idx="209">
                  <c:v>53.434581374535611</c:v>
                </c:pt>
                <c:pt idx="210">
                  <c:v>52.199462761024222</c:v>
                </c:pt>
                <c:pt idx="211">
                  <c:v>50.909014428695713</c:v>
                </c:pt>
                <c:pt idx="212">
                  <c:v>49.571152695788228</c:v>
                </c:pt>
                <c:pt idx="213">
                  <c:v>48.193802333232654</c:v>
                </c:pt>
                <c:pt idx="214">
                  <c:v>46.784779312572397</c:v>
                </c:pt>
                <c:pt idx="215">
                  <c:v>45.351681690720454</c:v>
                </c:pt>
                <c:pt idx="216">
                  <c:v>43.901792111911135</c:v>
                </c:pt>
                <c:pt idx="217">
                  <c:v>42.441994588132431</c:v>
                </c:pt>
                <c:pt idx="218">
                  <c:v>40.97870728473859</c:v>
                </c:pt>
                <c:pt idx="219">
                  <c:v>39.517832079712122</c:v>
                </c:pt>
                <c:pt idx="220">
                  <c:v>38.064720767306156</c:v>
                </c:pt>
                <c:pt idx="221">
                  <c:v>36.624157006022926</c:v>
                </c:pt>
                <c:pt idx="222">
                  <c:v>35.200352510194605</c:v>
                </c:pt>
                <c:pt idx="223">
                  <c:v>33.796955572587066</c:v>
                </c:pt>
                <c:pt idx="224">
                  <c:v>32.417069779190044</c:v>
                </c:pt>
                <c:pt idx="225">
                  <c:v>31.063280716731114</c:v>
                </c:pt>
                <c:pt idx="226">
                  <c:v>29.737688547737605</c:v>
                </c:pt>
                <c:pt idx="227">
                  <c:v>28.441944501745169</c:v>
                </c:pt>
                <c:pt idx="228">
                  <c:v>27.177289569397843</c:v>
                </c:pt>
                <c:pt idx="229">
                  <c:v>25.94459395726706</c:v>
                </c:pt>
                <c:pt idx="230">
                  <c:v>24.744396139655152</c:v>
                </c:pt>
                <c:pt idx="231">
                  <c:v>23.576940610361618</c:v>
                </c:pt>
                <c:pt idx="232">
                  <c:v>22.442213679607036</c:v>
                </c:pt>
                <c:pt idx="233">
                  <c:v>21.339976871777793</c:v>
                </c:pt>
                <c:pt idx="234">
                  <c:v>20.269797655470185</c:v>
                </c:pt>
                <c:pt idx="235">
                  <c:v>19.231077378777513</c:v>
                </c:pt>
                <c:pt idx="236">
                  <c:v>18.223076392351075</c:v>
                </c:pt>
                <c:pt idx="237">
                  <c:v>17.24493642414329</c:v>
                </c:pt>
                <c:pt idx="238">
                  <c:v>16.295700327137922</c:v>
                </c:pt>
                <c:pt idx="239">
                  <c:v>15.374329359097459</c:v>
                </c:pt>
                <c:pt idx="240">
                  <c:v>14.479718175447843</c:v>
                </c:pt>
                <c:pt idx="241">
                  <c:v>13.610707726455246</c:v>
                </c:pt>
                <c:pt idx="242">
                  <c:v>12.76609625092749</c:v>
                </c:pt>
                <c:pt idx="243">
                  <c:v>11.944648553314252</c:v>
                </c:pt>
                <c:pt idx="244">
                  <c:v>11.145103741336015</c:v>
                </c:pt>
                <c:pt idx="245">
                  <c:v>10.366181588709395</c:v>
                </c:pt>
                <c:pt idx="246">
                  <c:v>9.6065876733776321</c:v>
                </c:pt>
                <c:pt idx="247">
                  <c:v>8.865017426750228</c:v>
                </c:pt>
                <c:pt idx="248">
                  <c:v>8.1401592144524528</c:v>
                </c:pt>
                <c:pt idx="249">
                  <c:v>7.4306965543694048</c:v>
                </c:pt>
                <c:pt idx="250">
                  <c:v>6.7353095636340896</c:v>
                </c:pt>
              </c:numCache>
            </c:numRef>
          </c:yVal>
          <c:smooth val="1"/>
          <c:extLst xmlns:c16r2="http://schemas.microsoft.com/office/drawing/2015/06/chart">
            <c:ext xmlns:c16="http://schemas.microsoft.com/office/drawing/2014/chart" uri="{C3380CC4-5D6E-409C-BE32-E72D297353CC}">
              <c16:uniqueId val="{00000001-8196-4167-8207-56CFED3D0A01}"/>
            </c:ext>
          </c:extLst>
        </c:ser>
        <c:dLbls>
          <c:showLegendKey val="0"/>
          <c:showVal val="0"/>
          <c:showCatName val="0"/>
          <c:showSerName val="0"/>
          <c:showPercent val="0"/>
          <c:showBubbleSize val="0"/>
        </c:dLbls>
        <c:axId val="100524800"/>
        <c:axId val="100526336"/>
      </c:scatterChart>
      <c:valAx>
        <c:axId val="100487936"/>
        <c:scaling>
          <c:logBase val="10"/>
          <c:orientation val="minMax"/>
          <c:max val="1000000"/>
          <c:min val="10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600" b="1" i="0" u="none" strike="noStrike" baseline="0">
                    <a:solidFill>
                      <a:srgbClr val="000000"/>
                    </a:solidFill>
                    <a:latin typeface="Arial"/>
                    <a:ea typeface="Arial"/>
                    <a:cs typeface="Arial"/>
                  </a:defRPr>
                </a:pPr>
                <a:r>
                  <a:rPr lang="en-US"/>
                  <a:t>Frequency - Hz</a:t>
                </a:r>
              </a:p>
            </c:rich>
          </c:tx>
          <c:layout>
            <c:manualLayout>
              <c:xMode val="edge"/>
              <c:yMode val="edge"/>
              <c:x val="0.40750732561756181"/>
              <c:y val="0.8422712671864922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00489856"/>
        <c:crossesAt val="-100"/>
        <c:crossBetween val="midCat"/>
      </c:valAx>
      <c:valAx>
        <c:axId val="100489856"/>
        <c:scaling>
          <c:orientation val="minMax"/>
        </c:scaling>
        <c:delete val="0"/>
        <c:axPos val="l"/>
        <c:majorGridlines>
          <c:spPr>
            <a:ln w="3175">
              <a:solidFill>
                <a:srgbClr val="000000"/>
              </a:solidFill>
              <a:prstDash val="solid"/>
            </a:ln>
          </c:spPr>
        </c:majorGridlines>
        <c:title>
          <c:tx>
            <c:rich>
              <a:bodyPr/>
              <a:lstStyle/>
              <a:p>
                <a:pPr>
                  <a:defRPr sz="600" b="1" i="0" u="none" strike="noStrike" baseline="0">
                    <a:solidFill>
                      <a:srgbClr val="000000"/>
                    </a:solidFill>
                    <a:latin typeface="Arial"/>
                    <a:ea typeface="Arial"/>
                    <a:cs typeface="Arial"/>
                  </a:defRPr>
                </a:pPr>
                <a:r>
                  <a:rPr lang="en-US"/>
                  <a:t>Gain - dB</a:t>
                </a:r>
              </a:p>
            </c:rich>
          </c:tx>
          <c:layout>
            <c:manualLayout>
              <c:xMode val="edge"/>
              <c:yMode val="edge"/>
              <c:x val="4.2895378722150372E-2"/>
              <c:y val="0.394321832033769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00487936"/>
        <c:crosses val="autoZero"/>
        <c:crossBetween val="midCat"/>
        <c:majorUnit val="20"/>
        <c:minorUnit val="4"/>
      </c:valAx>
      <c:valAx>
        <c:axId val="100524800"/>
        <c:scaling>
          <c:logBase val="10"/>
          <c:orientation val="minMax"/>
        </c:scaling>
        <c:delete val="1"/>
        <c:axPos val="b"/>
        <c:numFmt formatCode="General" sourceLinked="1"/>
        <c:majorTickMark val="out"/>
        <c:minorTickMark val="none"/>
        <c:tickLblPos val="nextTo"/>
        <c:crossAx val="100526336"/>
        <c:crosses val="autoZero"/>
        <c:crossBetween val="midCat"/>
      </c:valAx>
      <c:valAx>
        <c:axId val="100526336"/>
        <c:scaling>
          <c:orientation val="minMax"/>
        </c:scaling>
        <c:delete val="0"/>
        <c:axPos val="r"/>
        <c:title>
          <c:tx>
            <c:rich>
              <a:bodyPr/>
              <a:lstStyle/>
              <a:p>
                <a:pPr>
                  <a:defRPr sz="600" b="0" i="0" u="none" strike="noStrike" baseline="0">
                    <a:solidFill>
                      <a:srgbClr val="000000"/>
                    </a:solidFill>
                    <a:latin typeface="Arial"/>
                    <a:ea typeface="Arial"/>
                    <a:cs typeface="Arial"/>
                  </a:defRPr>
                </a:pPr>
                <a:r>
                  <a:rPr lang="en-US" sz="475" b="1" i="0" u="none" strike="noStrike" baseline="0">
                    <a:solidFill>
                      <a:srgbClr val="000000"/>
                    </a:solidFill>
                    <a:latin typeface="Arial"/>
                    <a:cs typeface="Arial"/>
                  </a:rPr>
                  <a:t>Phase - °</a:t>
                </a:r>
              </a:p>
            </c:rich>
          </c:tx>
          <c:layout>
            <c:manualLayout>
              <c:xMode val="edge"/>
              <c:yMode val="edge"/>
              <c:x val="0.92493411036718109"/>
              <c:y val="0.4195582760184174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00524800"/>
        <c:crosses val="max"/>
        <c:crossBetween val="midCat"/>
        <c:majorUnit val="45"/>
      </c:valAx>
      <c:spPr>
        <a:solidFill>
          <a:srgbClr val="C0C0C0"/>
        </a:solidFill>
        <a:ln w="12700">
          <a:solidFill>
            <a:srgbClr val="808080"/>
          </a:solidFill>
          <a:prstDash val="solid"/>
        </a:ln>
      </c:spPr>
    </c:plotArea>
    <c:legend>
      <c:legendPos val="r"/>
      <c:layout>
        <c:manualLayout>
          <c:xMode val="edge"/>
          <c:yMode val="edge"/>
          <c:x val="0.36194200185315056"/>
          <c:y val="0.93063084566973009"/>
          <c:w val="0.27882939402020485"/>
          <c:h val="5.0474893324459938E-2"/>
        </c:manualLayout>
      </c:layout>
      <c:overlay val="0"/>
      <c:spPr>
        <a:solidFill>
          <a:srgbClr val="FFFFFF"/>
        </a:solidFill>
        <a:ln w="3175">
          <a:solidFill>
            <a:srgbClr val="000000"/>
          </a:solidFill>
          <a:prstDash val="solid"/>
        </a:ln>
      </c:spPr>
      <c:txPr>
        <a:bodyPr/>
        <a:lstStyle/>
        <a:p>
          <a:pPr>
            <a:defRPr sz="42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25" b="1" i="0" u="none" strike="noStrike" baseline="0">
                <a:solidFill>
                  <a:srgbClr val="000000"/>
                </a:solidFill>
                <a:latin typeface="Arial"/>
                <a:ea typeface="Arial"/>
                <a:cs typeface="Arial"/>
              </a:defRPr>
            </a:pPr>
            <a:r>
              <a:rPr lang="en-US"/>
              <a:t>Control to Output Bode</a:t>
            </a:r>
          </a:p>
        </c:rich>
      </c:tx>
      <c:layout>
        <c:manualLayout>
          <c:xMode val="edge"/>
          <c:yMode val="edge"/>
          <c:x val="0.32352947582796965"/>
          <c:y val="3.4700270130467267E-2"/>
        </c:manualLayout>
      </c:layout>
      <c:overlay val="0"/>
      <c:spPr>
        <a:noFill/>
        <a:ln w="25400">
          <a:noFill/>
        </a:ln>
      </c:spPr>
    </c:title>
    <c:autoTitleDeleted val="0"/>
    <c:plotArea>
      <c:layout>
        <c:manualLayout>
          <c:layoutTarget val="inner"/>
          <c:xMode val="edge"/>
          <c:yMode val="edge"/>
          <c:x val="0.13903743315508021"/>
          <c:y val="0.16088328075709779"/>
          <c:w val="0.71657754010695185"/>
          <c:h val="0.62145110410094639"/>
        </c:manualLayout>
      </c:layout>
      <c:scatterChart>
        <c:scatterStyle val="smoothMarker"/>
        <c:varyColors val="0"/>
        <c:ser>
          <c:idx val="0"/>
          <c:order val="0"/>
          <c:tx>
            <c:v>Gain</c:v>
          </c:tx>
          <c:spPr>
            <a:ln w="25400">
              <a:solidFill>
                <a:srgbClr val="000080"/>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compensation!$S$80:$S$330</c:f>
              <c:numCache>
                <c:formatCode>0.000</c:formatCode>
                <c:ptCount val="251"/>
                <c:pt idx="0">
                  <c:v>15.69171389449629</c:v>
                </c:pt>
                <c:pt idx="1">
                  <c:v>15.691714539618344</c:v>
                </c:pt>
                <c:pt idx="2">
                  <c:v>15.691715246980573</c:v>
                </c:pt>
                <c:pt idx="3">
                  <c:v>15.691716022587796</c:v>
                </c:pt>
                <c:pt idx="4">
                  <c:v>15.691716873024147</c:v>
                </c:pt>
                <c:pt idx="5">
                  <c:v>15.691717805509018</c:v>
                </c:pt>
                <c:pt idx="6">
                  <c:v>15.691718827958264</c:v>
                </c:pt>
                <c:pt idx="7">
                  <c:v>15.691719949051489</c:v>
                </c:pt>
                <c:pt idx="8">
                  <c:v>15.691721178305656</c:v>
                </c:pt>
                <c:pt idx="9">
                  <c:v>15.691722526155917</c:v>
                </c:pt>
                <c:pt idx="10">
                  <c:v>15.6917240040442</c:v>
                </c:pt>
                <c:pt idx="11">
                  <c:v>15.691725624516298</c:v>
                </c:pt>
                <c:pt idx="12">
                  <c:v>15.691727401328411</c:v>
                </c:pt>
                <c:pt idx="13">
                  <c:v>15.691729349563875</c:v>
                </c:pt>
                <c:pt idx="14">
                  <c:v>15.691731485761277</c:v>
                </c:pt>
                <c:pt idx="15">
                  <c:v>15.691733828054772</c:v>
                </c:pt>
                <c:pt idx="16">
                  <c:v>15.691736396328062</c:v>
                </c:pt>
                <c:pt idx="17">
                  <c:v>15.691739212383176</c:v>
                </c:pt>
                <c:pt idx="18">
                  <c:v>15.691742300125568</c:v>
                </c:pt>
                <c:pt idx="19">
                  <c:v>15.691745685766982</c:v>
                </c:pt>
                <c:pt idx="20">
                  <c:v>15.691749398048017</c:v>
                </c:pt>
                <c:pt idx="21">
                  <c:v>15.69175346848211</c:v>
                </c:pt>
                <c:pt idx="22">
                  <c:v>15.691757931622956</c:v>
                </c:pt>
                <c:pt idx="23">
                  <c:v>15.691762825357936</c:v>
                </c:pt>
                <c:pt idx="24">
                  <c:v>15.691768191229666</c:v>
                </c:pt>
                <c:pt idx="25">
                  <c:v>15.691774074788636</c:v>
                </c:pt>
                <c:pt idx="26">
                  <c:v>15.691780525979906</c:v>
                </c:pt>
                <c:pt idx="27">
                  <c:v>15.691787599567027</c:v>
                </c:pt>
                <c:pt idx="28">
                  <c:v>15.691795355596946</c:v>
                </c:pt>
                <c:pt idx="29">
                  <c:v>15.691803859909669</c:v>
                </c:pt>
                <c:pt idx="30">
                  <c:v>15.691813184697164</c:v>
                </c:pt>
                <c:pt idx="31">
                  <c:v>15.691823409116157</c:v>
                </c:pt>
                <c:pt idx="32">
                  <c:v>15.691834619960005</c:v>
                </c:pt>
                <c:pt idx="33">
                  <c:v>15.691846912395457</c:v>
                </c:pt>
                <c:pt idx="34">
                  <c:v>15.691860390770421</c:v>
                </c:pt>
                <c:pt idx="35">
                  <c:v>15.691875169499674</c:v>
                </c:pt>
                <c:pt idx="36">
                  <c:v>15.691891374036013</c:v>
                </c:pt>
                <c:pt idx="37">
                  <c:v>15.691909141935085</c:v>
                </c:pt>
                <c:pt idx="38">
                  <c:v>15.691928624022919</c:v>
                </c:pt>
                <c:pt idx="39">
                  <c:v>15.691949985676061</c:v>
                </c:pt>
                <c:pt idx="40">
                  <c:v>15.691973408225262</c:v>
                </c:pt>
                <c:pt idx="41">
                  <c:v>15.691999090494404</c:v>
                </c:pt>
                <c:pt idx="42">
                  <c:v>15.692027250488017</c:v>
                </c:pt>
                <c:pt idx="43">
                  <c:v>15.69205812724147</c:v>
                </c:pt>
                <c:pt idx="44">
                  <c:v>15.692091982849576</c:v>
                </c:pt>
                <c:pt idx="45">
                  <c:v>15.692129104690915</c:v>
                </c:pt>
                <c:pt idx="46">
                  <c:v>15.692169807866614</c:v>
                </c:pt>
                <c:pt idx="47">
                  <c:v>15.692214437874286</c:v>
                </c:pt>
                <c:pt idx="48">
                  <c:v>15.692263373539884</c:v>
                </c:pt>
                <c:pt idx="49">
                  <c:v>15.692317030232187</c:v>
                </c:pt>
                <c:pt idx="50">
                  <c:v>15.692375863387264</c:v>
                </c:pt>
                <c:pt idx="51">
                  <c:v>15.692440372372722</c:v>
                </c:pt>
                <c:pt idx="52">
                  <c:v>15.692511104724485</c:v>
                </c:pt>
                <c:pt idx="53">
                  <c:v>15.692588660792069</c:v>
                </c:pt>
                <c:pt idx="54">
                  <c:v>15.692673698831472</c:v>
                </c:pt>
                <c:pt idx="55">
                  <c:v>15.692766940589111</c:v>
                </c:pt>
                <c:pt idx="56">
                  <c:v>15.692869177423802</c:v>
                </c:pt>
                <c:pt idx="57">
                  <c:v>15.692981277018678</c:v>
                </c:pt>
                <c:pt idx="58">
                  <c:v>15.693104190739913</c:v>
                </c:pt>
                <c:pt idx="59">
                  <c:v>15.693238961704237</c:v>
                </c:pt>
                <c:pt idx="60">
                  <c:v>15.693386733623782</c:v>
                </c:pt>
                <c:pt idx="61">
                  <c:v>15.693548760502596</c:v>
                </c:pt>
                <c:pt idx="62">
                  <c:v>15.693726417267071</c:v>
                </c:pt>
                <c:pt idx="63">
                  <c:v>15.693921211419735</c:v>
                </c:pt>
                <c:pt idx="64">
                  <c:v>15.694134795814916</c:v>
                </c:pt>
                <c:pt idx="65">
                  <c:v>15.694368982663862</c:v>
                </c:pt>
                <c:pt idx="66">
                  <c:v>15.694625758887426</c:v>
                </c:pt>
                <c:pt idx="67">
                  <c:v>15.694907302945424</c:v>
                </c:pt>
                <c:pt idx="68">
                  <c:v>15.695216003284401</c:v>
                </c:pt>
                <c:pt idx="69">
                  <c:v>15.695554478558666</c:v>
                </c:pt>
                <c:pt idx="70">
                  <c:v>15.695925599794528</c:v>
                </c:pt>
                <c:pt idx="71">
                  <c:v>15.696332514683544</c:v>
                </c:pt>
                <c:pt idx="72">
                  <c:v>15.696778674208209</c:v>
                </c:pt>
                <c:pt idx="73">
                  <c:v>15.697267861822922</c:v>
                </c:pt>
                <c:pt idx="74">
                  <c:v>15.697804225433876</c:v>
                </c:pt>
                <c:pt idx="75">
                  <c:v>15.698392312444538</c:v>
                </c:pt>
                <c:pt idx="76">
                  <c:v>15.699037108158498</c:v>
                </c:pt>
                <c:pt idx="77">
                  <c:v>15.699744077858533</c:v>
                </c:pt>
                <c:pt idx="78">
                  <c:v>15.700519212910699</c:v>
                </c:pt>
                <c:pt idx="79">
                  <c:v>15.701369081274564</c:v>
                </c:pt>
                <c:pt idx="80">
                  <c:v>15.702300882835944</c:v>
                </c:pt>
                <c:pt idx="81">
                  <c:v>15.703322510016793</c:v>
                </c:pt>
                <c:pt idx="82">
                  <c:v>15.704442614158706</c:v>
                </c:pt>
                <c:pt idx="83">
                  <c:v>15.705670678221432</c:v>
                </c:pt>
                <c:pt idx="84">
                  <c:v>15.707017096386721</c:v>
                </c:pt>
                <c:pt idx="85">
                  <c:v>15.708493261211089</c:v>
                </c:pt>
                <c:pt idx="86">
                  <c:v>15.710111659027621</c:v>
                </c:pt>
                <c:pt idx="87">
                  <c:v>15.711885974359088</c:v>
                </c:pt>
                <c:pt idx="88">
                  <c:v>15.713831204170175</c:v>
                </c:pt>
                <c:pt idx="89">
                  <c:v>15.715963782857941</c:v>
                </c:pt>
                <c:pt idx="90">
                  <c:v>15.718301718954786</c:v>
                </c:pt>
                <c:pt idx="91">
                  <c:v>15.720864744598773</c:v>
                </c:pt>
                <c:pt idx="92">
                  <c:v>15.723674478910903</c:v>
                </c:pt>
                <c:pt idx="93">
                  <c:v>15.726754606507908</c:v>
                </c:pt>
                <c:pt idx="94">
                  <c:v>15.730131072472091</c:v>
                </c:pt>
                <c:pt idx="95">
                  <c:v>15.733832295194967</c:v>
                </c:pt>
                <c:pt idx="96">
                  <c:v>15.737889398608482</c:v>
                </c:pt>
                <c:pt idx="97">
                  <c:v>15.742336465414224</c:v>
                </c:pt>
                <c:pt idx="98">
                  <c:v>15.747210813014391</c:v>
                </c:pt>
                <c:pt idx="99">
                  <c:v>15.752553293935559</c:v>
                </c:pt>
                <c:pt idx="100">
                  <c:v>15.758408622612091</c:v>
                </c:pt>
                <c:pt idx="101">
                  <c:v>15.764825730454053</c:v>
                </c:pt>
                <c:pt idx="102">
                  <c:v>15.771858151156739</c:v>
                </c:pt>
                <c:pt idx="103">
                  <c:v>15.779564438203179</c:v>
                </c:pt>
                <c:pt idx="104">
                  <c:v>15.78800861645268</c:v>
                </c:pt>
                <c:pt idx="105">
                  <c:v>15.797260669577959</c:v>
                </c:pt>
                <c:pt idx="106">
                  <c:v>15.807397064883194</c:v>
                </c:pt>
                <c:pt idx="107">
                  <c:v>15.818501316671949</c:v>
                </c:pt>
                <c:pt idx="108">
                  <c:v>15.830664588789894</c:v>
                </c:pt>
                <c:pt idx="109">
                  <c:v>15.843986336182459</c:v>
                </c:pt>
                <c:pt idx="110">
                  <c:v>15.858574984200507</c:v>
                </c:pt>
                <c:pt idx="111">
                  <c:v>15.87454864285079</c:v>
                </c:pt>
                <c:pt idx="112">
                  <c:v>15.892035851079351</c:v>
                </c:pt>
                <c:pt idx="113">
                  <c:v>15.911176343305813</c:v>
                </c:pt>
                <c:pt idx="114">
                  <c:v>15.932121826540817</c:v>
                </c:pt>
                <c:pt idx="115">
                  <c:v>15.955036751180184</c:v>
                </c:pt>
                <c:pt idx="116">
                  <c:v>15.980099051523833</c:v>
                </c:pt>
                <c:pt idx="117">
                  <c:v>16.007500822608147</c:v>
                </c:pt>
                <c:pt idx="118">
                  <c:v>16.037448887250743</c:v>
                </c:pt>
                <c:pt idx="119">
                  <c:v>16.070165190187396</c:v>
                </c:pt>
                <c:pt idx="120">
                  <c:v>16.1058869333521</c:v>
                </c:pt>
                <c:pt idx="121">
                  <c:v>16.144866335718081</c:v>
                </c:pt>
                <c:pt idx="122">
                  <c:v>16.18736985999065</c:v>
                </c:pt>
                <c:pt idx="123">
                  <c:v>16.233676693205499</c:v>
                </c:pt>
                <c:pt idx="124">
                  <c:v>16.284076194085543</c:v>
                </c:pt>
                <c:pt idx="125">
                  <c:v>16.338863920371438</c:v>
                </c:pt>
                <c:pt idx="126">
                  <c:v>16.398335715701947</c:v>
                </c:pt>
                <c:pt idx="127">
                  <c:v>16.462779156807581</c:v>
                </c:pt>
                <c:pt idx="128">
                  <c:v>16.532461423524577</c:v>
                </c:pt>
                <c:pt idx="129">
                  <c:v>16.607612338837466</c:v>
                </c:pt>
                <c:pt idx="130">
                  <c:v>16.68840091335316</c:v>
                </c:pt>
                <c:pt idx="131">
                  <c:v>16.774903197078228</c:v>
                </c:pt>
                <c:pt idx="132">
                  <c:v>16.867058574631379</c:v>
                </c:pt>
                <c:pt idx="133">
                  <c:v>16.964610838462477</c:v>
                </c:pt>
                <c:pt idx="134">
                  <c:v>17.067029479845623</c:v>
                </c:pt>
                <c:pt idx="135">
                  <c:v>17.173405777739053</c:v>
                </c:pt>
                <c:pt idx="136">
                  <c:v>17.28231773605971</c:v>
                </c:pt>
                <c:pt idx="137">
                  <c:v>17.391658311010055</c:v>
                </c:pt>
                <c:pt idx="138">
                  <c:v>17.498423751212602</c:v>
                </c:pt>
                <c:pt idx="139">
                  <c:v>17.598464995442502</c:v>
                </c:pt>
                <c:pt idx="140">
                  <c:v>17.68621744188744</c:v>
                </c:pt>
                <c:pt idx="141">
                  <c:v>17.754445841725747</c:v>
                </c:pt>
                <c:pt idx="142">
                  <c:v>17.7940730284576</c:v>
                </c:pt>
                <c:pt idx="143">
                  <c:v>17.794199887659367</c:v>
                </c:pt>
                <c:pt idx="144">
                  <c:v>17.742454350144669</c:v>
                </c:pt>
                <c:pt idx="145">
                  <c:v>17.6257984151713</c:v>
                </c:pt>
                <c:pt idx="146">
                  <c:v>17.431834759230021</c:v>
                </c:pt>
                <c:pt idx="147">
                  <c:v>17.150470979921213</c:v>
                </c:pt>
                <c:pt idx="148">
                  <c:v>16.775572112380896</c:v>
                </c:pt>
                <c:pt idx="149">
                  <c:v>16.306096572023186</c:v>
                </c:pt>
                <c:pt idx="150">
                  <c:v>15.746306532292021</c:v>
                </c:pt>
                <c:pt idx="151">
                  <c:v>15.10497223118211</c:v>
                </c:pt>
                <c:pt idx="152">
                  <c:v>14.3938674657151</c:v>
                </c:pt>
                <c:pt idx="153">
                  <c:v>13.626054767966469</c:v>
                </c:pt>
                <c:pt idx="154">
                  <c:v>12.814404781286973</c:v>
                </c:pt>
                <c:pt idx="155">
                  <c:v>11.970584581040063</c:v>
                </c:pt>
                <c:pt idx="156">
                  <c:v>11.104536921926458</c:v>
                </c:pt>
                <c:pt idx="157">
                  <c:v>10.224345316796759</c:v>
                </c:pt>
                <c:pt idx="158">
                  <c:v>9.3363437604707364</c:v>
                </c:pt>
                <c:pt idx="159">
                  <c:v>8.4453490318441062</c:v>
                </c:pt>
                <c:pt idx="160">
                  <c:v>7.5549315007612101</c:v>
                </c:pt>
                <c:pt idx="161">
                  <c:v>6.6676759884090231</c:v>
                </c:pt>
                <c:pt idx="162">
                  <c:v>5.7854099270393613</c:v>
                </c:pt>
                <c:pt idx="163">
                  <c:v>4.9093917801466871</c:v>
                </c:pt>
                <c:pt idx="164">
                  <c:v>4.0404609920785557</c:v>
                </c:pt>
                <c:pt idx="165">
                  <c:v>3.1791543732985099</c:v>
                </c:pt>
                <c:pt idx="166">
                  <c:v>2.3257948584002013</c:v>
                </c:pt>
                <c:pt idx="167">
                  <c:v>1.4805583211540507</c:v>
                </c:pt>
                <c:pt idx="168">
                  <c:v>0.64352335383980885</c:v>
                </c:pt>
                <c:pt idx="169">
                  <c:v>-0.18529198725052581</c:v>
                </c:pt>
                <c:pt idx="170">
                  <c:v>-1.0059033182011681</c:v>
                </c:pt>
                <c:pt idx="171">
                  <c:v>-1.8183405186245123</c:v>
                </c:pt>
                <c:pt idx="172">
                  <c:v>-2.6226339368395051</c:v>
                </c:pt>
                <c:pt idx="173">
                  <c:v>-3.4188048277847178</c:v>
                </c:pt>
                <c:pt idx="174">
                  <c:v>-4.2068589949495045</c:v>
                </c:pt>
                <c:pt idx="175">
                  <c:v>-4.9867828742565354</c:v>
                </c:pt>
                <c:pt idx="176">
                  <c:v>-5.7585414972271574</c:v>
                </c:pt>
                <c:pt idx="177">
                  <c:v>-6.5220779183032898</c:v>
                </c:pt>
                <c:pt idx="178">
                  <c:v>-7.2773137990774721</c:v>
                </c:pt>
                <c:pt idx="179">
                  <c:v>-8.0241509197944278</c:v>
                </c:pt>
                <c:pt idx="180">
                  <c:v>-8.762473443016713</c:v>
                </c:pt>
                <c:pt idx="181">
                  <c:v>-9.4921507912714489</c:v>
                </c:pt>
                <c:pt idx="182">
                  <c:v>-10.213041024011012</c:v>
                </c:pt>
                <c:pt idx="183">
                  <c:v>-10.924994612659225</c:v>
                </c:pt>
                <c:pt idx="184">
                  <c:v>-11.627858518549235</c:v>
                </c:pt>
                <c:pt idx="185">
                  <c:v>-12.32148047946888</c:v>
                </c:pt>
                <c:pt idx="186">
                  <c:v>-13.005713408284937</c:v>
                </c:pt>
                <c:pt idx="187">
                  <c:v>-13.680419803497159</c:v>
                </c:pt>
                <c:pt idx="188">
                  <c:v>-14.34547606815579</c:v>
                </c:pt>
                <c:pt idx="189">
                  <c:v>-15.000776631762932</c:v>
                </c:pt>
                <c:pt idx="190">
                  <c:v>-15.646237770718052</c:v>
                </c:pt>
                <c:pt idx="191">
                  <c:v>-16.28180102743255</c:v>
                </c:pt>
                <c:pt idx="192">
                  <c:v>-16.907436136945222</c:v>
                </c:pt>
                <c:pt idx="193">
                  <c:v>-17.523143382840281</c:v>
                </c:pt>
                <c:pt idx="194">
                  <c:v>-18.12895532122791</c:v>
                </c:pt>
                <c:pt idx="195">
                  <c:v>-18.724937831808099</c:v>
                </c:pt>
                <c:pt idx="196">
                  <c:v>-19.311190477602125</c:v>
                </c:pt>
                <c:pt idx="197">
                  <c:v>-19.887846178544198</c:v>
                </c:pt>
                <c:pt idx="198">
                  <c:v>-20.455070227401016</c:v>
                </c:pt>
                <c:pt idx="199">
                  <c:v>-21.013058698076755</c:v>
                </c:pt>
                <c:pt idx="200">
                  <c:v>-21.562036315024638</c:v>
                </c:pt>
                <c:pt idx="201">
                  <c:v>-22.102253867264775</c:v>
                </c:pt>
                <c:pt idx="202">
                  <c:v>-22.633985260744531</c:v>
                </c:pt>
                <c:pt idx="203">
                  <c:v>-23.157524308193796</c:v>
                </c:pt>
                <c:pt idx="204">
                  <c:v>-23.673181356308937</c:v>
                </c:pt>
                <c:pt idx="205">
                  <c:v>-24.181279846438422</c:v>
                </c:pt>
                <c:pt idx="206">
                  <c:v>-24.682152897604162</c:v>
                </c:pt>
                <c:pt idx="207">
                  <c:v>-25.176139990484344</c:v>
                </c:pt>
                <c:pt idx="208">
                  <c:v>-25.663583818822616</c:v>
                </c:pt>
                <c:pt idx="209">
                  <c:v>-26.144827361488325</c:v>
                </c:pt>
                <c:pt idx="210">
                  <c:v>-26.620211214935257</c:v>
                </c:pt>
                <c:pt idx="211">
                  <c:v>-27.090071212780128</c:v>
                </c:pt>
                <c:pt idx="212">
                  <c:v>-27.554736347199484</c:v>
                </c:pt>
                <c:pt idx="213">
                  <c:v>-28.014526996220393</c:v>
                </c:pt>
                <c:pt idx="214">
                  <c:v>-28.469753451979571</c:v>
                </c:pt>
                <c:pt idx="215">
                  <c:v>-28.920714737755464</c:v>
                </c:pt>
                <c:pt idx="216">
                  <c:v>-29.367697696014208</c:v>
                </c:pt>
                <c:pt idx="217">
                  <c:v>-29.810976325753259</c:v>
                </c:pt>
                <c:pt idx="218">
                  <c:v>-30.250811344909629</c:v>
                </c:pt>
                <c:pt idx="219">
                  <c:v>-30.687449952327452</c:v>
                </c:pt>
                <c:pt idx="220">
                  <c:v>-31.121125763535748</c:v>
                </c:pt>
                <c:pt idx="221">
                  <c:v>-31.55205889515992</c:v>
                </c:pt>
                <c:pt idx="222">
                  <c:v>-31.980456173979835</c:v>
                </c:pt>
                <c:pt idx="223">
                  <c:v>-32.406511448275445</c:v>
                </c:pt>
                <c:pt idx="224">
                  <c:v>-32.830405981009491</c:v>
                </c:pt>
                <c:pt idx="225">
                  <c:v>-33.252308906461835</c:v>
                </c:pt>
                <c:pt idx="226">
                  <c:v>-33.672377734043955</c:v>
                </c:pt>
                <c:pt idx="227">
                  <c:v>-34.09075888510818</c:v>
                </c:pt>
                <c:pt idx="228">
                  <c:v>-34.507588250566322</c:v>
                </c:pt>
                <c:pt idx="229">
                  <c:v>-34.92299175900299</c:v>
                </c:pt>
                <c:pt idx="230">
                  <c:v>-35.337085946687978</c:v>
                </c:pt>
                <c:pt idx="231">
                  <c:v>-35.749978522444238</c:v>
                </c:pt>
                <c:pt idx="232">
                  <c:v>-36.161768921709147</c:v>
                </c:pt>
                <c:pt idx="233">
                  <c:v>-36.572548845338034</c:v>
                </c:pt>
                <c:pt idx="234">
                  <c:v>-36.982402779750714</c:v>
                </c:pt>
                <c:pt idx="235">
                  <c:v>-37.391408495922448</c:v>
                </c:pt>
                <c:pt idx="236">
                  <c:v>-37.799637525480769</c:v>
                </c:pt>
                <c:pt idx="237">
                  <c:v>-38.207155612808386</c:v>
                </c:pt>
                <c:pt idx="238">
                  <c:v>-38.614023142578176</c:v>
                </c:pt>
                <c:pt idx="239">
                  <c:v>-39.020295542573308</c:v>
                </c:pt>
                <c:pt idx="240">
                  <c:v>-39.426023661992701</c:v>
                </c:pt>
                <c:pt idx="241">
                  <c:v>-39.83125412570719</c:v>
                </c:pt>
                <c:pt idx="242">
                  <c:v>-40.236029665145026</c:v>
                </c:pt>
                <c:pt idx="243">
                  <c:v>-40.640389426640027</c:v>
                </c:pt>
                <c:pt idx="244">
                  <c:v>-41.04436925818586</c:v>
                </c:pt>
                <c:pt idx="245">
                  <c:v>-41.44800197561657</c:v>
                </c:pt>
                <c:pt idx="246">
                  <c:v>-41.85131760928212</c:v>
                </c:pt>
                <c:pt idx="247">
                  <c:v>-42.254343632304213</c:v>
                </c:pt>
                <c:pt idx="248">
                  <c:v>-42.657105171506238</c:v>
                </c:pt>
                <c:pt idx="249">
                  <c:v>-43.059625202094281</c:v>
                </c:pt>
                <c:pt idx="250">
                  <c:v>-43.461924727144414</c:v>
                </c:pt>
              </c:numCache>
            </c:numRef>
          </c:yVal>
          <c:smooth val="1"/>
          <c:extLst xmlns:c16r2="http://schemas.microsoft.com/office/drawing/2015/06/chart">
            <c:ext xmlns:c16="http://schemas.microsoft.com/office/drawing/2014/chart" uri="{C3380CC4-5D6E-409C-BE32-E72D297353CC}">
              <c16:uniqueId val="{00000000-A76D-4267-BF2B-A34319C5F893}"/>
            </c:ext>
          </c:extLst>
        </c:ser>
        <c:dLbls>
          <c:showLegendKey val="0"/>
          <c:showVal val="0"/>
          <c:showCatName val="0"/>
          <c:showSerName val="0"/>
          <c:showPercent val="0"/>
          <c:showBubbleSize val="0"/>
        </c:dLbls>
        <c:axId val="494402944"/>
        <c:axId val="493946368"/>
      </c:scatterChart>
      <c:scatterChart>
        <c:scatterStyle val="lineMarker"/>
        <c:varyColors val="0"/>
        <c:ser>
          <c:idx val="1"/>
          <c:order val="1"/>
          <c:tx>
            <c:v>Phase</c:v>
          </c:tx>
          <c:spPr>
            <a:ln w="25400">
              <a:solidFill>
                <a:srgbClr val="FF00FF"/>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compensation!$P$80:$P$330</c:f>
              <c:numCache>
                <c:formatCode>0.0000</c:formatCode>
                <c:ptCount val="251"/>
                <c:pt idx="0">
                  <c:v>-4.8067036447331117E-2</c:v>
                </c:pt>
                <c:pt idx="1">
                  <c:v>-5.0332371274137644E-2</c:v>
                </c:pt>
                <c:pt idx="2">
                  <c:v>-5.2704468811089443E-2</c:v>
                </c:pt>
                <c:pt idx="3">
                  <c:v>-5.5188360743618152E-2</c:v>
                </c:pt>
                <c:pt idx="4">
                  <c:v>-5.7789315910060784E-2</c:v>
                </c:pt>
                <c:pt idx="5">
                  <c:v>-6.0512851480833824E-2</c:v>
                </c:pt>
                <c:pt idx="6">
                  <c:v>-6.3364744664833314E-2</c:v>
                </c:pt>
                <c:pt idx="7">
                  <c:v>-6.6351044967966677E-2</c:v>
                </c:pt>
                <c:pt idx="8">
                  <c:v>-6.9478087029900451E-2</c:v>
                </c:pt>
                <c:pt idx="9">
                  <c:v>-7.2752504066345994E-2</c:v>
                </c:pt>
                <c:pt idx="10">
                  <c:v>-7.6181241945504102E-2</c:v>
                </c:pt>
                <c:pt idx="11">
                  <c:v>-7.9771573928649378E-2</c:v>
                </c:pt>
                <c:pt idx="12">
                  <c:v>-8.3531116106269745E-2</c:v>
                </c:pt>
                <c:pt idx="13">
                  <c:v>-8.7467843562659783E-2</c:v>
                </c:pt>
                <c:pt idx="14">
                  <c:v>-9.159010730344623E-2</c:v>
                </c:pt>
                <c:pt idx="15">
                  <c:v>-9.5906651982172866E-2</c:v>
                </c:pt>
                <c:pt idx="16">
                  <c:v>-0.10042663446378028</c:v>
                </c:pt>
                <c:pt idx="17">
                  <c:v>-0.10515964326465589</c:v>
                </c:pt>
                <c:pt idx="18">
                  <c:v>-0.11011571891080536</c:v>
                </c:pt>
                <c:pt idx="19">
                  <c:v>-0.11530537525771196</c:v>
                </c:pt>
                <c:pt idx="20">
                  <c:v>-0.1207396218175253</c:v>
                </c:pt>
                <c:pt idx="21">
                  <c:v>-0.12642998714144849</c:v>
                </c:pt>
                <c:pt idx="22">
                  <c:v>-0.13238854330748159</c:v>
                </c:pt>
                <c:pt idx="23">
                  <c:v>-0.13862793156610562</c:v>
                </c:pt>
                <c:pt idx="24">
                  <c:v>-0.14516138919908081</c:v>
                </c:pt>
                <c:pt idx="25">
                  <c:v>-0.1520027776491624</c:v>
                </c:pt>
                <c:pt idx="26">
                  <c:v>-0.15916661198140494</c:v>
                </c:pt>
                <c:pt idx="27">
                  <c:v>-0.16666809173968541</c:v>
                </c:pt>
                <c:pt idx="28">
                  <c:v>-0.17452313326516988</c:v>
                </c:pt>
                <c:pt idx="29">
                  <c:v>-0.18274840354681191</c:v>
                </c:pt>
                <c:pt idx="30">
                  <c:v>-0.19136135567737134</c:v>
                </c:pt>
                <c:pt idx="31">
                  <c:v>-0.20038026599213848</c:v>
                </c:pt>
                <c:pt idx="32">
                  <c:v>-0.20982427297140641</c:v>
                </c:pt>
                <c:pt idx="33">
                  <c:v>-0.21971341799180644</c:v>
                </c:pt>
                <c:pt idx="34">
                  <c:v>-0.23006868801594249</c:v>
                </c:pt>
                <c:pt idx="35">
                  <c:v>-0.24091206031426968</c:v>
                </c:pt>
                <c:pt idx="36">
                  <c:v>-0.25226654931803133</c:v>
                </c:pt>
                <c:pt idx="37">
                  <c:v>-0.26415625570717971</c:v>
                </c:pt>
                <c:pt idx="38">
                  <c:v>-0.27660641784252976</c:v>
                </c:pt>
                <c:pt idx="39">
                  <c:v>-0.28964346565724874</c:v>
                </c:pt>
                <c:pt idx="40">
                  <c:v>-0.30329507712879306</c:v>
                </c:pt>
                <c:pt idx="41">
                  <c:v>-0.31759023745897141</c:v>
                </c:pt>
                <c:pt idx="42">
                  <c:v>-0.33255930109662291</c:v>
                </c:pt>
                <c:pt idx="43">
                  <c:v>-0.34823405674486557</c:v>
                </c:pt>
                <c:pt idx="44">
                  <c:v>-0.36464779550267701</c:v>
                </c:pt>
                <c:pt idx="45">
                  <c:v>-0.38183538229898312</c:v>
                </c:pt>
                <c:pt idx="46">
                  <c:v>-0.39983333078646233</c:v>
                </c:pt>
                <c:pt idx="47">
                  <c:v>-0.41867988187191263</c:v>
                </c:pt>
                <c:pt idx="48">
                  <c:v>-0.4384150860704194</c:v>
                </c:pt>
                <c:pt idx="49">
                  <c:v>-0.45908088988175577</c:v>
                </c:pt>
                <c:pt idx="50">
                  <c:v>-0.48072122639944592</c:v>
                </c:pt>
                <c:pt idx="51">
                  <c:v>-0.50338211037601133</c:v>
                </c:pt>
                <c:pt idx="52">
                  <c:v>-0.52711173798196398</c:v>
                </c:pt>
                <c:pt idx="53">
                  <c:v>-0.55196059151138976</c:v>
                </c:pt>
                <c:pt idx="54">
                  <c:v>-0.57798154930368251</c:v>
                </c:pt>
                <c:pt idx="55">
                  <c:v>-0.60523000116888315</c:v>
                </c:pt>
                <c:pt idx="56">
                  <c:v>-0.63376396962409831</c:v>
                </c:pt>
                <c:pt idx="57">
                  <c:v>-0.66364423726980204</c:v>
                </c:pt>
                <c:pt idx="58">
                  <c:v>-0.69493448065875052</c:v>
                </c:pt>
                <c:pt idx="59">
                  <c:v>-0.72770141103609032</c:v>
                </c:pt>
                <c:pt idx="60">
                  <c:v>-0.76201492235790658</c:v>
                </c:pt>
                <c:pt idx="61">
                  <c:v>-0.79794824702719191</c:v>
                </c:pt>
                <c:pt idx="62">
                  <c:v>-0.83557811982088903</c:v>
                </c:pt>
                <c:pt idx="63">
                  <c:v>-0.87498495052077818</c:v>
                </c:pt>
                <c:pt idx="64">
                  <c:v>-0.91625300580338198</c:v>
                </c:pt>
                <c:pt idx="65">
                  <c:v>-0.95947060099252424</c:v>
                </c:pt>
                <c:pt idx="66">
                  <c:v>-1.004730302330906</c:v>
                </c:pt>
                <c:pt idx="67">
                  <c:v>-1.0521291404870519</c:v>
                </c:pt>
                <c:pt idx="68">
                  <c:v>-1.1017688360801505</c:v>
                </c:pt>
                <c:pt idx="69">
                  <c:v>-1.1537560380805021</c:v>
                </c:pt>
                <c:pt idx="70">
                  <c:v>-1.2082025760266006</c:v>
                </c:pt>
                <c:pt idx="71">
                  <c:v>-1.2652257270946246</c:v>
                </c:pt>
                <c:pt idx="72">
                  <c:v>-1.3249484991623026</c:v>
                </c:pt>
                <c:pt idx="73">
                  <c:v>-1.3874999311288922</c:v>
                </c:pt>
                <c:pt idx="74">
                  <c:v>-1.4530154118889274</c:v>
                </c:pt>
                <c:pt idx="75">
                  <c:v>-1.5216370195105235</c:v>
                </c:pt>
                <c:pt idx="76">
                  <c:v>-1.5935138823432535</c:v>
                </c:pt>
                <c:pt idx="77">
                  <c:v>-1.6688025639779012</c:v>
                </c:pt>
                <c:pt idx="78">
                  <c:v>-1.7476674742047829</c:v>
                </c:pt>
                <c:pt idx="79">
                  <c:v>-1.8302813083727136</c:v>
                </c:pt>
                <c:pt idx="80">
                  <c:v>-1.9168255178416136</c:v>
                </c:pt>
                <c:pt idx="81">
                  <c:v>-2.0074908145534058</c:v>
                </c:pt>
                <c:pt idx="82">
                  <c:v>-2.1024777131246215</c:v>
                </c:pt>
                <c:pt idx="83">
                  <c:v>-2.2019971142977144</c:v>
                </c:pt>
                <c:pt idx="84">
                  <c:v>-2.306270934083082</c:v>
                </c:pt>
                <c:pt idx="85">
                  <c:v>-2.4155327834916522</c:v>
                </c:pt>
                <c:pt idx="86">
                  <c:v>-2.5300287044097285</c:v>
                </c:pt>
                <c:pt idx="87">
                  <c:v>-2.6500179679139046</c:v>
                </c:pt>
                <c:pt idx="88">
                  <c:v>-2.7757739421845655</c:v>
                </c:pt>
                <c:pt idx="89">
                  <c:v>-2.9075850381630044</c:v>
                </c:pt>
                <c:pt idx="90">
                  <c:v>-3.0457557422363322</c:v>
                </c:pt>
                <c:pt idx="91">
                  <c:v>-3.190607746546219</c:v>
                </c:pt>
                <c:pt idx="92">
                  <c:v>-3.3424811890307784</c:v>
                </c:pt>
                <c:pt idx="93">
                  <c:v>-3.5017360170596588</c:v>
                </c:pt>
                <c:pt idx="94">
                  <c:v>-3.6687534905446708</c:v>
                </c:pt>
                <c:pt idx="95">
                  <c:v>-3.8439378427527653</c:v>
                </c:pt>
                <c:pt idx="96">
                  <c:v>-4.027718119764482</c:v>
                </c:pt>
                <c:pt idx="97">
                  <c:v>-4.2205502226758194</c:v>
                </c:pt>
                <c:pt idx="98">
                  <c:v>-4.4229191803078551</c:v>
                </c:pt>
                <c:pt idx="99">
                  <c:v>-4.6353416844562751</c:v>
                </c:pt>
                <c:pt idx="100">
                  <c:v>-4.8583689246871016</c:v>
                </c:pt>
                <c:pt idx="101">
                  <c:v>-5.0925897654909722</c:v>
                </c:pt>
                <c:pt idx="102">
                  <c:v>-5.3386343153950513</c:v>
                </c:pt>
                <c:pt idx="103">
                  <c:v>-5.5971779455752406</c:v>
                </c:pt>
                <c:pt idx="104">
                  <c:v>-5.8689458248266693</c:v>
                </c:pt>
                <c:pt idx="105">
                  <c:v>-6.1547180486849244</c:v>
                </c:pt>
                <c:pt idx="106">
                  <c:v>-6.4553354533528591</c:v>
                </c:pt>
                <c:pt idx="107">
                  <c:v>-6.7717062202326446</c:v>
                </c:pt>
                <c:pt idx="108">
                  <c:v>-7.1048133947289669</c:v>
                </c:pt>
                <c:pt idx="109">
                  <c:v>-7.4557234640889298</c:v>
                </c:pt>
                <c:pt idx="110">
                  <c:v>-7.8255961640002578</c:v>
                </c:pt>
                <c:pt idx="111">
                  <c:v>-8.2156957132162187</c:v>
                </c:pt>
                <c:pt idx="112">
                  <c:v>-8.6274037104933488</c:v>
                </c:pt>
                <c:pt idx="113">
                  <c:v>-9.062233969654109</c:v>
                </c:pt>
                <c:pt idx="114">
                  <c:v>-9.5218496178445964</c:v>
                </c:pt>
                <c:pt idx="115">
                  <c:v>-10.008082840469555</c:v>
                </c:pt>
                <c:pt idx="116">
                  <c:v>-10.522957725485718</c:v>
                </c:pt>
                <c:pt idx="117">
                  <c:v>-11.068716741557727</c:v>
                </c:pt>
                <c:pt idx="118">
                  <c:v>-11.647851481016279</c:v>
                </c:pt>
                <c:pt idx="119">
                  <c:v>-12.263138411656975</c:v>
                </c:pt>
                <c:pt idx="120">
                  <c:v>-12.917680513069051</c:v>
                </c:pt>
                <c:pt idx="121">
                  <c:v>-13.614955824749256</c:v>
                </c:pt>
                <c:pt idx="122">
                  <c:v>-14.35887410488842</c:v>
                </c:pt>
                <c:pt idx="123">
                  <c:v>-15.153842988237614</c:v>
                </c:pt>
                <c:pt idx="124">
                  <c:v>-16.004845232468412</c:v>
                </c:pt>
                <c:pt idx="125">
                  <c:v>-16.917528841212757</c:v>
                </c:pt>
                <c:pt idx="126">
                  <c:v>-17.898312022469767</c:v>
                </c:pt>
                <c:pt idx="127">
                  <c:v>-18.954505036966136</c:v>
                </c:pt>
                <c:pt idx="128">
                  <c:v>-20.094450933025069</c:v>
                </c:pt>
                <c:pt idx="129">
                  <c:v>-21.32768682056059</c:v>
                </c:pt>
                <c:pt idx="130">
                  <c:v>-22.665126492089659</c:v>
                </c:pt>
                <c:pt idx="131">
                  <c:v>-24.119263510206093</c:v>
                </c:pt>
                <c:pt idx="132">
                  <c:v>-25.704390812853653</c:v>
                </c:pt>
                <c:pt idx="133">
                  <c:v>-27.436827623079001</c:v>
                </c:pt>
                <c:pt idx="134">
                  <c:v>-29.335135784568067</c:v>
                </c:pt>
                <c:pt idx="135">
                  <c:v>-31.42029388884438</c:v>
                </c:pt>
                <c:pt idx="136">
                  <c:v>-33.715776529042195</c:v>
                </c:pt>
                <c:pt idx="137">
                  <c:v>-36.247455290916704</c:v>
                </c:pt>
                <c:pt idx="138">
                  <c:v>-39.043195950048087</c:v>
                </c:pt>
                <c:pt idx="139">
                  <c:v>-42.13197403120023</c:v>
                </c:pt>
                <c:pt idx="140">
                  <c:v>-45.542277215383457</c:v>
                </c:pt>
                <c:pt idx="141">
                  <c:v>-49.299532064931697</c:v>
                </c:pt>
                <c:pt idx="142">
                  <c:v>-53.422332632969386</c:v>
                </c:pt>
                <c:pt idx="143">
                  <c:v>-57.917435833493329</c:v>
                </c:pt>
                <c:pt idx="144">
                  <c:v>-62.773905060025399</c:v>
                </c:pt>
                <c:pt idx="145">
                  <c:v>-67.957444591586736</c:v>
                </c:pt>
                <c:pt idx="146">
                  <c:v>-73.406695302941515</c:v>
                </c:pt>
                <c:pt idx="147">
                  <c:v>-79.033599712077091</c:v>
                </c:pt>
                <c:pt idx="148">
                  <c:v>-84.729310776277643</c:v>
                </c:pt>
                <c:pt idx="149">
                  <c:v>-90.375325694145758</c:v>
                </c:pt>
                <c:pt idx="150">
                  <c:v>-95.857291024321242</c:v>
                </c:pt>
                <c:pt idx="151">
                  <c:v>-101.0776337509004</c:v>
                </c:pt>
                <c:pt idx="152">
                  <c:v>-105.96375172601199</c:v>
                </c:pt>
                <c:pt idx="153">
                  <c:v>-110.47052165842017</c:v>
                </c:pt>
                <c:pt idx="154">
                  <c:v>-114.57799605776796</c:v>
                </c:pt>
                <c:pt idx="155">
                  <c:v>-118.28628455178648</c:v>
                </c:pt>
                <c:pt idx="156">
                  <c:v>-121.60960764231561</c:v>
                </c:pt>
                <c:pt idx="157">
                  <c:v>-124.57087128708714</c:v>
                </c:pt>
                <c:pt idx="158">
                  <c:v>-127.19738587809908</c:v>
                </c:pt>
                <c:pt idx="159">
                  <c:v>-129.51783183822141</c:v>
                </c:pt>
                <c:pt idx="160">
                  <c:v>-131.56030247120211</c:v>
                </c:pt>
                <c:pt idx="161">
                  <c:v>-133.35116549908633</c:v>
                </c:pt>
                <c:pt idx="162">
                  <c:v>-134.91449445530839</c:v>
                </c:pt>
                <c:pt idx="163">
                  <c:v>-136.27186968196497</c:v>
                </c:pt>
                <c:pt idx="164">
                  <c:v>-137.44240325507968</c:v>
                </c:pt>
                <c:pt idx="165">
                  <c:v>-138.44288885620074</c:v>
                </c:pt>
                <c:pt idx="166">
                  <c:v>-139.28801283421879</c:v>
                </c:pt>
                <c:pt idx="167">
                  <c:v>-139.99058736195127</c:v>
                </c:pt>
                <c:pt idx="168">
                  <c:v>-140.5617829931015</c:v>
                </c:pt>
                <c:pt idx="169">
                  <c:v>-141.01134840319625</c:v>
                </c:pt>
                <c:pt idx="170">
                  <c:v>-141.34781155090172</c:v>
                </c:pt>
                <c:pt idx="171">
                  <c:v>-141.57866031421528</c:v>
                </c:pt>
                <c:pt idx="172">
                  <c:v>-141.71050279937765</c:v>
                </c:pt>
                <c:pt idx="173">
                  <c:v>-141.74920862656487</c:v>
                </c:pt>
                <c:pt idx="174">
                  <c:v>-141.70003297748269</c:v>
                </c:pt>
                <c:pt idx="175">
                  <c:v>-141.56772530658716</c:v>
                </c:pt>
                <c:pt idx="176">
                  <c:v>-141.35662453167967</c:v>
                </c:pt>
                <c:pt idx="177">
                  <c:v>-141.07074233005849</c:v>
                </c:pt>
                <c:pt idx="178">
                  <c:v>-140.71383593271457</c:v>
                </c:pt>
                <c:pt idx="179">
                  <c:v>-140.2894715665183</c:v>
                </c:pt>
                <c:pt idx="180">
                  <c:v>-139.80107946352112</c:v>
                </c:pt>
                <c:pt idx="181">
                  <c:v>-139.25200114933466</c:v>
                </c:pt>
                <c:pt idx="182">
                  <c:v>-138.64552954594032</c:v>
                </c:pt>
                <c:pt idx="183">
                  <c:v>-137.98494228215398</c:v>
                </c:pt>
                <c:pt idx="184">
                  <c:v>-137.2735284994142</c:v>
                </c:pt>
                <c:pt idx="185">
                  <c:v>-136.51460937237323</c:v>
                </c:pt>
                <c:pt idx="186">
                  <c:v>-135.71155253246067</c:v>
                </c:pt>
                <c:pt idx="187">
                  <c:v>-134.86778058642693</c:v>
                </c:pt>
                <c:pt idx="188">
                  <c:v>-133.98677395764415</c:v>
                </c:pt>
                <c:pt idx="189">
                  <c:v>-133.07206834085281</c:v>
                </c:pt>
                <c:pt idx="190">
                  <c:v>-132.12724714473762</c:v>
                </c:pt>
                <c:pt idx="191">
                  <c:v>-131.1559293934462</c:v>
                </c:pt>
                <c:pt idx="192">
                  <c:v>-130.16175365910851</c:v>
                </c:pt>
                <c:pt idx="193">
                  <c:v>-129.14835869334459</c:v>
                </c:pt>
                <c:pt idx="194">
                  <c:v>-128.11936150758521</c:v>
                </c:pt>
                <c:pt idx="195">
                  <c:v>-127.07833371175631</c:v>
                </c:pt>
                <c:pt idx="196">
                  <c:v>-126.02877695213509</c:v>
                </c:pt>
                <c:pt idx="197">
                  <c:v>-124.97409828795888</c:v>
                </c:pt>
                <c:pt idx="198">
                  <c:v>-123.91758631134516</c:v>
                </c:pt>
                <c:pt idx="199">
                  <c:v>-122.86238874764504</c:v>
                </c:pt>
                <c:pt idx="200">
                  <c:v>-121.81149217759129</c:v>
                </c:pt>
                <c:pt idx="201">
                  <c:v>-120.76770440455034</c:v>
                </c:pt>
                <c:pt idx="202">
                  <c:v>-119.73363985745057</c:v>
                </c:pt>
                <c:pt idx="203">
                  <c:v>-118.71170828067925</c:v>
                </c:pt>
                <c:pt idx="204">
                  <c:v>-117.7041068245353</c:v>
                </c:pt>
                <c:pt idx="205">
                  <c:v>-116.71281552089164</c:v>
                </c:pt>
                <c:pt idx="206">
                  <c:v>-115.73959601451917</c:v>
                </c:pt>
                <c:pt idx="207">
                  <c:v>-114.7859933252541</c:v>
                </c:pt>
                <c:pt idx="208">
                  <c:v>-113.85334034232945</c:v>
                </c:pt>
                <c:pt idx="209">
                  <c:v>-112.94276470047424</c:v>
                </c:pt>
                <c:pt idx="210">
                  <c:v>-112.05519765704989</c:v>
                </c:pt>
                <c:pt idx="211">
                  <c:v>-111.19138457864713</c:v>
                </c:pt>
                <c:pt idx="212">
                  <c:v>-110.35189665141131</c:v>
                </c:pt>
                <c:pt idx="213">
                  <c:v>-109.53714344873829</c:v>
                </c:pt>
                <c:pt idx="214">
                  <c:v>-108.74738601949343</c:v>
                </c:pt>
                <c:pt idx="215">
                  <c:v>-107.98275019633289</c:v>
                </c:pt>
                <c:pt idx="216">
                  <c:v>-107.2432398640907</c:v>
                </c:pt>
                <c:pt idx="217">
                  <c:v>-106.52874997002986</c:v>
                </c:pt>
                <c:pt idx="218">
                  <c:v>-105.8390790990008</c:v>
                </c:pt>
                <c:pt idx="219">
                  <c:v>-105.17394147565327</c:v>
                </c:pt>
                <c:pt idx="220">
                  <c:v>-104.5329782917252</c:v>
                </c:pt>
                <c:pt idx="221">
                  <c:v>-103.91576828841113</c:v>
                </c:pt>
                <c:pt idx="222">
                  <c:v>-103.32183755154163</c:v>
                </c:pt>
                <c:pt idx="223">
                  <c:v>-102.75066850072939</c:v>
                </c:pt>
                <c:pt idx="224">
                  <c:v>-102.20170807290187</c:v>
                </c:pt>
                <c:pt idx="225">
                  <c:v>-101.67437511600589</c:v>
                </c:pt>
                <c:pt idx="226">
                  <c:v>-101.16806702052739</c:v>
                </c:pt>
                <c:pt idx="227">
                  <c:v>-100.68216562523359</c:v>
                </c:pt>
                <c:pt idx="228">
                  <c:v>-100.21604243964255</c:v>
                </c:pt>
                <c:pt idx="229">
                  <c:v>-99.769063229595076</c:v>
                </c:pt>
                <c:pt idx="230">
                  <c:v>-99.340592014335883</c:v>
                </c:pt>
                <c:pt idx="231">
                  <c:v>-98.929994524073791</c:v>
                </c:pt>
                <c:pt idx="232">
                  <c:v>-98.536641166406881</c:v>
                </c:pt>
                <c:pt idx="233">
                  <c:v>-98.159909548546636</c:v>
                </c:pt>
                <c:pt idx="234">
                  <c:v>-97.799186600192513</c:v>
                </c:pt>
                <c:pt idx="235">
                  <c:v>-97.453870339392836</c:v>
                </c:pt>
                <c:pt idx="236">
                  <c:v>-97.123371320937395</c:v>
                </c:pt>
                <c:pt idx="237">
                  <c:v>-96.807113803894765</c:v>
                </c:pt>
                <c:pt idx="238">
                  <c:v>-96.504536671928065</c:v>
                </c:pt>
                <c:pt idx="239">
                  <c:v>-96.21509413707733</c:v>
                </c:pt>
                <c:pt idx="240">
                  <c:v>-95.938256254837796</c:v>
                </c:pt>
                <c:pt idx="241">
                  <c:v>-95.673509275637102</c:v>
                </c:pt>
                <c:pt idx="242">
                  <c:v>-95.420355855236608</c:v>
                </c:pt>
                <c:pt idx="243">
                  <c:v>-95.178315144185561</c:v>
                </c:pt>
                <c:pt idx="244">
                  <c:v>-94.946922774232874</c:v>
                </c:pt>
                <c:pt idx="245">
                  <c:v>-94.725730757561905</c:v>
                </c:pt>
                <c:pt idx="246">
                  <c:v>-94.514307312855465</c:v>
                </c:pt>
                <c:pt idx="247">
                  <c:v>-94.31223663051118</c:v>
                </c:pt>
                <c:pt idx="248">
                  <c:v>-94.119118587804763</c:v>
                </c:pt>
                <c:pt idx="249">
                  <c:v>-93.93456842343295</c:v>
                </c:pt>
                <c:pt idx="250">
                  <c:v>-93.758216379644708</c:v>
                </c:pt>
              </c:numCache>
            </c:numRef>
          </c:yVal>
          <c:smooth val="0"/>
          <c:extLst xmlns:c16r2="http://schemas.microsoft.com/office/drawing/2015/06/chart">
            <c:ext xmlns:c16="http://schemas.microsoft.com/office/drawing/2014/chart" uri="{C3380CC4-5D6E-409C-BE32-E72D297353CC}">
              <c16:uniqueId val="{00000001-A76D-4267-BF2B-A34319C5F893}"/>
            </c:ext>
          </c:extLst>
        </c:ser>
        <c:dLbls>
          <c:showLegendKey val="0"/>
          <c:showVal val="0"/>
          <c:showCatName val="0"/>
          <c:showSerName val="0"/>
          <c:showPercent val="0"/>
          <c:showBubbleSize val="0"/>
        </c:dLbls>
        <c:axId val="493948288"/>
        <c:axId val="493954176"/>
      </c:scatterChart>
      <c:valAx>
        <c:axId val="494402944"/>
        <c:scaling>
          <c:logBase val="10"/>
          <c:orientation val="minMax"/>
          <c:max val="1000000"/>
          <c:min val="1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625" b="1" i="0" u="none" strike="noStrike" baseline="0">
                    <a:solidFill>
                      <a:srgbClr val="000000"/>
                    </a:solidFill>
                    <a:latin typeface="Arial"/>
                    <a:ea typeface="Arial"/>
                    <a:cs typeface="Arial"/>
                  </a:defRPr>
                </a:pPr>
                <a:r>
                  <a:rPr lang="en-US"/>
                  <a:t>Frequency - Hz</a:t>
                </a:r>
              </a:p>
            </c:rich>
          </c:tx>
          <c:layout>
            <c:manualLayout>
              <c:xMode val="edge"/>
              <c:yMode val="edge"/>
              <c:x val="0.40106947212511301"/>
              <c:y val="0.8422712671864922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n-US"/>
          </a:p>
        </c:txPr>
        <c:crossAx val="493946368"/>
        <c:crossesAt val="-100"/>
        <c:crossBetween val="midCat"/>
      </c:valAx>
      <c:valAx>
        <c:axId val="493946368"/>
        <c:scaling>
          <c:orientation val="minMax"/>
        </c:scaling>
        <c:delete val="0"/>
        <c:axPos val="l"/>
        <c:majorGridlines>
          <c:spPr>
            <a:ln w="3175">
              <a:solidFill>
                <a:srgbClr val="000000"/>
              </a:solidFill>
              <a:prstDash val="solid"/>
            </a:ln>
          </c:spPr>
        </c:majorGridlines>
        <c:title>
          <c:tx>
            <c:rich>
              <a:bodyPr/>
              <a:lstStyle/>
              <a:p>
                <a:pPr>
                  <a:defRPr sz="625" b="1" i="0" u="none" strike="noStrike" baseline="0">
                    <a:solidFill>
                      <a:srgbClr val="000000"/>
                    </a:solidFill>
                    <a:latin typeface="Arial"/>
                    <a:ea typeface="Arial"/>
                    <a:cs typeface="Arial"/>
                  </a:defRPr>
                </a:pPr>
                <a:r>
                  <a:rPr lang="en-US"/>
                  <a:t>Gain - dB</a:t>
                </a:r>
              </a:p>
            </c:rich>
          </c:tx>
          <c:layout>
            <c:manualLayout>
              <c:xMode val="edge"/>
              <c:yMode val="edge"/>
              <c:x val="4.2780790886616349E-2"/>
              <c:y val="0.394321832033769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n-US"/>
          </a:p>
        </c:txPr>
        <c:crossAx val="494402944"/>
        <c:crosses val="autoZero"/>
        <c:crossBetween val="midCat"/>
        <c:majorUnit val="10"/>
        <c:minorUnit val="2"/>
      </c:valAx>
      <c:valAx>
        <c:axId val="493948288"/>
        <c:scaling>
          <c:logBase val="10"/>
          <c:orientation val="minMax"/>
        </c:scaling>
        <c:delete val="1"/>
        <c:axPos val="b"/>
        <c:numFmt formatCode="General" sourceLinked="1"/>
        <c:majorTickMark val="out"/>
        <c:minorTickMark val="none"/>
        <c:tickLblPos val="nextTo"/>
        <c:crossAx val="493954176"/>
        <c:crosses val="autoZero"/>
        <c:crossBetween val="midCat"/>
      </c:valAx>
      <c:valAx>
        <c:axId val="493954176"/>
        <c:scaling>
          <c:orientation val="minMax"/>
        </c:scaling>
        <c:delete val="0"/>
        <c:axPos val="r"/>
        <c:title>
          <c:tx>
            <c:rich>
              <a:bodyPr/>
              <a:lstStyle/>
              <a:p>
                <a:pPr>
                  <a:defRPr sz="625" b="0" i="0" u="none" strike="noStrike" baseline="0">
                    <a:solidFill>
                      <a:srgbClr val="000000"/>
                    </a:solidFill>
                    <a:latin typeface="Arial"/>
                    <a:ea typeface="Arial"/>
                    <a:cs typeface="Arial"/>
                  </a:defRPr>
                </a:pPr>
                <a:r>
                  <a:rPr lang="en-US" sz="625" b="1" i="0" u="none" strike="noStrike" baseline="0">
                    <a:solidFill>
                      <a:srgbClr val="000000"/>
                    </a:solidFill>
                    <a:latin typeface="Arial"/>
                    <a:cs typeface="Arial"/>
                  </a:rPr>
                  <a:t>Phase - °</a:t>
                </a:r>
              </a:p>
            </c:rich>
          </c:tx>
          <c:layout>
            <c:manualLayout>
              <c:xMode val="edge"/>
              <c:yMode val="edge"/>
              <c:x val="0.91978605112120326"/>
              <c:y val="0.4037853388764360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n-US"/>
          </a:p>
        </c:txPr>
        <c:crossAx val="493948288"/>
        <c:crosses val="max"/>
        <c:crossBetween val="midCat"/>
        <c:majorUnit val="45"/>
      </c:valAx>
      <c:spPr>
        <a:solidFill>
          <a:srgbClr val="C0C0C0"/>
        </a:solidFill>
        <a:ln w="12700">
          <a:solidFill>
            <a:srgbClr val="808080"/>
          </a:solidFill>
          <a:prstDash val="solid"/>
        </a:ln>
      </c:spPr>
    </c:plotArea>
    <c:legend>
      <c:legendPos val="r"/>
      <c:layout>
        <c:manualLayout>
          <c:xMode val="edge"/>
          <c:yMode val="edge"/>
          <c:x val="0.36097375961782319"/>
          <c:y val="0.93063084566973009"/>
          <c:w val="0.28610512799338578"/>
          <c:h val="5.0474893324459938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US"/>
              <a:t>Error Amp Bode</a:t>
            </a:r>
          </a:p>
        </c:rich>
      </c:tx>
      <c:layout>
        <c:manualLayout>
          <c:xMode val="edge"/>
          <c:yMode val="edge"/>
          <c:x val="0.39455878200410138"/>
          <c:y val="3.4700270130467267E-2"/>
        </c:manualLayout>
      </c:layout>
      <c:overlay val="0"/>
      <c:spPr>
        <a:noFill/>
        <a:ln w="25400">
          <a:noFill/>
        </a:ln>
      </c:spPr>
    </c:title>
    <c:autoTitleDeleted val="0"/>
    <c:plotArea>
      <c:layout>
        <c:manualLayout>
          <c:layoutTarget val="inner"/>
          <c:xMode val="edge"/>
          <c:yMode val="edge"/>
          <c:x val="0.12018167202928365"/>
          <c:y val="0.17981072555205047"/>
          <c:w val="0.75283613422117313"/>
          <c:h val="0.58675078864353314"/>
        </c:manualLayout>
      </c:layout>
      <c:scatterChart>
        <c:scatterStyle val="smoothMarker"/>
        <c:varyColors val="0"/>
        <c:ser>
          <c:idx val="0"/>
          <c:order val="0"/>
          <c:tx>
            <c:v>Gain</c:v>
          </c:tx>
          <c:spPr>
            <a:ln w="25400">
              <a:solidFill>
                <a:srgbClr val="000080"/>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compensation!$U$80:$U$330</c:f>
              <c:numCache>
                <c:formatCode>0.00</c:formatCode>
                <c:ptCount val="251"/>
                <c:pt idx="0">
                  <c:v>56.360983683616098</c:v>
                </c:pt>
                <c:pt idx="1">
                  <c:v>56.349842786159726</c:v>
                </c:pt>
                <c:pt idx="2">
                  <c:v>56.337659795268316</c:v>
                </c:pt>
                <c:pt idx="3">
                  <c:v>56.324340576944365</c:v>
                </c:pt>
                <c:pt idx="4">
                  <c:v>56.309783143125429</c:v>
                </c:pt>
                <c:pt idx="5">
                  <c:v>56.293877121815342</c:v>
                </c:pt>
                <c:pt idx="6">
                  <c:v>56.276503216136639</c:v>
                </c:pt>
                <c:pt idx="7">
                  <c:v>56.257532657598937</c:v>
                </c:pt>
                <c:pt idx="8">
                  <c:v>56.236826660207022</c:v>
                </c:pt>
                <c:pt idx="9">
                  <c:v>56.214235883525006</c:v>
                </c:pt>
                <c:pt idx="10">
                  <c:v>56.189599914484333</c:v>
                </c:pt>
                <c:pt idx="11">
                  <c:v>56.162746779551938</c:v>
                </c:pt>
                <c:pt idx="12">
                  <c:v>56.133492500846913</c:v>
                </c:pt>
                <c:pt idx="13">
                  <c:v>56.101640711874275</c:v>
                </c:pt>
                <c:pt idx="14">
                  <c:v>56.06698235068145</c:v>
                </c:pt>
                <c:pt idx="15">
                  <c:v>56.029295450371535</c:v>
                </c:pt>
                <c:pt idx="16">
                  <c:v>55.988345048924366</c:v>
                </c:pt>
                <c:pt idx="17">
                  <c:v>55.943883242080148</c:v>
                </c:pt>
                <c:pt idx="18">
                  <c:v>55.89564940447022</c:v>
                </c:pt>
                <c:pt idx="19">
                  <c:v>55.843370605079016</c:v>
                </c:pt>
                <c:pt idx="20">
                  <c:v>55.786762243294149</c:v>
                </c:pt>
                <c:pt idx="21">
                  <c:v>55.725528931037474</c:v>
                </c:pt>
                <c:pt idx="22">
                  <c:v>55.659365644558932</c:v>
                </c:pt>
                <c:pt idx="23">
                  <c:v>55.587959166207497</c:v>
                </c:pt>
                <c:pt idx="24">
                  <c:v>55.510989831685464</c:v>
                </c:pt>
                <c:pt idx="25">
                  <c:v>55.428133591818991</c:v>
                </c:pt>
                <c:pt idx="26">
                  <c:v>55.339064389675443</c:v>
                </c:pt>
                <c:pt idx="27">
                  <c:v>55.24345684397489</c:v>
                </c:pt>
                <c:pt idx="28">
                  <c:v>55.140989218355003</c:v>
                </c:pt>
                <c:pt idx="29">
                  <c:v>55.031346643472155</c:v>
                </c:pt>
                <c:pt idx="30">
                  <c:v>54.914224545645915</c:v>
                </c:pt>
                <c:pt idx="31">
                  <c:v>54.789332222410692</c:v>
                </c:pt>
                <c:pt idx="32">
                  <c:v>54.656396492708261</c:v>
                </c:pt>
                <c:pt idx="33">
                  <c:v>54.515165338401381</c:v>
                </c:pt>
                <c:pt idx="34">
                  <c:v>54.365411445225426</c:v>
                </c:pt>
                <c:pt idx="35">
                  <c:v>54.206935546074924</c:v>
                </c:pt>
                <c:pt idx="36">
                  <c:v>54.039569468383775</c:v>
                </c:pt>
                <c:pt idx="37">
                  <c:v>53.863178790813528</c:v>
                </c:pt>
                <c:pt idx="38">
                  <c:v>53.677665022728235</c:v>
                </c:pt>
                <c:pt idx="39">
                  <c:v>53.482967232875481</c:v>
                </c:pt>
                <c:pt idx="40">
                  <c:v>53.279063070807631</c:v>
                </c:pt>
                <c:pt idx="41">
                  <c:v>53.065969145001674</c:v>
                </c:pt>
                <c:pt idx="42">
                  <c:v>52.843740744226338</c:v>
                </c:pt>
                <c:pt idx="43">
                  <c:v>52.612470912112165</c:v>
                </c:pt>
                <c:pt idx="44">
                  <c:v>52.372288907680158</c:v>
                </c:pt>
                <c:pt idx="45">
                  <c:v>52.123358105418745</c:v>
                </c:pt>
                <c:pt idx="46">
                  <c:v>51.865873406170131</c:v>
                </c:pt>
                <c:pt idx="47">
                  <c:v>51.600058243700879</c:v>
                </c:pt>
                <c:pt idx="48">
                  <c:v>51.326161280815832</c:v>
                </c:pt>
                <c:pt idx="49">
                  <c:v>51.044452893048636</c:v>
                </c:pt>
                <c:pt idx="50">
                  <c:v>50.755221537489945</c:v>
                </c:pt>
                <c:pt idx="51">
                  <c:v>50.458770099665308</c:v>
                </c:pt>
                <c:pt idx="52">
                  <c:v>50.155412303264896</c:v>
                </c:pt>
                <c:pt idx="53">
                  <c:v>49.845469256788284</c:v>
                </c:pt>
                <c:pt idx="54">
                  <c:v>49.529266198720457</c:v>
                </c:pt>
                <c:pt idx="55">
                  <c:v>49.207129489567329</c:v>
                </c:pt>
                <c:pt idx="56">
                  <c:v>48.879383885749441</c:v>
                </c:pt>
                <c:pt idx="57">
                  <c:v>48.546350117636983</c:v>
                </c:pt>
                <c:pt idx="58">
                  <c:v>48.208342782421177</c:v>
                </c:pt>
                <c:pt idx="59">
                  <c:v>47.86566855239144</c:v>
                </c:pt>
                <c:pt idx="60">
                  <c:v>47.518624690731563</c:v>
                </c:pt>
                <c:pt idx="61">
                  <c:v>47.167497860215235</c:v>
                </c:pt>
                <c:pt idx="62">
                  <c:v>46.812563205132776</c:v>
                </c:pt>
                <c:pt idx="63">
                  <c:v>46.454083683295181</c:v>
                </c:pt>
                <c:pt idx="64">
                  <c:v>46.092309622860498</c:v>
                </c:pt>
                <c:pt idx="65">
                  <c:v>45.727478477806933</c:v>
                </c:pt>
                <c:pt idx="66">
                  <c:v>45.359814755928866</c:v>
                </c:pt>
                <c:pt idx="67">
                  <c:v>44.989530094032745</c:v>
                </c:pt>
                <c:pt idx="68">
                  <c:v>44.616823456380523</c:v>
                </c:pt>
                <c:pt idx="69">
                  <c:v>44.241881434185032</c:v>
                </c:pt>
                <c:pt idx="70">
                  <c:v>43.864878625961481</c:v>
                </c:pt>
                <c:pt idx="71">
                  <c:v>43.485978080662953</c:v>
                </c:pt>
                <c:pt idx="72">
                  <c:v>43.105331787669606</c:v>
                </c:pt>
                <c:pt idx="73">
                  <c:v>42.723081199805726</c:v>
                </c:pt>
                <c:pt idx="74">
                  <c:v>42.339357777549665</c:v>
                </c:pt>
                <c:pt idx="75">
                  <c:v>41.954283544463976</c:v>
                </c:pt>
                <c:pt idx="76">
                  <c:v>41.5679716455776</c:v>
                </c:pt>
                <c:pt idx="77">
                  <c:v>41.180526901973487</c:v>
                </c:pt>
                <c:pt idx="78">
                  <c:v>40.792046356207209</c:v>
                </c:pt>
                <c:pt idx="79">
                  <c:v>40.402619804362878</c:v>
                </c:pt>
                <c:pt idx="80">
                  <c:v>40.012330311592336</c:v>
                </c:pt>
                <c:pt idx="81">
                  <c:v>39.621254708866473</c:v>
                </c:pt>
                <c:pt idx="82">
                  <c:v>39.229464069417652</c:v>
                </c:pt>
                <c:pt idx="83">
                  <c:v>38.837024163984097</c:v>
                </c:pt>
                <c:pt idx="84">
                  <c:v>38.443995894486797</c:v>
                </c:pt>
                <c:pt idx="85">
                  <c:v>38.050435706201611</c:v>
                </c:pt>
                <c:pt idx="86">
                  <c:v>37.656395978838042</c:v>
                </c:pt>
                <c:pt idx="87">
                  <c:v>37.261925397212025</c:v>
                </c:pt>
                <c:pt idx="88">
                  <c:v>36.867069302428781</c:v>
                </c:pt>
                <c:pt idx="89">
                  <c:v>36.471870024654208</c:v>
                </c:pt>
                <c:pt idx="90">
                  <c:v>36.07636719869825</c:v>
                </c:pt>
                <c:pt idx="91">
                  <c:v>35.680598063721355</c:v>
                </c:pt>
                <c:pt idx="92">
                  <c:v>35.284597748458296</c:v>
                </c:pt>
                <c:pt idx="93">
                  <c:v>34.888399543403239</c:v>
                </c:pt>
                <c:pt idx="94">
                  <c:v>34.492035161435034</c:v>
                </c:pt>
                <c:pt idx="95">
                  <c:v>34.095534988394625</c:v>
                </c:pt>
                <c:pt idx="96">
                  <c:v>33.698928325138517</c:v>
                </c:pt>
                <c:pt idx="97">
                  <c:v>33.302243622607826</c:v>
                </c:pt>
                <c:pt idx="98">
                  <c:v>32.905508711464506</c:v>
                </c:pt>
                <c:pt idx="99">
                  <c:v>32.508751027853279</c:v>
                </c:pt>
                <c:pt idx="100">
                  <c:v>32.11199783686164</c:v>
                </c:pt>
                <c:pt idx="101">
                  <c:v>31.715276455262856</c:v>
                </c:pt>
                <c:pt idx="102">
                  <c:v>31.318614475143832</c:v>
                </c:pt>
                <c:pt idx="103">
                  <c:v>30.922039990042034</c:v>
                </c:pt>
                <c:pt idx="104">
                  <c:v>30.525581825242256</c:v>
                </c:pt>
                <c:pt idx="105">
                  <c:v>30.129269773914981</c:v>
                </c:pt>
                <c:pt idx="106">
                  <c:v>29.733134840815655</c:v>
                </c:pt>
                <c:pt idx="107">
                  <c:v>29.33720949530905</c:v>
                </c:pt>
                <c:pt idx="108">
                  <c:v>28.94152793552637</c:v>
                </c:pt>
                <c:pt idx="109">
                  <c:v>28.546126365519665</c:v>
                </c:pt>
                <c:pt idx="110">
                  <c:v>28.151043287330712</c:v>
                </c:pt>
                <c:pt idx="111">
                  <c:v>27.756319809951911</c:v>
                </c:pt>
                <c:pt idx="112">
                  <c:v>27.36199997721496</c:v>
                </c:pt>
                <c:pt idx="113">
                  <c:v>26.968131116703123</c:v>
                </c:pt>
                <c:pt idx="114">
                  <c:v>26.574764211835241</c:v>
                </c:pt>
                <c:pt idx="115">
                  <c:v>26.181954299320836</c:v>
                </c:pt>
                <c:pt idx="116">
                  <c:v>25.789760894221132</c:v>
                </c:pt>
                <c:pt idx="117">
                  <c:v>25.398248444875591</c:v>
                </c:pt>
                <c:pt idx="118">
                  <c:v>25.007486819954153</c:v>
                </c:pt>
                <c:pt idx="119">
                  <c:v>24.617551829871523</c:v>
                </c:pt>
                <c:pt idx="120">
                  <c:v>24.228525784739915</c:v>
                </c:pt>
                <c:pt idx="121">
                  <c:v>23.840498090931128</c:v>
                </c:pt>
                <c:pt idx="122">
                  <c:v>23.453565888159467</c:v>
                </c:pt>
                <c:pt idx="123">
                  <c:v>23.067834728768748</c:v>
                </c:pt>
                <c:pt idx="124">
                  <c:v>22.683419300596235</c:v>
                </c:pt>
                <c:pt idx="125">
                  <c:v>22.300444194374212</c:v>
                </c:pt>
                <c:pt idx="126">
                  <c:v>21.919044716104651</c:v>
                </c:pt>
                <c:pt idx="127">
                  <c:v>21.539367744168977</c:v>
                </c:pt>
                <c:pt idx="128">
                  <c:v>21.16157263011036</c:v>
                </c:pt>
                <c:pt idx="129">
                  <c:v>20.785832141001283</c:v>
                </c:pt>
                <c:pt idx="130">
                  <c:v>20.412333440079195</c:v>
                </c:pt>
                <c:pt idx="131">
                  <c:v>20.041279100857125</c:v>
                </c:pt>
                <c:pt idx="132">
                  <c:v>19.672888148168703</c:v>
                </c:pt>
                <c:pt idx="133">
                  <c:v>19.307397117565927</c:v>
                </c:pt>
                <c:pt idx="134">
                  <c:v>18.945061122127345</c:v>
                </c:pt>
                <c:pt idx="135">
                  <c:v>18.5861549130335</c:v>
                </c:pt>
                <c:pt idx="136">
                  <c:v>18.23097391722229</c:v>
                </c:pt>
                <c:pt idx="137">
                  <c:v>17.879835232047562</c:v>
                </c:pt>
                <c:pt idx="138">
                  <c:v>17.533078553149657</c:v>
                </c:pt>
                <c:pt idx="139">
                  <c:v>17.191067007752299</c:v>
                </c:pt>
                <c:pt idx="140">
                  <c:v>16.854187861387775</c:v>
                </c:pt>
                <c:pt idx="141">
                  <c:v>16.522853061731148</c:v>
                </c:pt>
                <c:pt idx="142">
                  <c:v>16.197499578933392</c:v>
                </c:pt>
                <c:pt idx="143">
                  <c:v>15.878589497767422</c:v>
                </c:pt>
                <c:pt idx="144">
                  <c:v>15.566609813288617</c:v>
                </c:pt>
                <c:pt idx="145">
                  <c:v>15.262071878837158</c:v>
                </c:pt>
                <c:pt idx="146">
                  <c:v>14.965510453427278</c:v>
                </c:pt>
                <c:pt idx="147">
                  <c:v>14.677482295258702</c:v>
                </c:pt>
                <c:pt idx="148">
                  <c:v>14.398564249661307</c:v>
                </c:pt>
                <c:pt idx="149">
                  <c:v>14.129350783682398</c:v>
                </c:pt>
                <c:pt idx="150">
                  <c:v>13.870450926152674</c:v>
                </c:pt>
                <c:pt idx="151">
                  <c:v>13.622484581783297</c:v>
                </c:pt>
                <c:pt idx="152">
                  <c:v>13.386078200901078</c:v>
                </c:pt>
                <c:pt idx="153">
                  <c:v>13.161859802937975</c:v>
                </c:pt>
                <c:pt idx="154">
                  <c:v>12.950453371630493</c:v>
                </c:pt>
                <c:pt idx="155">
                  <c:v>12.752472662707088</c:v>
                </c:pt>
                <c:pt idx="156">
                  <c:v>12.568514489971745</c:v>
                </c:pt>
                <c:pt idx="157">
                  <c:v>12.399151582150107</c:v>
                </c:pt>
                <c:pt idx="158">
                  <c:v>12.244925129357869</c:v>
                </c:pt>
                <c:pt idx="159">
                  <c:v>12.106337163011045</c:v>
                </c:pt>
                <c:pt idx="160">
                  <c:v>11.983842934680716</c:v>
                </c:pt>
                <c:pt idx="161">
                  <c:v>11.877843475991426</c:v>
                </c:pt>
                <c:pt idx="162">
                  <c:v>11.788678531456792</c:v>
                </c:pt>
                <c:pt idx="163">
                  <c:v>11.716620057706743</c:v>
                </c:pt>
                <c:pt idx="164">
                  <c:v>11.661866474882034</c:v>
                </c:pt>
                <c:pt idx="165">
                  <c:v>11.624537838681386</c:v>
                </c:pt>
                <c:pt idx="166">
                  <c:v>11.604672074943503</c:v>
                </c:pt>
                <c:pt idx="167">
                  <c:v>11.602222383812892</c:v>
                </c:pt>
                <c:pt idx="168">
                  <c:v>11.617055879218135</c:v>
                </c:pt>
                <c:pt idx="169">
                  <c:v>11.648953483946013</c:v>
                </c:pt>
                <c:pt idx="170">
                  <c:v>11.697611053734407</c:v>
                </c:pt>
                <c:pt idx="171">
                  <c:v>11.76264165840127</c:v>
                </c:pt>
                <c:pt idx="172">
                  <c:v>11.843578906809372</c:v>
                </c:pt>
                <c:pt idx="173">
                  <c:v>11.939881167819635</c:v>
                </c:pt>
                <c:pt idx="174">
                  <c:v>12.050936513105102</c:v>
                </c:pt>
                <c:pt idx="175">
                  <c:v>12.176068190917706</c:v>
                </c:pt>
                <c:pt idx="176">
                  <c:v>12.314540432992263</c:v>
                </c:pt>
                <c:pt idx="177">
                  <c:v>12.465564399433955</c:v>
                </c:pt>
                <c:pt idx="178">
                  <c:v>12.628304077755157</c:v>
                </c:pt>
                <c:pt idx="179">
                  <c:v>12.80188197086332</c:v>
                </c:pt>
                <c:pt idx="180">
                  <c:v>12.985384433138691</c:v>
                </c:pt>
                <c:pt idx="181">
                  <c:v>13.177866542081009</c:v>
                </c:pt>
                <c:pt idx="182">
                  <c:v>13.378356423726682</c:v>
                </c:pt>
                <c:pt idx="183">
                  <c:v>13.585858981676422</c:v>
                </c:pt>
                <c:pt idx="184">
                  <c:v>13.799359010979542</c:v>
                </c:pt>
                <c:pt idx="185">
                  <c:v>14.017823708386935</c:v>
                </c:pt>
                <c:pt idx="186">
                  <c:v>14.240204619053237</c:v>
                </c:pt>
                <c:pt idx="187">
                  <c:v>14.46543908628507</c:v>
                </c:pt>
                <c:pt idx="188">
                  <c:v>14.692451295262819</c:v>
                </c:pt>
                <c:pt idx="189">
                  <c:v>14.920153023748314</c:v>
                </c:pt>
                <c:pt idx="190">
                  <c:v>15.147444232579382</c:v>
                </c:pt>
                <c:pt idx="191">
                  <c:v>15.373213646088992</c:v>
                </c:pt>
                <c:pt idx="192">
                  <c:v>15.59633948711204</c:v>
                </c:pt>
                <c:pt idx="193">
                  <c:v>15.815690542319295</c:v>
                </c:pt>
                <c:pt idx="194">
                  <c:v>16.03012774025132</c:v>
                </c:pt>
                <c:pt idx="195">
                  <c:v>16.238506425268465</c:v>
                </c:pt>
                <c:pt idx="196">
                  <c:v>16.439679503978631</c:v>
                </c:pt>
                <c:pt idx="197">
                  <c:v>16.632501624646025</c:v>
                </c:pt>
                <c:pt idx="198">
                  <c:v>16.815834522634322</c:v>
                </c:pt>
                <c:pt idx="199">
                  <c:v>16.988553624408929</c:v>
                </c:pt>
                <c:pt idx="200">
                  <c:v>17.149555947921936</c:v>
                </c:pt>
                <c:pt idx="201">
                  <c:v>17.297769268371852</c:v>
                </c:pt>
                <c:pt idx="202">
                  <c:v>17.432162436915025</c:v>
                </c:pt>
                <c:pt idx="203">
                  <c:v>17.551756649448922</c:v>
                </c:pt>
                <c:pt idx="204">
                  <c:v>17.655637368689653</c:v>
                </c:pt>
                <c:pt idx="205">
                  <c:v>17.742966513115846</c:v>
                </c:pt>
                <c:pt idx="206">
                  <c:v>17.812994450072772</c:v>
                </c:pt>
                <c:pt idx="207">
                  <c:v>17.865071277132433</c:v>
                </c:pt>
                <c:pt idx="208">
                  <c:v>17.898656854611112</c:v>
                </c:pt>
                <c:pt idx="209">
                  <c:v>17.913329069588318</c:v>
                </c:pt>
                <c:pt idx="210">
                  <c:v>17.90878987079256</c:v>
                </c:pt>
                <c:pt idx="211">
                  <c:v>17.884868712529837</c:v>
                </c:pt>
                <c:pt idx="212">
                  <c:v>17.841523177625383</c:v>
                </c:pt>
                <c:pt idx="213">
                  <c:v>17.778836702856346</c:v>
                </c:pt>
                <c:pt idx="214">
                  <c:v>17.697013491247333</c:v>
                </c:pt>
                <c:pt idx="215">
                  <c:v>17.596370848500293</c:v>
                </c:pt>
                <c:pt idx="216">
                  <c:v>17.477329311540178</c:v>
                </c:pt>
                <c:pt idx="217">
                  <c:v>17.340401034639832</c:v>
                </c:pt>
                <c:pt idx="218">
                  <c:v>17.186176956325902</c:v>
                </c:pt>
                <c:pt idx="219">
                  <c:v>17.015313286777051</c:v>
                </c:pt>
                <c:pt idx="220">
                  <c:v>16.828517833907384</c:v>
                </c:pt>
                <c:pt idx="221">
                  <c:v>16.62653663360107</c:v>
                </c:pt>
                <c:pt idx="222">
                  <c:v>16.410141274657764</c:v>
                </c:pt>
                <c:pt idx="223">
                  <c:v>16.18011722162899</c:v>
                </c:pt>
                <c:pt idx="224">
                  <c:v>15.937253347958327</c:v>
                </c:pt>
                <c:pt idx="225">
                  <c:v>15.682332805230818</c:v>
                </c:pt>
                <c:pt idx="226">
                  <c:v>15.416125277367875</c:v>
                </c:pt>
                <c:pt idx="227">
                  <c:v>15.139380604630905</c:v>
                </c:pt>
                <c:pt idx="228">
                  <c:v>14.852823712709542</c:v>
                </c:pt>
                <c:pt idx="229">
                  <c:v>14.557150746808388</c:v>
                </c:pt>
                <c:pt idx="230">
                  <c:v>14.253026288241111</c:v>
                </c:pt>
                <c:pt idx="231">
                  <c:v>13.941081519672148</c:v>
                </c:pt>
                <c:pt idx="232">
                  <c:v>13.621913202581549</c:v>
                </c:pt>
                <c:pt idx="233">
                  <c:v>13.296083334585539</c:v>
                </c:pt>
                <c:pt idx="234">
                  <c:v>12.964119362870729</c:v>
                </c:pt>
                <c:pt idx="235">
                  <c:v>12.626514841492762</c:v>
                </c:pt>
                <c:pt idx="236">
                  <c:v>12.283730433253995</c:v>
                </c:pt>
                <c:pt idx="237">
                  <c:v>11.936195170251157</c:v>
                </c:pt>
                <c:pt idx="238">
                  <c:v>11.584307900236521</c:v>
                </c:pt>
                <c:pt idx="239">
                  <c:v>11.22843885814933</c:v>
                </c:pt>
                <c:pt idx="240">
                  <c:v>10.868931313264296</c:v>
                </c:pt>
                <c:pt idx="241">
                  <c:v>10.506103252225632</c:v>
                </c:pt>
                <c:pt idx="242">
                  <c:v>10.140249066753436</c:v>
                </c:pt>
                <c:pt idx="243">
                  <c:v>9.7716412220750559</c:v>
                </c:pt>
                <c:pt idx="244">
                  <c:v>9.4005318882321056</c:v>
                </c:pt>
                <c:pt idx="245">
                  <c:v>9.0271545214590727</c:v>
                </c:pt>
                <c:pt idx="246">
                  <c:v>8.6517253869546735</c:v>
                </c:pt>
                <c:pt idx="247">
                  <c:v>8.2744450176922797</c:v>
                </c:pt>
                <c:pt idx="248">
                  <c:v>7.8954996065627139</c:v>
                </c:pt>
                <c:pt idx="249">
                  <c:v>7.5150623312232767</c:v>
                </c:pt>
                <c:pt idx="250">
                  <c:v>7.1332946126361954</c:v>
                </c:pt>
              </c:numCache>
            </c:numRef>
          </c:yVal>
          <c:smooth val="1"/>
          <c:extLst xmlns:c16r2="http://schemas.microsoft.com/office/drawing/2015/06/chart">
            <c:ext xmlns:c16="http://schemas.microsoft.com/office/drawing/2014/chart" uri="{C3380CC4-5D6E-409C-BE32-E72D297353CC}">
              <c16:uniqueId val="{00000000-FD4B-41DC-8080-D72ACE45F9B6}"/>
            </c:ext>
          </c:extLst>
        </c:ser>
        <c:ser>
          <c:idx val="2"/>
          <c:order val="2"/>
          <c:tx>
            <c:strRef>
              <c:f>compensation!$W$78</c:f>
              <c:strCache>
                <c:ptCount val="1"/>
                <c:pt idx="0">
                  <c:v>GBWP limit</c:v>
                </c:pt>
              </c:strCache>
            </c:strRef>
          </c:tx>
          <c:spPr>
            <a:ln w="25400">
              <a:solidFill>
                <a:srgbClr val="FF0000"/>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compensation!$W$80:$W$330</c:f>
              <c:numCache>
                <c:formatCode>General</c:formatCode>
                <c:ptCount val="251"/>
                <c:pt idx="0">
                  <c:v>59.999998069798394</c:v>
                </c:pt>
                <c:pt idx="1">
                  <c:v>59.999997883576064</c:v>
                </c:pt>
                <c:pt idx="2">
                  <c:v>59.999997679387356</c:v>
                </c:pt>
                <c:pt idx="3">
                  <c:v>59.9999974554989</c:v>
                </c:pt>
                <c:pt idx="4">
                  <c:v>59.999997210010108</c:v>
                </c:pt>
                <c:pt idx="5">
                  <c:v>59.999996940837008</c:v>
                </c:pt>
                <c:pt idx="6">
                  <c:v>59.999996645694587</c:v>
                </c:pt>
                <c:pt idx="7">
                  <c:v>59.999996322077386</c:v>
                </c:pt>
                <c:pt idx="8">
                  <c:v>59.999995967238213</c:v>
                </c:pt>
                <c:pt idx="9">
                  <c:v>59.999995578164835</c:v>
                </c:pt>
                <c:pt idx="10">
                  <c:v>59.999995151554387</c:v>
                </c:pt>
                <c:pt idx="11">
                  <c:v>59.999994683785395</c:v>
                </c:pt>
                <c:pt idx="12">
                  <c:v>59.999994170886936</c:v>
                </c:pt>
                <c:pt idx="13">
                  <c:v>59.999993608505036</c:v>
                </c:pt>
                <c:pt idx="14">
                  <c:v>59.999992991865632</c:v>
                </c:pt>
                <c:pt idx="15">
                  <c:v>59.999992315734062</c:v>
                </c:pt>
                <c:pt idx="16">
                  <c:v>59.999991574370675</c:v>
                </c:pt>
                <c:pt idx="17">
                  <c:v>59.99999076148201</c:v>
                </c:pt>
                <c:pt idx="18">
                  <c:v>59.999989870167511</c:v>
                </c:pt>
                <c:pt idx="19">
                  <c:v>59.999988892860792</c:v>
                </c:pt>
                <c:pt idx="20">
                  <c:v>59.999987821265535</c:v>
                </c:pt>
                <c:pt idx="21">
                  <c:v>59.999986646285009</c:v>
                </c:pt>
                <c:pt idx="22">
                  <c:v>59.999985357944851</c:v>
                </c:pt>
                <c:pt idx="23">
                  <c:v>59.999983945308408</c:v>
                </c:pt>
                <c:pt idx="24">
                  <c:v>59.999982396383857</c:v>
                </c:pt>
                <c:pt idx="25">
                  <c:v>59.999980698022497</c:v>
                </c:pt>
                <c:pt idx="26">
                  <c:v>59.999978835807056</c:v>
                </c:pt>
                <c:pt idx="27">
                  <c:v>59.999976793929349</c:v>
                </c:pt>
                <c:pt idx="28">
                  <c:v>59.99997455505607</c:v>
                </c:pt>
                <c:pt idx="29">
                  <c:v>59.999972100181665</c:v>
                </c:pt>
                <c:pt idx="30">
                  <c:v>59.999969408467003</c:v>
                </c:pt>
                <c:pt idx="31">
                  <c:v>59.999966457062484</c:v>
                </c:pt>
                <c:pt idx="32">
                  <c:v>59.999963220914083</c:v>
                </c:pt>
                <c:pt idx="33">
                  <c:v>59.999959672550688</c:v>
                </c:pt>
                <c:pt idx="34">
                  <c:v>59.999955781850929</c:v>
                </c:pt>
                <c:pt idx="35">
                  <c:v>59.999951515787487</c:v>
                </c:pt>
                <c:pt idx="36">
                  <c:v>59.999946838146755</c:v>
                </c:pt>
                <c:pt idx="37">
                  <c:v>59.99994170922146</c:v>
                </c:pt>
                <c:pt idx="38">
                  <c:v>59.999936085473692</c:v>
                </c:pt>
                <c:pt idx="39">
                  <c:v>59.999929919165226</c:v>
                </c:pt>
                <c:pt idx="40">
                  <c:v>59.999923157952523</c:v>
                </c:pt>
                <c:pt idx="41">
                  <c:v>59.999915744442305</c:v>
                </c:pt>
                <c:pt idx="42">
                  <c:v>59.999907615704544</c:v>
                </c:pt>
                <c:pt idx="43">
                  <c:v>59.999898702738307</c:v>
                </c:pt>
                <c:pt idx="44">
                  <c:v>59.99988892988619</c:v>
                </c:pt>
                <c:pt idx="45">
                  <c:v>59.999878214192215</c:v>
                </c:pt>
                <c:pt idx="46">
                  <c:v>59.999866464697803</c:v>
                </c:pt>
                <c:pt idx="47">
                  <c:v>59.999853581669889</c:v>
                </c:pt>
                <c:pt idx="48">
                  <c:v>59.999839455754618</c:v>
                </c:pt>
                <c:pt idx="49">
                  <c:v>59.999823967049331</c:v>
                </c:pt>
                <c:pt idx="50">
                  <c:v>59.999806984085176</c:v>
                </c:pt>
                <c:pt idx="51">
                  <c:v>59.999788362711598</c:v>
                </c:pt>
                <c:pt idx="52">
                  <c:v>59.999767944873277</c:v>
                </c:pt>
                <c:pt idx="53">
                  <c:v>59.999745557269073</c:v>
                </c:pt>
                <c:pt idx="54">
                  <c:v>59.999721009881839</c:v>
                </c:pt>
                <c:pt idx="55">
                  <c:v>59.999694094366419</c:v>
                </c:pt>
                <c:pt idx="56">
                  <c:v>59.999664582282371</c:v>
                </c:pt>
                <c:pt idx="57">
                  <c:v>59.999632223156183</c:v>
                </c:pt>
                <c:pt idx="58">
                  <c:v>59.999596742356985</c:v>
                </c:pt>
                <c:pt idx="59">
                  <c:v>59.999557838767437</c:v>
                </c:pt>
                <c:pt idx="60">
                  <c:v>59.999515182230297</c:v>
                </c:pt>
                <c:pt idx="61">
                  <c:v>59.99946841074896</c:v>
                </c:pt>
                <c:pt idx="62">
                  <c:v>59.999417127418411</c:v>
                </c:pt>
                <c:pt idx="63">
                  <c:v>59.999360897060647</c:v>
                </c:pt>
                <c:pt idx="64">
                  <c:v>59.999299242536175</c:v>
                </c:pt>
                <c:pt idx="65">
                  <c:v>59.999231640700394</c:v>
                </c:pt>
                <c:pt idx="66">
                  <c:v>59.999157517970893</c:v>
                </c:pt>
                <c:pt idx="67">
                  <c:v>59.999076245468153</c:v>
                </c:pt>
                <c:pt idx="68">
                  <c:v>59.998987133689006</c:v>
                </c:pt>
                <c:pt idx="69">
                  <c:v>59.998889426667681</c:v>
                </c:pt>
                <c:pt idx="70">
                  <c:v>59.998782295575666</c:v>
                </c:pt>
                <c:pt idx="71">
                  <c:v>59.998664831706478</c:v>
                </c:pt>
                <c:pt idx="72">
                  <c:v>59.998536038786568</c:v>
                </c:pt>
                <c:pt idx="73">
                  <c:v>59.99839482454788</c:v>
                </c:pt>
                <c:pt idx="74">
                  <c:v>59.998239991491509</c:v>
                </c:pt>
                <c:pt idx="75">
                  <c:v>59.998070226765485</c:v>
                </c:pt>
                <c:pt idx="76">
                  <c:v>59.997884091071867</c:v>
                </c:pt>
                <c:pt idx="77">
                  <c:v>59.997680006511125</c:v>
                </c:pt>
                <c:pt idx="78">
                  <c:v>59.997456243262405</c:v>
                </c:pt>
                <c:pt idx="79">
                  <c:v>59.997210904989451</c:v>
                </c:pt>
                <c:pt idx="80">
                  <c:v>59.996941912851113</c:v>
                </c:pt>
                <c:pt idx="81">
                  <c:v>59.996646987984548</c:v>
                </c:pt>
                <c:pt idx="82">
                  <c:v>59.996323632316731</c:v>
                </c:pt>
                <c:pt idx="83">
                  <c:v>59.995969107546841</c:v>
                </c:pt>
                <c:pt idx="84">
                  <c:v>59.995580412127232</c:v>
                </c:pt>
                <c:pt idx="85">
                  <c:v>59.995154256055478</c:v>
                </c:pt>
                <c:pt idx="86">
                  <c:v>59.994687033272704</c:v>
                </c:pt>
                <c:pt idx="87">
                  <c:v>59.994174791444657</c:v>
                </c:pt>
                <c:pt idx="88">
                  <c:v>59.993613198882656</c:v>
                </c:pt>
                <c:pt idx="89">
                  <c:v>59.992997508339172</c:v>
                </c:pt>
                <c:pt idx="90">
                  <c:v>59.992322517390235</c:v>
                </c:pt>
                <c:pt idx="91">
                  <c:v>59.991582525090692</c:v>
                </c:pt>
                <c:pt idx="92">
                  <c:v>59.990771284562719</c:v>
                </c:pt>
                <c:pt idx="93">
                  <c:v>59.989881951147353</c:v>
                </c:pt>
                <c:pt idx="94">
                  <c:v>59.988907025719115</c:v>
                </c:pt>
                <c:pt idx="95">
                  <c:v>59.987838292729798</c:v>
                </c:pt>
                <c:pt idx="96">
                  <c:v>59.986666752512505</c:v>
                </c:pt>
                <c:pt idx="97">
                  <c:v>59.985382547339761</c:v>
                </c:pt>
                <c:pt idx="98">
                  <c:v>59.983974880689608</c:v>
                </c:pt>
                <c:pt idx="99">
                  <c:v>59.982431929132787</c:v>
                </c:pt>
                <c:pt idx="100">
                  <c:v>59.980740746210166</c:v>
                </c:pt>
                <c:pt idx="101">
                  <c:v>59.978887157625429</c:v>
                </c:pt>
                <c:pt idx="102">
                  <c:v>59.976855647031371</c:v>
                </c:pt>
                <c:pt idx="103">
                  <c:v>59.974629231641643</c:v>
                </c:pt>
                <c:pt idx="104">
                  <c:v>59.972189326852799</c:v>
                </c:pt>
                <c:pt idx="105">
                  <c:v>59.969515599014912</c:v>
                </c:pt>
                <c:pt idx="106">
                  <c:v>59.966585805444275</c:v>
                </c:pt>
                <c:pt idx="107">
                  <c:v>59.963375620730133</c:v>
                </c:pt>
                <c:pt idx="108">
                  <c:v>59.959858448349273</c:v>
                </c:pt>
                <c:pt idx="109">
                  <c:v>59.956005216571938</c:v>
                </c:pt>
                <c:pt idx="110">
                  <c:v>59.951784157619457</c:v>
                </c:pt>
                <c:pt idx="111">
                  <c:v>59.947160569023339</c:v>
                </c:pt>
                <c:pt idx="112">
                  <c:v>59.942096556139589</c:v>
                </c:pt>
                <c:pt idx="113">
                  <c:v>59.936550754794744</c:v>
                </c:pt>
                <c:pt idx="114">
                  <c:v>59.930478033086594</c:v>
                </c:pt>
                <c:pt idx="115">
                  <c:v>59.923829171438776</c:v>
                </c:pt>
                <c:pt idx="116">
                  <c:v>59.916550520119287</c:v>
                </c:pt>
                <c:pt idx="117">
                  <c:v>59.908583633588314</c:v>
                </c:pt>
                <c:pt idx="118">
                  <c:v>59.899864881246756</c:v>
                </c:pt>
                <c:pt idx="119">
                  <c:v>59.890325034424585</c:v>
                </c:pt>
                <c:pt idx="120">
                  <c:v>59.879888829787795</c:v>
                </c:pt>
                <c:pt idx="121">
                  <c:v>59.868474509766344</c:v>
                </c:pt>
                <c:pt idx="122">
                  <c:v>59.855993341124744</c:v>
                </c:pt>
                <c:pt idx="123">
                  <c:v>59.842349113427183</c:v>
                </c:pt>
                <c:pt idx="124">
                  <c:v>59.82743761990217</c:v>
                </c:pt>
                <c:pt idx="125">
                  <c:v>59.811146124101803</c:v>
                </c:pt>
                <c:pt idx="126">
                  <c:v>59.793352816792556</c:v>
                </c:pt>
                <c:pt idx="127">
                  <c:v>59.773926268715208</c:v>
                </c:pt>
                <c:pt idx="128">
                  <c:v>59.752724886223653</c:v>
                </c:pt>
                <c:pt idx="129">
                  <c:v>59.729596378355396</c:v>
                </c:pt>
                <c:pt idx="130">
                  <c:v>59.704377245600256</c:v>
                </c:pt>
                <c:pt idx="131">
                  <c:v>59.676892302504484</c:v>
                </c:pt>
                <c:pt idx="132">
                  <c:v>59.646954248252371</c:v>
                </c:pt>
                <c:pt idx="133">
                  <c:v>59.614363301469069</c:v>
                </c:pt>
                <c:pt idx="134">
                  <c:v>59.578906917630803</c:v>
                </c:pt>
                <c:pt idx="135">
                  <c:v>59.54035960957598</c:v>
                </c:pt>
                <c:pt idx="136">
                  <c:v>59.498482893585056</c:v>
                </c:pt>
                <c:pt idx="137">
                  <c:v>59.453025385211674</c:v>
                </c:pt>
                <c:pt idx="138">
                  <c:v>59.403723070353813</c:v>
                </c:pt>
                <c:pt idx="139">
                  <c:v>59.350299777775632</c:v>
                </c:pt>
                <c:pt idx="140">
                  <c:v>59.292467879229982</c:v>
                </c:pt>
                <c:pt idx="141">
                  <c:v>59.229929242279731</c:v>
                </c:pt>
                <c:pt idx="142">
                  <c:v>59.162376458656205</c:v>
                </c:pt>
                <c:pt idx="143">
                  <c:v>59.089494367324988</c:v>
                </c:pt>
                <c:pt idx="144">
                  <c:v>59.010961886181946</c:v>
                </c:pt>
                <c:pt idx="145">
                  <c:v>58.926454159360915</c:v>
                </c:pt>
                <c:pt idx="146">
                  <c:v>58.835645018469179</c:v>
                </c:pt>
                <c:pt idx="147">
                  <c:v>58.738209745752485</c:v>
                </c:pt>
                <c:pt idx="148">
                  <c:v>58.633828115442952</c:v>
                </c:pt>
                <c:pt idx="149">
                  <c:v>58.522187676724101</c:v>
                </c:pt>
                <c:pt idx="150">
                  <c:v>58.402987228382216</c:v>
                </c:pt>
                <c:pt idx="151">
                  <c:v>58.27594042198335</c:v>
                </c:pt>
                <c:pt idx="152">
                  <c:v>58.140779418121291</c:v>
                </c:pt>
                <c:pt idx="153">
                  <c:v>57.997258509815111</c:v>
                </c:pt>
                <c:pt idx="154">
                  <c:v>57.845157619393106</c:v>
                </c:pt>
                <c:pt idx="155">
                  <c:v>57.684285571021235</c:v>
                </c:pt>
                <c:pt idx="156">
                  <c:v>57.514483041099453</c:v>
                </c:pt>
                <c:pt idx="157">
                  <c:v>57.335625093497889</c:v>
                </c:pt>
                <c:pt idx="158">
                  <c:v>57.14762321616459</c:v>
                </c:pt>
                <c:pt idx="159">
                  <c:v>56.95042678977137</c:v>
                </c:pt>
                <c:pt idx="160">
                  <c:v>56.74402393717245</c:v>
                </c:pt>
                <c:pt idx="161">
                  <c:v>56.528441723585566</c:v>
                </c:pt>
                <c:pt idx="162">
                  <c:v>56.303745700353609</c:v>
                </c:pt>
                <c:pt idx="163">
                  <c:v>56.070038808527265</c:v>
                </c:pt>
                <c:pt idx="164">
                  <c:v>55.827459680907907</c:v>
                </c:pt>
                <c:pt idx="165">
                  <c:v>55.576180401270996</c:v>
                </c:pt>
                <c:pt idx="166">
                  <c:v>55.316403796142737</c:v>
                </c:pt>
                <c:pt idx="167">
                  <c:v>55.048360346898555</c:v>
                </c:pt>
                <c:pt idx="168">
                  <c:v>54.772304817641071</c:v>
                </c:pt>
                <c:pt idx="169">
                  <c:v>54.488512697196015</c:v>
                </c:pt>
                <c:pt idx="170">
                  <c:v>54.197276551907407</c:v>
                </c:pt>
                <c:pt idx="171">
                  <c:v>53.89890238024654</c:v>
                </c:pt>
                <c:pt idx="172">
                  <c:v>53.593706051339524</c:v>
                </c:pt>
                <c:pt idx="173">
                  <c:v>53.28200989822782</c:v>
                </c:pt>
                <c:pt idx="174">
                  <c:v>52.964139523914675</c:v>
                </c:pt>
                <c:pt idx="175">
                  <c:v>52.6404208648772</c:v>
                </c:pt>
                <c:pt idx="176">
                  <c:v>52.311177543499817</c:v>
                </c:pt>
                <c:pt idx="177">
                  <c:v>51.976728528430172</c:v>
                </c:pt>
                <c:pt idx="178">
                  <c:v>51.637386110635617</c:v>
                </c:pt>
                <c:pt idx="179">
                  <c:v>51.293454193251797</c:v>
                </c:pt>
                <c:pt idx="180">
                  <c:v>50.945226885319705</c:v>
                </c:pt>
                <c:pt idx="181">
                  <c:v>50.592987383236647</c:v>
                </c:pt>
                <c:pt idx="182">
                  <c:v>50.237007119135562</c:v>
                </c:pt>
                <c:pt idx="183">
                  <c:v>49.877545152308691</c:v>
                </c:pt>
                <c:pt idx="184">
                  <c:v>49.514847778031154</c:v>
                </c:pt>
                <c:pt idx="185">
                  <c:v>49.149148327499859</c:v>
                </c:pt>
                <c:pt idx="186">
                  <c:v>48.78066713287182</c:v>
                </c:pt>
                <c:pt idx="187">
                  <c:v>48.409611632360352</c:v>
                </c:pt>
                <c:pt idx="188">
                  <c:v>48.036176591829474</c:v>
                </c:pt>
                <c:pt idx="189">
                  <c:v>47.660544421161759</c:v>
                </c:pt>
                <c:pt idx="190">
                  <c:v>47.282885565712192</c:v>
                </c:pt>
                <c:pt idx="191">
                  <c:v>46.903358955292589</c:v>
                </c:pt>
                <c:pt idx="192">
                  <c:v>46.522112495263492</c:v>
                </c:pt>
                <c:pt idx="193">
                  <c:v>46.139283586380415</c:v>
                </c:pt>
                <c:pt idx="194">
                  <c:v>45.754999661995427</c:v>
                </c:pt>
                <c:pt idx="195">
                  <c:v>45.369378733025641</c:v>
                </c:pt>
                <c:pt idx="196">
                  <c:v>44.982529932747752</c:v>
                </c:pt>
                <c:pt idx="197">
                  <c:v>44.594554054952205</c:v>
                </c:pt>
                <c:pt idx="198">
                  <c:v>44.205544080292739</c:v>
                </c:pt>
                <c:pt idx="199">
                  <c:v>43.815585686805953</c:v>
                </c:pt>
                <c:pt idx="200">
                  <c:v>43.424757741551574</c:v>
                </c:pt>
                <c:pt idx="201">
                  <c:v>43.033132771159963</c:v>
                </c:pt>
                <c:pt idx="202">
                  <c:v>42.640777409773833</c:v>
                </c:pt>
                <c:pt idx="203">
                  <c:v>42.247752823454348</c:v>
                </c:pt>
                <c:pt idx="204">
                  <c:v>41.85411511060061</c:v>
                </c:pt>
                <c:pt idx="205">
                  <c:v>41.459915678317074</c:v>
                </c:pt>
                <c:pt idx="206">
                  <c:v>41.065201594972862</c:v>
                </c:pt>
                <c:pt idx="207">
                  <c:v>40.67001591943432</c:v>
                </c:pt>
                <c:pt idx="208">
                  <c:v>40.27439800763598</c:v>
                </c:pt>
                <c:pt idx="209">
                  <c:v>39.878383797286645</c:v>
                </c:pt>
                <c:pt idx="210">
                  <c:v>39.482006071602648</c:v>
                </c:pt>
                <c:pt idx="211">
                  <c:v>39.085294703016721</c:v>
                </c:pt>
                <c:pt idx="212">
                  <c:v>38.688276877845574</c:v>
                </c:pt>
                <c:pt idx="213">
                  <c:v>38.290977302908047</c:v>
                </c:pt>
                <c:pt idx="214">
                  <c:v>37.89341839507825</c:v>
                </c:pt>
                <c:pt idx="215">
                  <c:v>37.495620454735537</c:v>
                </c:pt>
                <c:pt idx="216">
                  <c:v>37.097601824042485</c:v>
                </c:pt>
                <c:pt idx="217">
                  <c:v>36.6993790309375</c:v>
                </c:pt>
                <c:pt idx="218">
                  <c:v>36.300966919686452</c:v>
                </c:pt>
                <c:pt idx="219">
                  <c:v>35.90237876878038</c:v>
                </c:pt>
                <c:pt idx="220">
                  <c:v>35.503626396916495</c:v>
                </c:pt>
                <c:pt idx="221">
                  <c:v>35.104720257739082</c:v>
                </c:pt>
                <c:pt idx="222">
                  <c:v>34.70566952396149</c:v>
                </c:pt>
                <c:pt idx="223">
                  <c:v>34.306482161429948</c:v>
                </c:pt>
                <c:pt idx="224">
                  <c:v>33.907164993632236</c:v>
                </c:pt>
                <c:pt idx="225">
                  <c:v>33.507723757095413</c:v>
                </c:pt>
                <c:pt idx="226">
                  <c:v>33.108163148058999</c:v>
                </c:pt>
                <c:pt idx="227">
                  <c:v>32.708486860752139</c:v>
                </c:pt>
                <c:pt idx="228">
                  <c:v>32.308697617546841</c:v>
                </c:pt>
                <c:pt idx="229">
                  <c:v>31.908797191202737</c:v>
                </c:pt>
                <c:pt idx="230">
                  <c:v>31.508786419364036</c:v>
                </c:pt>
                <c:pt idx="231">
                  <c:v>31.108665211411832</c:v>
                </c:pt>
                <c:pt idx="232">
                  <c:v>30.708432547723064</c:v>
                </c:pt>
                <c:pt idx="233">
                  <c:v>30.308086471329165</c:v>
                </c:pt>
                <c:pt idx="234">
                  <c:v>29.907624071915457</c:v>
                </c:pt>
                <c:pt idx="235">
                  <c:v>29.50704146204459</c:v>
                </c:pt>
                <c:pt idx="236">
                  <c:v>29.106333745434455</c:v>
                </c:pt>
                <c:pt idx="237">
                  <c:v>28.705494977063498</c:v>
                </c:pt>
                <c:pt idx="238">
                  <c:v>28.304518114819732</c:v>
                </c:pt>
                <c:pt idx="239">
                  <c:v>27.903394962354866</c:v>
                </c:pt>
                <c:pt idx="240">
                  <c:v>27.502116102744726</c:v>
                </c:pt>
                <c:pt idx="241">
                  <c:v>27.100670822501268</c:v>
                </c:pt>
                <c:pt idx="242">
                  <c:v>26.699047025421091</c:v>
                </c:pt>
                <c:pt idx="243">
                  <c:v>26.297231135698411</c:v>
                </c:pt>
                <c:pt idx="244">
                  <c:v>25.895207989670279</c:v>
                </c:pt>
                <c:pt idx="245">
                  <c:v>25.492960715505255</c:v>
                </c:pt>
                <c:pt idx="246">
                  <c:v>25.090470600088963</c:v>
                </c:pt>
                <c:pt idx="247">
                  <c:v>24.687716942306814</c:v>
                </c:pt>
                <c:pt idx="248">
                  <c:v>24.284676891872699</c:v>
                </c:pt>
                <c:pt idx="249">
                  <c:v>23.881325272805547</c:v>
                </c:pt>
                <c:pt idx="250">
                  <c:v>23.477634390618025</c:v>
                </c:pt>
              </c:numCache>
            </c:numRef>
          </c:yVal>
          <c:smooth val="1"/>
          <c:extLst xmlns:c16r2="http://schemas.microsoft.com/office/drawing/2015/06/chart">
            <c:ext xmlns:c16="http://schemas.microsoft.com/office/drawing/2014/chart" uri="{C3380CC4-5D6E-409C-BE32-E72D297353CC}">
              <c16:uniqueId val="{00000001-FD4B-41DC-8080-D72ACE45F9B6}"/>
            </c:ext>
          </c:extLst>
        </c:ser>
        <c:dLbls>
          <c:showLegendKey val="0"/>
          <c:showVal val="0"/>
          <c:showCatName val="0"/>
          <c:showSerName val="0"/>
          <c:showPercent val="0"/>
          <c:showBubbleSize val="0"/>
        </c:dLbls>
        <c:axId val="493852160"/>
        <c:axId val="493854080"/>
      </c:scatterChart>
      <c:scatterChart>
        <c:scatterStyle val="lineMarker"/>
        <c:varyColors val="0"/>
        <c:ser>
          <c:idx val="1"/>
          <c:order val="1"/>
          <c:tx>
            <c:v>Phase</c:v>
          </c:tx>
          <c:spPr>
            <a:ln w="25400">
              <a:solidFill>
                <a:srgbClr val="FF00FF"/>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compensation!$V$80:$V$330</c:f>
              <c:numCache>
                <c:formatCode>General</c:formatCode>
                <c:ptCount val="251"/>
                <c:pt idx="0">
                  <c:v>170.65708971817543</c:v>
                </c:pt>
                <c:pt idx="1">
                  <c:v>170.22520862353539</c:v>
                </c:pt>
                <c:pt idx="2">
                  <c:v>169.77419231097051</c:v>
                </c:pt>
                <c:pt idx="3">
                  <c:v>169.30331167542712</c:v>
                </c:pt>
                <c:pt idx="4">
                  <c:v>168.8118268930842</c:v>
                </c:pt>
                <c:pt idx="5">
                  <c:v>168.29898994703422</c:v>
                </c:pt>
                <c:pt idx="6">
                  <c:v>167.76404761012233</c:v>
                </c:pt>
                <c:pt idx="7">
                  <c:v>167.20624493182441</c:v>
                </c:pt>
                <c:pt idx="8">
                  <c:v>166.62482927692045</c:v>
                </c:pt>
                <c:pt idx="9">
                  <c:v>166.01905496357821</c:v>
                </c:pt>
                <c:pt idx="10">
                  <c:v>165.38818854697249</c:v>
                </c:pt>
                <c:pt idx="11">
                  <c:v>164.73151479137576</c:v>
                </c:pt>
                <c:pt idx="12">
                  <c:v>164.0483433684048</c:v>
                </c:pt>
                <c:pt idx="13">
                  <c:v>163.33801631134543</c:v>
                </c:pt>
                <c:pt idx="14">
                  <c:v>162.59991624478451</c:v>
                </c:pt>
                <c:pt idx="15">
                  <c:v>161.8334753947176</c:v>
                </c:pt>
                <c:pt idx="16">
                  <c:v>161.03818536647242</c:v>
                </c:pt>
                <c:pt idx="17">
                  <c:v>160.21360765586192</c:v>
                </c:pt>
                <c:pt idx="18">
                  <c:v>159.35938483273733</c:v>
                </c:pt>
                <c:pt idx="19">
                  <c:v>158.47525230553606</c:v>
                </c:pt>
                <c:pt idx="20">
                  <c:v>157.56105054068965</c:v>
                </c:pt>
                <c:pt idx="21">
                  <c:v>156.61673757241829</c:v>
                </c:pt>
                <c:pt idx="22">
                  <c:v>155.6424015973642</c:v>
                </c:pt>
                <c:pt idx="23">
                  <c:v>154.63827340606514</c:v>
                </c:pt>
                <c:pt idx="24">
                  <c:v>153.60473836123094</c:v>
                </c:pt>
                <c:pt idx="25">
                  <c:v>152.54234759349441</c:v>
                </c:pt>
                <c:pt idx="26">
                  <c:v>151.45182805149554</c:v>
                </c:pt>
                <c:pt idx="27">
                  <c:v>150.3340910179343</c:v>
                </c:pt>
                <c:pt idx="28">
                  <c:v>149.19023868995018</c:v>
                </c:pt>
                <c:pt idx="29">
                  <c:v>148.02156842406382</c:v>
                </c:pt>
                <c:pt idx="30">
                  <c:v>146.82957426596278</c:v>
                </c:pt>
                <c:pt idx="31">
                  <c:v>145.61594542589566</c:v>
                </c:pt>
                <c:pt idx="32">
                  <c:v>144.3825614225606</c:v>
                </c:pt>
                <c:pt idx="33">
                  <c:v>143.1314837020663</c:v>
                </c:pt>
                <c:pt idx="34">
                  <c:v>141.86494364201369</c:v>
                </c:pt>
                <c:pt idx="35">
                  <c:v>140.58532697037154</c:v>
                </c:pt>
                <c:pt idx="36">
                  <c:v>139.29515475940127</c:v>
                </c:pt>
                <c:pt idx="37">
                  <c:v>137.99706128946679</c:v>
                </c:pt>
                <c:pt idx="38">
                  <c:v>136.69376920829973</c:v>
                </c:pt>
                <c:pt idx="39">
                  <c:v>135.38806252975621</c:v>
                </c:pt>
                <c:pt idx="40">
                  <c:v>134.08275811423476</c:v>
                </c:pt>
                <c:pt idx="41">
                  <c:v>132.7806763436781</c:v>
                </c:pt>
                <c:pt idx="42">
                  <c:v>131.48461174226665</c:v>
                </c:pt>
                <c:pt idx="43">
                  <c:v>130.19730429661763</c:v>
                </c:pt>
                <c:pt idx="44">
                  <c:v>128.92141219636176</c:v>
                </c:pt>
                <c:pt idx="45">
                  <c:v>127.65948664984086</c:v>
                </c:pt>
                <c:pt idx="46">
                  <c:v>126.41394933525559</c:v>
                </c:pt>
                <c:pt idx="47">
                  <c:v>125.18707293170029</c:v>
                </c:pt>
                <c:pt idx="48">
                  <c:v>123.98096504510966</c:v>
                </c:pt>
                <c:pt idx="49">
                  <c:v>122.79755570961399</c:v>
                </c:pt>
                <c:pt idx="50">
                  <c:v>121.63858851318327</c:v>
                </c:pt>
                <c:pt idx="51">
                  <c:v>120.50561527476835</c:v>
                </c:pt>
                <c:pt idx="52">
                  <c:v>119.39999409400646</c:v>
                </c:pt>
                <c:pt idx="53">
                  <c:v>118.32289050774543</c:v>
                </c:pt>
                <c:pt idx="54">
                  <c:v>117.27528142222798</c:v>
                </c:pt>
                <c:pt idx="55">
                  <c:v>116.25796144611198</c:v>
                </c:pt>
                <c:pt idx="56">
                  <c:v>115.27155122651919</c:v>
                </c:pt>
                <c:pt idx="57">
                  <c:v>114.31650738587277</c:v>
                </c:pt>
                <c:pt idx="58">
                  <c:v>113.3931336685108</c:v>
                </c:pt>
                <c:pt idx="59">
                  <c:v>112.50159292971597</c:v>
                </c:pt>
                <c:pt idx="60">
                  <c:v>111.64191963253039</c:v>
                </c:pt>
                <c:pt idx="61">
                  <c:v>110.81403255640863</c:v>
                </c:pt>
                <c:pt idx="62">
                  <c:v>110.0177474635467</c:v>
                </c:pt>
                <c:pt idx="63">
                  <c:v>109.25278951126795</c:v>
                </c:pt>
                <c:pt idx="64">
                  <c:v>108.5188052402322</c:v>
                </c:pt>
                <c:pt idx="65">
                  <c:v>107.81537400707195</c:v>
                </c:pt>
                <c:pt idx="66">
                  <c:v>107.14201876539019</c:v>
                </c:pt>
                <c:pt idx="67">
                  <c:v>106.49821613028945</c:v>
                </c:pt>
                <c:pt idx="68">
                  <c:v>105.88340568851633</c:v>
                </c:pt>
                <c:pt idx="69">
                  <c:v>105.29699853889038</c:v>
                </c:pt>
                <c:pt idx="70">
                  <c:v>104.73838506612699</c:v>
                </c:pt>
                <c:pt idx="71">
                  <c:v>104.20694196578725</c:v>
                </c:pt>
                <c:pt idx="72">
                  <c:v>103.70203854927401</c:v>
                </c:pt>
                <c:pt idx="73">
                  <c:v>103.22304236598551</c:v>
                </c:pt>
                <c:pt idx="74">
                  <c:v>102.76932418536347</c:v>
                </c:pt>
                <c:pt idx="75">
                  <c:v>102.34026238505186</c:v>
                </c:pt>
                <c:pt idx="76">
                  <c:v>101.9352467931334</c:v>
                </c:pt>
                <c:pt idx="77">
                  <c:v>101.55368203273964</c:v>
                </c:pt>
                <c:pt idx="78">
                  <c:v>101.19499041661385</c:v>
                </c:pt>
                <c:pt idx="79">
                  <c:v>100.85861443764792</c:v>
                </c:pt>
                <c:pt idx="80">
                  <c:v>100.54401889929581</c:v>
                </c:pt>
                <c:pt idx="81">
                  <c:v>100.25069272723854</c:v>
                </c:pt>
                <c:pt idx="82">
                  <c:v>99.978150500906111</c:v>
                </c:pt>
                <c:pt idx="83">
                  <c:v>99.725933740574646</c:v>
                </c:pt>
                <c:pt idx="84">
                  <c:v>99.493611982831553</c:v>
                </c:pt>
                <c:pt idx="85">
                  <c:v>99.280783674323501</c:v>
                </c:pt>
                <c:pt idx="86">
                  <c:v>99.08707691091422</c:v>
                </c:pt>
                <c:pt idx="87">
                  <c:v>98.912150046719347</c:v>
                </c:pt>
                <c:pt idx="88">
                  <c:v>98.755692194980696</c:v>
                </c:pt>
                <c:pt idx="89">
                  <c:v>98.617423640395174</c:v>
                </c:pt>
                <c:pt idx="90">
                  <c:v>98.497096180352727</c:v>
                </c:pt>
                <c:pt idx="91">
                  <c:v>98.394493410523253</c:v>
                </c:pt>
                <c:pt idx="92">
                  <c:v>98.30943096840997</c:v>
                </c:pt>
                <c:pt idx="93">
                  <c:v>98.241756746800206</c:v>
                </c:pt>
                <c:pt idx="94">
                  <c:v>98.191351087512331</c:v>
                </c:pt>
                <c:pt idx="95">
                  <c:v>98.158126964442189</c:v>
                </c:pt>
                <c:pt idx="96">
                  <c:v>98.142030163630622</c:v>
                </c:pt>
                <c:pt idx="97">
                  <c:v>98.143039466901158</c:v>
                </c:pt>
                <c:pt idx="98">
                  <c:v>98.161166844538158</c:v>
                </c:pt>
                <c:pt idx="99">
                  <c:v>98.196457661470774</c:v>
                </c:pt>
                <c:pt idx="100">
                  <c:v>98.248990900486248</c:v>
                </c:pt>
                <c:pt idx="101">
                  <c:v>98.318879405106657</c:v>
                </c:pt>
                <c:pt idx="102">
                  <c:v>98.406270143898269</c:v>
                </c:pt>
                <c:pt idx="103">
                  <c:v>98.511344497145316</c:v>
                </c:pt>
                <c:pt idx="104">
                  <c:v>98.634318565981559</c:v>
                </c:pt>
                <c:pt idx="105">
                  <c:v>98.775443503220899</c:v>
                </c:pt>
                <c:pt idx="106">
                  <c:v>98.93500586425732</c:v>
                </c:pt>
                <c:pt idx="107">
                  <c:v>99.113327975481127</c:v>
                </c:pt>
                <c:pt idx="108">
                  <c:v>99.310768316682896</c:v>
                </c:pt>
                <c:pt idx="109">
                  <c:v>99.527721912862859</c:v>
                </c:pt>
                <c:pt idx="110">
                  <c:v>99.764620729713471</c:v>
                </c:pt>
                <c:pt idx="111">
                  <c:v>100.02193406578449</c:v>
                </c:pt>
                <c:pt idx="112">
                  <c:v>100.30016893294258</c:v>
                </c:pt>
                <c:pt idx="113">
                  <c:v>100.59987041519477</c:v>
                </c:pt>
                <c:pt idx="114">
                  <c:v>100.92162199421905</c:v>
                </c:pt>
                <c:pt idx="115">
                  <c:v>101.26604582802756</c:v>
                </c:pt>
                <c:pt idx="116">
                  <c:v>101.6338029670455</c:v>
                </c:pt>
                <c:pt idx="117">
                  <c:v>102.02559348950533</c:v>
                </c:pt>
                <c:pt idx="118">
                  <c:v>102.44215653540093</c:v>
                </c:pt>
                <c:pt idx="119">
                  <c:v>102.88427021529915</c:v>
                </c:pt>
                <c:pt idx="120">
                  <c:v>103.35275136705393</c:v>
                </c:pt>
                <c:pt idx="121">
                  <c:v>103.84845512987312</c:v>
                </c:pt>
                <c:pt idx="122">
                  <c:v>104.37227430125945</c:v>
                </c:pt>
                <c:pt idx="123">
                  <c:v>104.92513843805349</c:v>
                </c:pt>
                <c:pt idx="124">
                  <c:v>105.50801265816658</c:v>
                </c:pt>
                <c:pt idx="125">
                  <c:v>106.12189609460854</c:v>
                </c:pt>
                <c:pt idx="126">
                  <c:v>106.76781994810852</c:v>
                </c:pt>
                <c:pt idx="127">
                  <c:v>107.44684507906514</c:v>
                </c:pt>
                <c:pt idx="128">
                  <c:v>108.16005907378947</c:v>
                </c:pt>
                <c:pt idx="129">
                  <c:v>108.90857271413864</c:v>
                </c:pt>
                <c:pt idx="130">
                  <c:v>109.69351577381988</c:v>
                </c:pt>
                <c:pt idx="131">
                  <c:v>110.51603205904186</c:v>
                </c:pt>
                <c:pt idx="132">
                  <c:v>111.37727360606138</c:v>
                </c:pt>
                <c:pt idx="133">
                  <c:v>112.27839394379842</c:v>
                </c:pt>
                <c:pt idx="134">
                  <c:v>113.22054032645968</c:v>
                </c:pt>
                <c:pt idx="135">
                  <c:v>114.2048448394428</c:v>
                </c:pt>
                <c:pt idx="136">
                  <c:v>115.23241428225411</c:v>
                </c:pt>
                <c:pt idx="137">
                  <c:v>116.30431873534826</c:v>
                </c:pt>
                <c:pt idx="138">
                  <c:v>117.42157872441891</c:v>
                </c:pt>
                <c:pt idx="139">
                  <c:v>118.58515090649306</c:v>
                </c:pt>
                <c:pt idx="140">
                  <c:v>119.79591221808276</c:v>
                </c:pt>
                <c:pt idx="141">
                  <c:v>121.05464244746591</c:v>
                </c:pt>
                <c:pt idx="142">
                  <c:v>122.36200522179082</c:v>
                </c:pt>
                <c:pt idx="143">
                  <c:v>123.71852743593371</c:v>
                </c:pt>
                <c:pt idx="144">
                  <c:v>125.12457719449826</c:v>
                </c:pt>
                <c:pt idx="145">
                  <c:v>126.58034039148895</c:v>
                </c:pt>
                <c:pt idx="146">
                  <c:v>128.08579611401896</c:v>
                </c:pt>
                <c:pt idx="147">
                  <c:v>129.64069112652535</c:v>
                </c:pt>
                <c:pt idx="148">
                  <c:v>131.24451376924819</c:v>
                </c:pt>
                <c:pt idx="149">
                  <c:v>132.89646768738552</c:v>
                </c:pt>
                <c:pt idx="150">
                  <c:v>134.59544589261461</c:v>
                </c:pt>
                <c:pt idx="151">
                  <c:v>136.34000574288387</c:v>
                </c:pt>
                <c:pt idx="152">
                  <c:v>138.12834550490788</c:v>
                </c:pt>
                <c:pt idx="153">
                  <c:v>139.9582832310395</c:v>
                </c:pt>
                <c:pt idx="154">
                  <c:v>141.82723873193382</c:v>
                </c:pt>
                <c:pt idx="155">
                  <c:v>143.73221945201945</c:v>
                </c:pt>
                <c:pt idx="156">
                  <c:v>145.66981104974138</c:v>
                </c:pt>
                <c:pt idx="157">
                  <c:v>147.6361734429837</c:v>
                </c:pt>
                <c:pt idx="158">
                  <c:v>149.62704299763328</c:v>
                </c:pt>
                <c:pt idx="159">
                  <c:v>151.63774141152373</c:v>
                </c:pt>
                <c:pt idx="160">
                  <c:v>153.66319167754631</c:v>
                </c:pt>
                <c:pt idx="161">
                  <c:v>155.69794130226464</c:v>
                </c:pt>
                <c:pt idx="162">
                  <c:v>157.73619271733787</c:v>
                </c:pt>
                <c:pt idx="163">
                  <c:v>159.77184056129857</c:v>
                </c:pt>
                <c:pt idx="164">
                  <c:v>161.79851524264396</c:v>
                </c:pt>
                <c:pt idx="165">
                  <c:v>163.809631937777</c:v>
                </c:pt>
                <c:pt idx="166">
                  <c:v>165.79844394587636</c:v>
                </c:pt>
                <c:pt idx="167">
                  <c:v>167.75809913348343</c:v>
                </c:pt>
                <c:pt idx="168">
                  <c:v>169.68169806834806</c:v>
                </c:pt>
                <c:pt idx="169">
                  <c:v>171.56235237516842</c:v>
                </c:pt>
                <c:pt idx="170">
                  <c:v>173.39324185078115</c:v>
                </c:pt>
                <c:pt idx="171">
                  <c:v>175.16766895326512</c:v>
                </c:pt>
                <c:pt idx="172">
                  <c:v>176.87910942313147</c:v>
                </c:pt>
                <c:pt idx="173">
                  <c:v>178.52125799526161</c:v>
                </c:pt>
                <c:pt idx="174">
                  <c:v>180.0880684038828</c:v>
                </c:pt>
                <c:pt idx="175">
                  <c:v>181.5737871535573</c:v>
                </c:pt>
                <c:pt idx="176">
                  <c:v>182.97298081024354</c:v>
                </c:pt>
                <c:pt idx="177">
                  <c:v>184.28055684190772</c:v>
                </c:pt>
                <c:pt idx="178">
                  <c:v>185.49177829396834</c:v>
                </c:pt>
                <c:pt idx="179">
                  <c:v>186.60227280992359</c:v>
                </c:pt>
                <c:pt idx="180">
                  <c:v>187.60803669416325</c:v>
                </c:pt>
                <c:pt idx="181">
                  <c:v>188.50543485784692</c:v>
                </c:pt>
                <c:pt idx="182">
                  <c:v>189.29119758872494</c:v>
                </c:pt>
                <c:pt idx="183">
                  <c:v>189.96241514320977</c:v>
                </c:pt>
                <c:pt idx="184">
                  <c:v>190.51653117708568</c:v>
                </c:pt>
                <c:pt idx="185">
                  <c:v>190.95133601414076</c:v>
                </c:pt>
                <c:pt idx="186">
                  <c:v>191.26496070419242</c:v>
                </c:pt>
                <c:pt idx="187">
                  <c:v>191.45587274748459</c:v>
                </c:pt>
                <c:pt idx="188">
                  <c:v>191.52287426442385</c:v>
                </c:pt>
                <c:pt idx="189">
                  <c:v>191.46510326998214</c:v>
                </c:pt>
                <c:pt idx="190">
                  <c:v>191.2820385714318</c:v>
                </c:pt>
                <c:pt idx="191">
                  <c:v>190.97350864573053</c:v>
                </c:pt>
                <c:pt idx="192">
                  <c:v>190.5397046672438</c:v>
                </c:pt>
                <c:pt idx="193">
                  <c:v>189.98119764574616</c:v>
                </c:pt>
                <c:pt idx="194">
                  <c:v>189.29895939733021</c:v>
                </c:pt>
                <c:pt idx="195">
                  <c:v>188.49438680707843</c:v>
                </c:pt>
                <c:pt idx="196">
                  <c:v>187.56932855500585</c:v>
                </c:pt>
                <c:pt idx="197">
                  <c:v>186.52611317270998</c:v>
                </c:pt>
                <c:pt idx="198">
                  <c:v>185.36757698952744</c:v>
                </c:pt>
                <c:pt idx="199">
                  <c:v>184.09709023211744</c:v>
                </c:pt>
                <c:pt idx="200">
                  <c:v>182.7185792849526</c:v>
                </c:pt>
                <c:pt idx="201">
                  <c:v>181.23654293162417</c:v>
                </c:pt>
                <c:pt idx="202">
                  <c:v>179.65606031216157</c:v>
                </c:pt>
                <c:pt idx="203">
                  <c:v>177.98278838384161</c:v>
                </c:pt>
                <c:pt idx="204">
                  <c:v>176.222946891411</c:v>
                </c:pt>
                <c:pt idx="205">
                  <c:v>174.38328925561268</c:v>
                </c:pt>
                <c:pt idx="206">
                  <c:v>172.47105837780663</c:v>
                </c:pt>
                <c:pt idx="207">
                  <c:v>170.49392711290585</c:v>
                </c:pt>
                <c:pt idx="208">
                  <c:v>168.459924038232</c:v>
                </c:pt>
                <c:pt idx="209">
                  <c:v>166.37734607500985</c:v>
                </c:pt>
                <c:pt idx="210">
                  <c:v>164.25466041807411</c:v>
                </c:pt>
                <c:pt idx="211">
                  <c:v>162.10039900734284</c:v>
                </c:pt>
                <c:pt idx="212">
                  <c:v>159.92304934719954</c:v>
                </c:pt>
                <c:pt idx="213">
                  <c:v>157.73094578197095</c:v>
                </c:pt>
                <c:pt idx="214">
                  <c:v>155.53216533206583</c:v>
                </c:pt>
                <c:pt idx="215">
                  <c:v>153.33443188705334</c:v>
                </c:pt>
                <c:pt idx="216">
                  <c:v>151.14503197600183</c:v>
                </c:pt>
                <c:pt idx="217">
                  <c:v>148.97074455816229</c:v>
                </c:pt>
                <c:pt idx="218">
                  <c:v>146.81778638373939</c:v>
                </c:pt>
                <c:pt idx="219">
                  <c:v>144.69177355536539</c:v>
                </c:pt>
                <c:pt idx="220">
                  <c:v>142.59769905903136</c:v>
                </c:pt>
                <c:pt idx="221">
                  <c:v>140.53992529443406</c:v>
                </c:pt>
                <c:pt idx="222">
                  <c:v>138.52219006173624</c:v>
                </c:pt>
                <c:pt idx="223">
                  <c:v>136.54762407331646</c:v>
                </c:pt>
                <c:pt idx="224">
                  <c:v>134.61877785209191</c:v>
                </c:pt>
                <c:pt idx="225">
                  <c:v>132.737655832737</c:v>
                </c:pt>
                <c:pt idx="226">
                  <c:v>130.90575556826499</c:v>
                </c:pt>
                <c:pt idx="227">
                  <c:v>129.12411012697876</c:v>
                </c:pt>
                <c:pt idx="228">
                  <c:v>127.39333200904039</c:v>
                </c:pt>
                <c:pt idx="229">
                  <c:v>125.71365718686214</c:v>
                </c:pt>
                <c:pt idx="230">
                  <c:v>124.08498815399103</c:v>
                </c:pt>
                <c:pt idx="231">
                  <c:v>122.50693513443541</c:v>
                </c:pt>
                <c:pt idx="232">
                  <c:v>120.97885484601392</c:v>
                </c:pt>
                <c:pt idx="233">
                  <c:v>119.49988642032443</c:v>
                </c:pt>
                <c:pt idx="234">
                  <c:v>118.0689842556627</c:v>
                </c:pt>
                <c:pt idx="235">
                  <c:v>116.68494771817035</c:v>
                </c:pt>
                <c:pt idx="236">
                  <c:v>115.34644771328847</c:v>
                </c:pt>
                <c:pt idx="237">
                  <c:v>114.05205022803806</c:v>
                </c:pt>
                <c:pt idx="238">
                  <c:v>112.80023699906599</c:v>
                </c:pt>
                <c:pt idx="239">
                  <c:v>111.58942349617479</c:v>
                </c:pt>
                <c:pt idx="240">
                  <c:v>110.41797443028564</c:v>
                </c:pt>
                <c:pt idx="241">
                  <c:v>109.28421700209235</c:v>
                </c:pt>
                <c:pt idx="242">
                  <c:v>108.1864521061641</c:v>
                </c:pt>
                <c:pt idx="243">
                  <c:v>107.12296369749981</c:v>
                </c:pt>
                <c:pt idx="244">
                  <c:v>106.09202651556889</c:v>
                </c:pt>
                <c:pt idx="245">
                  <c:v>105.0919123462713</c:v>
                </c:pt>
                <c:pt idx="246">
                  <c:v>104.1208949862331</c:v>
                </c:pt>
                <c:pt idx="247">
                  <c:v>103.17725405726141</c:v>
                </c:pt>
                <c:pt idx="248">
                  <c:v>102.25927780225722</c:v>
                </c:pt>
                <c:pt idx="249">
                  <c:v>101.36526497780235</c:v>
                </c:pt>
                <c:pt idx="250">
                  <c:v>100.4935259432788</c:v>
                </c:pt>
              </c:numCache>
            </c:numRef>
          </c:yVal>
          <c:smooth val="1"/>
          <c:extLst xmlns:c16r2="http://schemas.microsoft.com/office/drawing/2015/06/chart">
            <c:ext xmlns:c16="http://schemas.microsoft.com/office/drawing/2014/chart" uri="{C3380CC4-5D6E-409C-BE32-E72D297353CC}">
              <c16:uniqueId val="{00000002-FD4B-41DC-8080-D72ACE45F9B6}"/>
            </c:ext>
          </c:extLst>
        </c:ser>
        <c:dLbls>
          <c:showLegendKey val="0"/>
          <c:showVal val="0"/>
          <c:showCatName val="0"/>
          <c:showSerName val="0"/>
          <c:showPercent val="0"/>
          <c:showBubbleSize val="0"/>
        </c:dLbls>
        <c:axId val="493860352"/>
        <c:axId val="493861888"/>
      </c:scatterChart>
      <c:valAx>
        <c:axId val="493852160"/>
        <c:scaling>
          <c:logBase val="10"/>
          <c:orientation val="minMax"/>
          <c:max val="1000000"/>
          <c:min val="1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700" b="1" i="0" u="none" strike="noStrike" baseline="0">
                    <a:solidFill>
                      <a:srgbClr val="000000"/>
                    </a:solidFill>
                    <a:latin typeface="Arial"/>
                    <a:ea typeface="Arial"/>
                    <a:cs typeface="Arial"/>
                  </a:defRPr>
                </a:pPr>
                <a:r>
                  <a:rPr lang="en-US"/>
                  <a:t>Frequency - Hz</a:t>
                </a:r>
              </a:p>
            </c:rich>
          </c:tx>
          <c:layout>
            <c:manualLayout>
              <c:xMode val="edge"/>
              <c:yMode val="edge"/>
              <c:x val="0.40589671661412696"/>
              <c:y val="0.835962156190330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493854080"/>
        <c:crossesAt val="-100"/>
        <c:crossBetween val="midCat"/>
      </c:valAx>
      <c:valAx>
        <c:axId val="493854080"/>
        <c:scaling>
          <c:orientation val="minMax"/>
        </c:scaling>
        <c:delete val="0"/>
        <c:axPos val="l"/>
        <c:majorGridlines>
          <c:spPr>
            <a:ln w="3175">
              <a:solidFill>
                <a:srgbClr val="000000"/>
              </a:solidFill>
              <a:prstDash val="solid"/>
            </a:ln>
          </c:spPr>
        </c:majorGridlines>
        <c:title>
          <c:tx>
            <c:rich>
              <a:bodyPr/>
              <a:lstStyle/>
              <a:p>
                <a:pPr>
                  <a:defRPr sz="700" b="1" i="0" u="none" strike="noStrike" baseline="0">
                    <a:solidFill>
                      <a:srgbClr val="000000"/>
                    </a:solidFill>
                    <a:latin typeface="Arial"/>
                    <a:ea typeface="Arial"/>
                    <a:cs typeface="Arial"/>
                  </a:defRPr>
                </a:pPr>
                <a:r>
                  <a:rPr lang="en-US"/>
                  <a:t>Gain - dB</a:t>
                </a:r>
              </a:p>
            </c:rich>
          </c:tx>
          <c:layout>
            <c:manualLayout>
              <c:xMode val="edge"/>
              <c:yMode val="edge"/>
              <c:x val="3.6281113009022023E-2"/>
              <c:y val="0.391167116884112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493852160"/>
        <c:crosses val="autoZero"/>
        <c:crossBetween val="midCat"/>
        <c:majorUnit val="10"/>
        <c:minorUnit val="2"/>
      </c:valAx>
      <c:valAx>
        <c:axId val="493860352"/>
        <c:scaling>
          <c:logBase val="10"/>
          <c:orientation val="minMax"/>
        </c:scaling>
        <c:delete val="1"/>
        <c:axPos val="b"/>
        <c:numFmt formatCode="General" sourceLinked="1"/>
        <c:majorTickMark val="out"/>
        <c:minorTickMark val="none"/>
        <c:tickLblPos val="nextTo"/>
        <c:crossAx val="493861888"/>
        <c:crosses val="autoZero"/>
        <c:crossBetween val="midCat"/>
      </c:valAx>
      <c:valAx>
        <c:axId val="493861888"/>
        <c:scaling>
          <c:orientation val="minMax"/>
        </c:scaling>
        <c:delete val="0"/>
        <c:axPos val="r"/>
        <c:title>
          <c:tx>
            <c:rich>
              <a:bodyPr/>
              <a:lstStyle/>
              <a:p>
                <a:pPr>
                  <a:defRPr sz="7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Phase - °</a:t>
                </a:r>
              </a:p>
            </c:rich>
          </c:tx>
          <c:layout>
            <c:manualLayout>
              <c:xMode val="edge"/>
              <c:yMode val="edge"/>
              <c:x val="0.92970739768640032"/>
              <c:y val="0.3974762278802740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493860352"/>
        <c:crosses val="max"/>
        <c:crossBetween val="midCat"/>
        <c:majorUnit val="45"/>
      </c:valAx>
      <c:spPr>
        <a:solidFill>
          <a:srgbClr val="C0C0C0"/>
        </a:solidFill>
        <a:ln w="12700">
          <a:solidFill>
            <a:srgbClr val="808080"/>
          </a:solidFill>
          <a:prstDash val="solid"/>
        </a:ln>
      </c:spPr>
    </c:plotArea>
    <c:legend>
      <c:legendPos val="r"/>
      <c:layout>
        <c:manualLayout>
          <c:xMode val="edge"/>
          <c:yMode val="edge"/>
          <c:x val="0.27665251665439161"/>
          <c:y val="0.92432148400417258"/>
          <c:w val="0.43538756719379662"/>
          <c:h val="5.3629574157238687E-2"/>
        </c:manualLayout>
      </c:layout>
      <c:overlay val="0"/>
      <c:spPr>
        <a:solidFill>
          <a:srgbClr val="FFFFFF"/>
        </a:solidFill>
        <a:ln w="3175">
          <a:solidFill>
            <a:srgbClr val="000000"/>
          </a:solidFill>
          <a:prstDash val="solid"/>
        </a:ln>
      </c:spPr>
      <c:txPr>
        <a:bodyPr/>
        <a:lstStyle/>
        <a:p>
          <a:pPr>
            <a:defRPr sz="49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25" b="1" i="0" u="none" strike="noStrike" baseline="0">
                <a:solidFill>
                  <a:srgbClr val="000000"/>
                </a:solidFill>
                <a:latin typeface="Arial"/>
                <a:ea typeface="Arial"/>
                <a:cs typeface="Arial"/>
              </a:defRPr>
            </a:pPr>
            <a:r>
              <a:rPr lang="en-US"/>
              <a:t>Total System Bode</a:t>
            </a:r>
          </a:p>
        </c:rich>
      </c:tx>
      <c:layout>
        <c:manualLayout>
          <c:xMode val="edge"/>
          <c:yMode val="edge"/>
          <c:x val="0.35656904633282582"/>
          <c:y val="3.4700270130467267E-2"/>
        </c:manualLayout>
      </c:layout>
      <c:overlay val="0"/>
      <c:spPr>
        <a:noFill/>
        <a:ln w="25400">
          <a:noFill/>
        </a:ln>
      </c:spPr>
    </c:title>
    <c:autoTitleDeleted val="0"/>
    <c:plotArea>
      <c:layout>
        <c:manualLayout>
          <c:layoutTarget val="inner"/>
          <c:xMode val="edge"/>
          <c:yMode val="edge"/>
          <c:x val="0.1394103701647984"/>
          <c:y val="0.16088328075709779"/>
          <c:w val="0.72922347470817628"/>
          <c:h val="0.62145110410094639"/>
        </c:manualLayout>
      </c:layout>
      <c:scatterChart>
        <c:scatterStyle val="smoothMarker"/>
        <c:varyColors val="0"/>
        <c:ser>
          <c:idx val="0"/>
          <c:order val="0"/>
          <c:tx>
            <c:v>Gain</c:v>
          </c:tx>
          <c:spPr>
            <a:ln w="25400">
              <a:solidFill>
                <a:srgbClr val="000080"/>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compensation!$D$80:$D$330</c:f>
              <c:numCache>
                <c:formatCode>0.000</c:formatCode>
                <c:ptCount val="251"/>
                <c:pt idx="0">
                  <c:v>72.052697578112387</c:v>
                </c:pt>
                <c:pt idx="1">
                  <c:v>72.041557325778072</c:v>
                </c:pt>
                <c:pt idx="2">
                  <c:v>72.029375042248887</c:v>
                </c:pt>
                <c:pt idx="3">
                  <c:v>72.016056599532163</c:v>
                </c:pt>
                <c:pt idx="4">
                  <c:v>72.001500016149578</c:v>
                </c:pt>
                <c:pt idx="5">
                  <c:v>71.985594927324357</c:v>
                </c:pt>
                <c:pt idx="6">
                  <c:v>71.968222044094901</c:v>
                </c:pt>
                <c:pt idx="7">
                  <c:v>71.949252606650418</c:v>
                </c:pt>
                <c:pt idx="8">
                  <c:v>71.928547838512685</c:v>
                </c:pt>
                <c:pt idx="9">
                  <c:v>71.90595840968092</c:v>
                </c:pt>
                <c:pt idx="10">
                  <c:v>71.881323918528537</c:v>
                </c:pt>
                <c:pt idx="11">
                  <c:v>71.854472404068233</c:v>
                </c:pt>
                <c:pt idx="12">
                  <c:v>71.82521990217532</c:v>
                </c:pt>
                <c:pt idx="13">
                  <c:v>71.793370061438154</c:v>
                </c:pt>
                <c:pt idx="14">
                  <c:v>71.758713836442723</c:v>
                </c:pt>
                <c:pt idx="15">
                  <c:v>71.7210292784263</c:v>
                </c:pt>
                <c:pt idx="16">
                  <c:v>71.680081445252426</c:v>
                </c:pt>
                <c:pt idx="17">
                  <c:v>71.635622454463316</c:v>
                </c:pt>
                <c:pt idx="18">
                  <c:v>71.587391704595788</c:v>
                </c:pt>
                <c:pt idx="19">
                  <c:v>71.535116290845991</c:v>
                </c:pt>
                <c:pt idx="20">
                  <c:v>71.478511641342166</c:v>
                </c:pt>
                <c:pt idx="21">
                  <c:v>71.417282399519578</c:v>
                </c:pt>
                <c:pt idx="22">
                  <c:v>71.351123576181891</c:v>
                </c:pt>
                <c:pt idx="23">
                  <c:v>71.279721991565438</c:v>
                </c:pt>
                <c:pt idx="24">
                  <c:v>71.202758022915134</c:v>
                </c:pt>
                <c:pt idx="25">
                  <c:v>71.119907666607631</c:v>
                </c:pt>
                <c:pt idx="26">
                  <c:v>71.030844915655351</c:v>
                </c:pt>
                <c:pt idx="27">
                  <c:v>70.935244443541919</c:v>
                </c:pt>
                <c:pt idx="28">
                  <c:v>70.832784573951955</c:v>
                </c:pt>
                <c:pt idx="29">
                  <c:v>70.723150503381817</c:v>
                </c:pt>
                <c:pt idx="30">
                  <c:v>70.606037730343076</c:v>
                </c:pt>
                <c:pt idx="31">
                  <c:v>70.481155631526846</c:v>
                </c:pt>
                <c:pt idx="32">
                  <c:v>70.348231112668259</c:v>
                </c:pt>
                <c:pt idx="33">
                  <c:v>70.207012250796836</c:v>
                </c:pt>
                <c:pt idx="34">
                  <c:v>70.057271835995849</c:v>
                </c:pt>
                <c:pt idx="35">
                  <c:v>69.898810715574598</c:v>
                </c:pt>
                <c:pt idx="36">
                  <c:v>69.731460842419793</c:v>
                </c:pt>
                <c:pt idx="37">
                  <c:v>69.55508793274862</c:v>
                </c:pt>
                <c:pt idx="38">
                  <c:v>69.369593646751156</c:v>
                </c:pt>
                <c:pt idx="39">
                  <c:v>69.174917218551542</c:v>
                </c:pt>
                <c:pt idx="40">
                  <c:v>68.97103647903289</c:v>
                </c:pt>
                <c:pt idx="41">
                  <c:v>68.75796823549608</c:v>
                </c:pt>
                <c:pt idx="42">
                  <c:v>68.535767994714348</c:v>
                </c:pt>
                <c:pt idx="43">
                  <c:v>68.304529039353639</c:v>
                </c:pt>
                <c:pt idx="44">
                  <c:v>68.064380890529733</c:v>
                </c:pt>
                <c:pt idx="45">
                  <c:v>67.815487210109666</c:v>
                </c:pt>
                <c:pt idx="46">
                  <c:v>67.558043214036744</c:v>
                </c:pt>
                <c:pt idx="47">
                  <c:v>67.29227268157517</c:v>
                </c:pt>
                <c:pt idx="48">
                  <c:v>67.018424654355712</c:v>
                </c:pt>
                <c:pt idx="49">
                  <c:v>66.736769923280818</c:v>
                </c:pt>
                <c:pt idx="50">
                  <c:v>66.447597400877214</c:v>
                </c:pt>
                <c:pt idx="51">
                  <c:v>66.151210472038031</c:v>
                </c:pt>
                <c:pt idx="52">
                  <c:v>65.847923407989384</c:v>
                </c:pt>
                <c:pt idx="53">
                  <c:v>65.538057917580346</c:v>
                </c:pt>
                <c:pt idx="54">
                  <c:v>65.221939897551934</c:v>
                </c:pt>
                <c:pt idx="55">
                  <c:v>64.899896430156446</c:v>
                </c:pt>
                <c:pt idx="56">
                  <c:v>64.572253063173235</c:v>
                </c:pt>
                <c:pt idx="57">
                  <c:v>64.239331394655665</c:v>
                </c:pt>
                <c:pt idx="58">
                  <c:v>63.901446973161086</c:v>
                </c:pt>
                <c:pt idx="59">
                  <c:v>63.558907514095679</c:v>
                </c:pt>
                <c:pt idx="60">
                  <c:v>63.212011424355346</c:v>
                </c:pt>
                <c:pt idx="61">
                  <c:v>62.861046620717829</c:v>
                </c:pt>
                <c:pt idx="62">
                  <c:v>62.506289622399848</c:v>
                </c:pt>
                <c:pt idx="63">
                  <c:v>62.148004894714916</c:v>
                </c:pt>
                <c:pt idx="64">
                  <c:v>61.786444418675416</c:v>
                </c:pt>
                <c:pt idx="65">
                  <c:v>61.421847460470794</c:v>
                </c:pt>
                <c:pt idx="66">
                  <c:v>61.054440514816292</c:v>
                </c:pt>
                <c:pt idx="67">
                  <c:v>60.684437396978169</c:v>
                </c:pt>
                <c:pt idx="68">
                  <c:v>60.312039459664923</c:v>
                </c:pt>
                <c:pt idx="69">
                  <c:v>59.937435912743695</c:v>
                </c:pt>
                <c:pt idx="70">
                  <c:v>59.560804225756009</c:v>
                </c:pt>
                <c:pt idx="71">
                  <c:v>59.182310595346493</c:v>
                </c:pt>
                <c:pt idx="72">
                  <c:v>58.802110461877817</c:v>
                </c:pt>
                <c:pt idx="73">
                  <c:v>58.420349061628649</c:v>
                </c:pt>
                <c:pt idx="74">
                  <c:v>58.037162002983543</c:v>
                </c:pt>
                <c:pt idx="75">
                  <c:v>57.652675856908516</c:v>
                </c:pt>
                <c:pt idx="76">
                  <c:v>57.2670087537361</c:v>
                </c:pt>
                <c:pt idx="77">
                  <c:v>56.880270979832019</c:v>
                </c:pt>
                <c:pt idx="78">
                  <c:v>56.492565569117907</c:v>
                </c:pt>
                <c:pt idx="79">
                  <c:v>56.103988885637442</c:v>
                </c:pt>
                <c:pt idx="80">
                  <c:v>55.714631194428279</c:v>
                </c:pt>
                <c:pt idx="81">
                  <c:v>55.324577218883263</c:v>
                </c:pt>
                <c:pt idx="82">
                  <c:v>54.93390668357636</c:v>
                </c:pt>
                <c:pt idx="83">
                  <c:v>54.542694842205528</c:v>
                </c:pt>
                <c:pt idx="84">
                  <c:v>54.151012990873518</c:v>
                </c:pt>
                <c:pt idx="85">
                  <c:v>53.7589289674127</c:v>
                </c:pt>
                <c:pt idx="86">
                  <c:v>53.366507637865666</c:v>
                </c:pt>
                <c:pt idx="87">
                  <c:v>52.973811371571117</c:v>
                </c:pt>
                <c:pt idx="88">
                  <c:v>52.580900506598958</c:v>
                </c:pt>
                <c:pt idx="89">
                  <c:v>52.187833807512149</c:v>
                </c:pt>
                <c:pt idx="90">
                  <c:v>51.794668917653034</c:v>
                </c:pt>
                <c:pt idx="91">
                  <c:v>51.401462808320126</c:v>
                </c:pt>
                <c:pt idx="92">
                  <c:v>51.008272227369197</c:v>
                </c:pt>
                <c:pt idx="93">
                  <c:v>50.615154149911149</c:v>
                </c:pt>
                <c:pt idx="94">
                  <c:v>50.222166233907124</c:v>
                </c:pt>
                <c:pt idx="95">
                  <c:v>49.82936728358959</c:v>
                </c:pt>
                <c:pt idx="96">
                  <c:v>49.436817723746998</c:v>
                </c:pt>
                <c:pt idx="97">
                  <c:v>49.044580088022052</c:v>
                </c:pt>
                <c:pt idx="98">
                  <c:v>48.652719524478897</c:v>
                </c:pt>
                <c:pt idx="99">
                  <c:v>48.261304321788842</c:v>
                </c:pt>
                <c:pt idx="100">
                  <c:v>47.870406459473728</c:v>
                </c:pt>
                <c:pt idx="101">
                  <c:v>47.480102185716909</c:v>
                </c:pt>
                <c:pt idx="102">
                  <c:v>47.090472626300567</c:v>
                </c:pt>
                <c:pt idx="103">
                  <c:v>46.701604428245211</c:v>
                </c:pt>
                <c:pt idx="104">
                  <c:v>46.313590441694934</c:v>
                </c:pt>
                <c:pt idx="105">
                  <c:v>45.926530443492936</c:v>
                </c:pt>
                <c:pt idx="106">
                  <c:v>45.540531905698849</c:v>
                </c:pt>
                <c:pt idx="107">
                  <c:v>45.155710811980995</c:v>
                </c:pt>
                <c:pt idx="108">
                  <c:v>44.772192524316267</c:v>
                </c:pt>
                <c:pt idx="109">
                  <c:v>44.390112701702122</c:v>
                </c:pt>
                <c:pt idx="110">
                  <c:v>44.009618271531217</c:v>
                </c:pt>
                <c:pt idx="111">
                  <c:v>43.630868452802702</c:v>
                </c:pt>
                <c:pt idx="112">
                  <c:v>43.254035828294313</c:v>
                </c:pt>
                <c:pt idx="113">
                  <c:v>42.879307460008938</c:v>
                </c:pt>
                <c:pt idx="114">
                  <c:v>42.506886038376059</c:v>
                </c:pt>
                <c:pt idx="115">
                  <c:v>42.136991050501024</c:v>
                </c:pt>
                <c:pt idx="116">
                  <c:v>41.769859945744969</c:v>
                </c:pt>
                <c:pt idx="117">
                  <c:v>41.405749267483742</c:v>
                </c:pt>
                <c:pt idx="118">
                  <c:v>41.0449357072049</c:v>
                </c:pt>
                <c:pt idx="119">
                  <c:v>40.687717020058919</c:v>
                </c:pt>
                <c:pt idx="120">
                  <c:v>40.334412718092011</c:v>
                </c:pt>
                <c:pt idx="121">
                  <c:v>39.985364426649213</c:v>
                </c:pt>
                <c:pt idx="122">
                  <c:v>39.640935748150113</c:v>
                </c:pt>
                <c:pt idx="123">
                  <c:v>39.301511421974247</c:v>
                </c:pt>
                <c:pt idx="124">
                  <c:v>38.967495494681778</c:v>
                </c:pt>
                <c:pt idx="125">
                  <c:v>38.639308114745646</c:v>
                </c:pt>
                <c:pt idx="126">
                  <c:v>38.317380431806598</c:v>
                </c:pt>
                <c:pt idx="127">
                  <c:v>38.002146900976555</c:v>
                </c:pt>
                <c:pt idx="128">
                  <c:v>37.694034053634937</c:v>
                </c:pt>
                <c:pt idx="129">
                  <c:v>37.393444479838749</c:v>
                </c:pt>
                <c:pt idx="130">
                  <c:v>37.100734353432358</c:v>
                </c:pt>
                <c:pt idx="131">
                  <c:v>36.816182297935356</c:v>
                </c:pt>
                <c:pt idx="132">
                  <c:v>36.539946722800082</c:v>
                </c:pt>
                <c:pt idx="133">
                  <c:v>36.272007956028403</c:v>
                </c:pt>
                <c:pt idx="134">
                  <c:v>36.012090601972972</c:v>
                </c:pt>
                <c:pt idx="135">
                  <c:v>35.759560690772553</c:v>
                </c:pt>
                <c:pt idx="136">
                  <c:v>35.513291653281996</c:v>
                </c:pt>
                <c:pt idx="137">
                  <c:v>35.271493543057616</c:v>
                </c:pt>
                <c:pt idx="138">
                  <c:v>35.031502304362263</c:v>
                </c:pt>
                <c:pt idx="139">
                  <c:v>34.7895320031948</c:v>
                </c:pt>
                <c:pt idx="140">
                  <c:v>34.540405303275215</c:v>
                </c:pt>
                <c:pt idx="141">
                  <c:v>34.277298903456895</c:v>
                </c:pt>
                <c:pt idx="142">
                  <c:v>33.991572607390992</c:v>
                </c:pt>
                <c:pt idx="143">
                  <c:v>33.672789385426789</c:v>
                </c:pt>
                <c:pt idx="144">
                  <c:v>33.309064163433284</c:v>
                </c:pt>
                <c:pt idx="145">
                  <c:v>32.887870294008458</c:v>
                </c:pt>
                <c:pt idx="146">
                  <c:v>32.397345212657299</c:v>
                </c:pt>
                <c:pt idx="147">
                  <c:v>31.827953275179915</c:v>
                </c:pt>
                <c:pt idx="148">
                  <c:v>31.174136362042205</c:v>
                </c:pt>
                <c:pt idx="149">
                  <c:v>30.435447355705584</c:v>
                </c:pt>
                <c:pt idx="150">
                  <c:v>29.616757458444695</c:v>
                </c:pt>
                <c:pt idx="151">
                  <c:v>28.727456812965407</c:v>
                </c:pt>
                <c:pt idx="152">
                  <c:v>27.779945666616179</c:v>
                </c:pt>
                <c:pt idx="153">
                  <c:v>26.787914570904444</c:v>
                </c:pt>
                <c:pt idx="154">
                  <c:v>25.764858152917466</c:v>
                </c:pt>
                <c:pt idx="155">
                  <c:v>24.723057243747149</c:v>
                </c:pt>
                <c:pt idx="156">
                  <c:v>23.673051411898204</c:v>
                </c:pt>
                <c:pt idx="157">
                  <c:v>22.623496898946868</c:v>
                </c:pt>
                <c:pt idx="158">
                  <c:v>21.581268889828607</c:v>
                </c:pt>
                <c:pt idx="159">
                  <c:v>20.551686194855151</c:v>
                </c:pt>
                <c:pt idx="160">
                  <c:v>19.538774435441926</c:v>
                </c:pt>
                <c:pt idx="161">
                  <c:v>18.545519464400449</c:v>
                </c:pt>
                <c:pt idx="162">
                  <c:v>17.574088458496153</c:v>
                </c:pt>
                <c:pt idx="163">
                  <c:v>16.626011837853429</c:v>
                </c:pt>
                <c:pt idx="164">
                  <c:v>15.70232746696059</c:v>
                </c:pt>
                <c:pt idx="165">
                  <c:v>14.803692211979897</c:v>
                </c:pt>
                <c:pt idx="166">
                  <c:v>13.930466933343704</c:v>
                </c:pt>
                <c:pt idx="167">
                  <c:v>13.082780704966943</c:v>
                </c:pt>
                <c:pt idx="168">
                  <c:v>12.260579233057944</c:v>
                </c:pt>
                <c:pt idx="169">
                  <c:v>11.463661496695487</c:v>
                </c:pt>
                <c:pt idx="170">
                  <c:v>10.691707735533239</c:v>
                </c:pt>
                <c:pt idx="171">
                  <c:v>9.9443011397767584</c:v>
                </c:pt>
                <c:pt idx="172">
                  <c:v>9.2209449699698673</c:v>
                </c:pt>
                <c:pt idx="173">
                  <c:v>8.5210763400349165</c:v>
                </c:pt>
                <c:pt idx="174">
                  <c:v>7.8440775181555971</c:v>
                </c:pt>
                <c:pt idx="175">
                  <c:v>7.1892853166611701</c:v>
                </c:pt>
                <c:pt idx="176">
                  <c:v>6.5559989357651061</c:v>
                </c:pt>
                <c:pt idx="177">
                  <c:v>5.9434864811306651</c:v>
                </c:pt>
                <c:pt idx="178">
                  <c:v>5.3509902786776848</c:v>
                </c:pt>
                <c:pt idx="179">
                  <c:v>4.7777310510688924</c:v>
                </c:pt>
                <c:pt idx="180">
                  <c:v>4.2229109901219779</c:v>
                </c:pt>
                <c:pt idx="181">
                  <c:v>3.6857157508095604</c:v>
                </c:pt>
                <c:pt idx="182">
                  <c:v>3.16531539971567</c:v>
                </c:pt>
                <c:pt idx="183">
                  <c:v>2.6608643690171974</c:v>
                </c:pt>
                <c:pt idx="184">
                  <c:v>2.1715004924303063</c:v>
                </c:pt>
                <c:pt idx="185">
                  <c:v>1.6963432289180549</c:v>
                </c:pt>
                <c:pt idx="186">
                  <c:v>1.2344912107683008</c:v>
                </c:pt>
                <c:pt idx="187">
                  <c:v>0.78501928278791056</c:v>
                </c:pt>
                <c:pt idx="188">
                  <c:v>0.34697522710702877</c:v>
                </c:pt>
                <c:pt idx="189">
                  <c:v>-8.0623608014617432E-2</c:v>
                </c:pt>
                <c:pt idx="190">
                  <c:v>-0.49879353813867056</c:v>
                </c:pt>
                <c:pt idx="191">
                  <c:v>-0.90858738134355832</c:v>
                </c:pt>
                <c:pt idx="192">
                  <c:v>-1.311096649833182</c:v>
                </c:pt>
                <c:pt idx="193">
                  <c:v>-1.7074528405209861</c:v>
                </c:pt>
                <c:pt idx="194">
                  <c:v>-2.0988275809765895</c:v>
                </c:pt>
                <c:pt idx="195">
                  <c:v>-2.4864314065396336</c:v>
                </c:pt>
                <c:pt idx="196">
                  <c:v>-2.8715109736234936</c:v>
                </c:pt>
                <c:pt idx="197">
                  <c:v>-3.2553445538981727</c:v>
                </c:pt>
                <c:pt idx="198">
                  <c:v>-3.6392357047666941</c:v>
                </c:pt>
                <c:pt idx="199">
                  <c:v>-4.0245050736678252</c:v>
                </c:pt>
                <c:pt idx="200">
                  <c:v>-4.4124803671027024</c:v>
                </c:pt>
                <c:pt idx="201">
                  <c:v>-4.8044845988929232</c:v>
                </c:pt>
                <c:pt idx="202">
                  <c:v>-5.2018228238295059</c:v>
                </c:pt>
                <c:pt idx="203">
                  <c:v>-5.6057676587448739</c:v>
                </c:pt>
                <c:pt idx="204">
                  <c:v>-6.017543987619284</c:v>
                </c:pt>
                <c:pt idx="205">
                  <c:v>-6.4383133333225757</c:v>
                </c:pt>
                <c:pt idx="206">
                  <c:v>-6.8691584475313903</c:v>
                </c:pt>
                <c:pt idx="207">
                  <c:v>-7.3110687133519114</c:v>
                </c:pt>
                <c:pt idx="208">
                  <c:v>-7.7649269642115044</c:v>
                </c:pt>
                <c:pt idx="209">
                  <c:v>-8.2314982919000066</c:v>
                </c:pt>
                <c:pt idx="210">
                  <c:v>-8.7114213441426962</c:v>
                </c:pt>
                <c:pt idx="211">
                  <c:v>-9.2052025002502909</c:v>
                </c:pt>
                <c:pt idx="212">
                  <c:v>-9.7132131695741002</c:v>
                </c:pt>
                <c:pt idx="213">
                  <c:v>-10.235690293364048</c:v>
                </c:pt>
                <c:pt idx="214">
                  <c:v>-10.772739960732238</c:v>
                </c:pt>
                <c:pt idx="215">
                  <c:v>-11.324343889255172</c:v>
                </c:pt>
                <c:pt idx="216">
                  <c:v>-11.89036838447403</c:v>
                </c:pt>
                <c:pt idx="217">
                  <c:v>-12.470575291113427</c:v>
                </c:pt>
                <c:pt idx="218">
                  <c:v>-13.064634388583727</c:v>
                </c:pt>
                <c:pt idx="219">
                  <c:v>-13.672136665550401</c:v>
                </c:pt>
                <c:pt idx="220">
                  <c:v>-14.292607929628364</c:v>
                </c:pt>
                <c:pt idx="221">
                  <c:v>-14.92552226155885</c:v>
                </c:pt>
                <c:pt idx="222">
                  <c:v>-15.570314899322071</c:v>
                </c:pt>
                <c:pt idx="223">
                  <c:v>-16.226394226646455</c:v>
                </c:pt>
                <c:pt idx="224">
                  <c:v>-16.893152633051166</c:v>
                </c:pt>
                <c:pt idx="225">
                  <c:v>-17.569976101231017</c:v>
                </c:pt>
                <c:pt idx="226">
                  <c:v>-18.25625245667608</c:v>
                </c:pt>
                <c:pt idx="227">
                  <c:v>-18.951378280477275</c:v>
                </c:pt>
                <c:pt idx="228">
                  <c:v>-19.654764537856778</c:v>
                </c:pt>
                <c:pt idx="229">
                  <c:v>-20.365841012194601</c:v>
                </c:pt>
                <c:pt idx="230">
                  <c:v>-21.084059658446868</c:v>
                </c:pt>
                <c:pt idx="231">
                  <c:v>-21.808897002772092</c:v>
                </c:pt>
                <c:pt idx="232">
                  <c:v>-22.539855719127598</c:v>
                </c:pt>
                <c:pt idx="233">
                  <c:v>-23.276465510752494</c:v>
                </c:pt>
                <c:pt idx="234">
                  <c:v>-24.018283416879985</c:v>
                </c:pt>
                <c:pt idx="235">
                  <c:v>-24.764893654429684</c:v>
                </c:pt>
                <c:pt idx="236">
                  <c:v>-25.515907092226776</c:v>
                </c:pt>
                <c:pt idx="237">
                  <c:v>-26.270960442557229</c:v>
                </c:pt>
                <c:pt idx="238">
                  <c:v>-27.029715242341656</c:v>
                </c:pt>
                <c:pt idx="239">
                  <c:v>-27.791856684423976</c:v>
                </c:pt>
                <c:pt idx="240">
                  <c:v>-28.557092348728403</c:v>
                </c:pt>
                <c:pt idx="241">
                  <c:v>-29.325150873481558</c:v>
                </c:pt>
                <c:pt idx="242">
                  <c:v>-30.095780598391592</c:v>
                </c:pt>
                <c:pt idx="243">
                  <c:v>-30.868748204564973</c:v>
                </c:pt>
                <c:pt idx="244">
                  <c:v>-31.643837369953754</c:v>
                </c:pt>
                <c:pt idx="245">
                  <c:v>-32.420847454157496</c:v>
                </c:pt>
                <c:pt idx="246">
                  <c:v>-33.199592222327446</c:v>
                </c:pt>
                <c:pt idx="247">
                  <c:v>-33.979898614611933</c:v>
                </c:pt>
                <c:pt idx="248">
                  <c:v>-34.761605564943522</c:v>
                </c:pt>
                <c:pt idx="249">
                  <c:v>-35.544562870871005</c:v>
                </c:pt>
                <c:pt idx="250">
                  <c:v>-36.328630114508215</c:v>
                </c:pt>
              </c:numCache>
            </c:numRef>
          </c:yVal>
          <c:smooth val="1"/>
          <c:extLst xmlns:c16r2="http://schemas.microsoft.com/office/drawing/2015/06/chart">
            <c:ext xmlns:c16="http://schemas.microsoft.com/office/drawing/2014/chart" uri="{C3380CC4-5D6E-409C-BE32-E72D297353CC}">
              <c16:uniqueId val="{00000000-5D67-4723-93D7-E763550A6E19}"/>
            </c:ext>
          </c:extLst>
        </c:ser>
        <c:dLbls>
          <c:showLegendKey val="0"/>
          <c:showVal val="0"/>
          <c:showCatName val="0"/>
          <c:showSerName val="0"/>
          <c:showPercent val="0"/>
          <c:showBubbleSize val="0"/>
        </c:dLbls>
        <c:axId val="465312000"/>
        <c:axId val="465326464"/>
      </c:scatterChart>
      <c:scatterChart>
        <c:scatterStyle val="lineMarker"/>
        <c:varyColors val="0"/>
        <c:ser>
          <c:idx val="1"/>
          <c:order val="1"/>
          <c:tx>
            <c:v>Phase</c:v>
          </c:tx>
          <c:spPr>
            <a:ln w="25400">
              <a:solidFill>
                <a:srgbClr val="FF00FF"/>
              </a:solidFill>
              <a:prstDash val="solid"/>
            </a:ln>
          </c:spPr>
          <c:marker>
            <c:symbol val="none"/>
          </c:marker>
          <c:xVal>
            <c:numRef>
              <c:f>compensation!$C$80:$C$330</c:f>
              <c:numCache>
                <c:formatCode>0.00</c:formatCode>
                <c:ptCount val="251"/>
                <c:pt idx="0" formatCode="General">
                  <c:v>10</c:v>
                </c:pt>
                <c:pt idx="1">
                  <c:v>10.471285480509</c:v>
                </c:pt>
                <c:pt idx="2">
                  <c:v>10.964781961431854</c:v>
                </c:pt>
                <c:pt idx="3">
                  <c:v>11.481536214968834</c:v>
                </c:pt>
                <c:pt idx="4">
                  <c:v>12.022644346174133</c:v>
                </c:pt>
                <c:pt idx="5">
                  <c:v>12.58925411794168</c:v>
                </c:pt>
                <c:pt idx="6">
                  <c:v>13.182567385564075</c:v>
                </c:pt>
                <c:pt idx="7">
                  <c:v>13.803842646028857</c:v>
                </c:pt>
                <c:pt idx="8">
                  <c:v>14.454397707459282</c:v>
                </c:pt>
                <c:pt idx="9">
                  <c:v>15.135612484362092</c:v>
                </c:pt>
                <c:pt idx="10">
                  <c:v>15.848931924611144</c:v>
                </c:pt>
                <c:pt idx="11">
                  <c:v>16.595869074375621</c:v>
                </c:pt>
                <c:pt idx="12">
                  <c:v>17.378008287493763</c:v>
                </c:pt>
                <c:pt idx="13">
                  <c:v>18.197008586099848</c:v>
                </c:pt>
                <c:pt idx="14">
                  <c:v>19.054607179632484</c:v>
                </c:pt>
                <c:pt idx="15">
                  <c:v>19.952623149688815</c:v>
                </c:pt>
                <c:pt idx="16">
                  <c:v>20.892961308540418</c:v>
                </c:pt>
                <c:pt idx="17">
                  <c:v>21.877616239495548</c:v>
                </c:pt>
                <c:pt idx="18">
                  <c:v>22.908676527677759</c:v>
                </c:pt>
                <c:pt idx="19">
                  <c:v>23.988329190194928</c:v>
                </c:pt>
                <c:pt idx="20">
                  <c:v>25.118864315095834</c:v>
                </c:pt>
                <c:pt idx="21">
                  <c:v>26.302679918953849</c:v>
                </c:pt>
                <c:pt idx="22">
                  <c:v>27.542287033381701</c:v>
                </c:pt>
                <c:pt idx="23">
                  <c:v>28.840315031266094</c:v>
                </c:pt>
                <c:pt idx="24">
                  <c:v>30.199517204020204</c:v>
                </c:pt>
                <c:pt idx="25">
                  <c:v>31.622776601683832</c:v>
                </c:pt>
                <c:pt idx="26">
                  <c:v>33.113112148259155</c:v>
                </c:pt>
                <c:pt idx="27">
                  <c:v>34.673685045253208</c:v>
                </c:pt>
                <c:pt idx="28">
                  <c:v>36.307805477010191</c:v>
                </c:pt>
                <c:pt idx="29">
                  <c:v>38.018939632056167</c:v>
                </c:pt>
                <c:pt idx="30">
                  <c:v>39.810717055349791</c:v>
                </c:pt>
                <c:pt idx="31">
                  <c:v>41.686938347033596</c:v>
                </c:pt>
                <c:pt idx="32">
                  <c:v>43.651583224016669</c:v>
                </c:pt>
                <c:pt idx="33">
                  <c:v>45.708818961487587</c:v>
                </c:pt>
                <c:pt idx="34">
                  <c:v>47.86300923226392</c:v>
                </c:pt>
                <c:pt idx="35">
                  <c:v>50.11872336272733</c:v>
                </c:pt>
                <c:pt idx="36">
                  <c:v>52.48074602497735</c:v>
                </c:pt>
                <c:pt idx="37">
                  <c:v>54.95408738576257</c:v>
                </c:pt>
                <c:pt idx="38">
                  <c:v>57.543993733715801</c:v>
                </c:pt>
                <c:pt idx="39">
                  <c:v>60.255958607435872</c:v>
                </c:pt>
                <c:pt idx="40">
                  <c:v>63.095734448019471</c:v>
                </c:pt>
                <c:pt idx="41">
                  <c:v>66.069344800759737</c:v>
                </c:pt>
                <c:pt idx="42">
                  <c:v>69.183097091893785</c:v>
                </c:pt>
                <c:pt idx="43">
                  <c:v>72.443596007499139</c:v>
                </c:pt>
                <c:pt idx="44">
                  <c:v>75.85775750291856</c:v>
                </c:pt>
                <c:pt idx="45">
                  <c:v>79.432823472428325</c:v>
                </c:pt>
                <c:pt idx="46">
                  <c:v>83.176377110267268</c:v>
                </c:pt>
                <c:pt idx="47">
                  <c:v>87.096358995608313</c:v>
                </c:pt>
                <c:pt idx="48">
                  <c:v>91.201083935591214</c:v>
                </c:pt>
                <c:pt idx="49">
                  <c:v>95.499258602143826</c:v>
                </c:pt>
                <c:pt idx="50">
                  <c:v>100.00000000000023</c:v>
                </c:pt>
                <c:pt idx="51">
                  <c:v>104.71285480509026</c:v>
                </c:pt>
                <c:pt idx="52">
                  <c:v>109.64781961431881</c:v>
                </c:pt>
                <c:pt idx="53">
                  <c:v>114.81536214968857</c:v>
                </c:pt>
                <c:pt idx="54">
                  <c:v>120.22644346174157</c:v>
                </c:pt>
                <c:pt idx="55">
                  <c:v>125.89254117941711</c:v>
                </c:pt>
                <c:pt idx="56">
                  <c:v>131.82567385564107</c:v>
                </c:pt>
                <c:pt idx="57">
                  <c:v>138.03842646028886</c:v>
                </c:pt>
                <c:pt idx="58">
                  <c:v>144.5439770745931</c:v>
                </c:pt>
                <c:pt idx="59">
                  <c:v>151.3561248436213</c:v>
                </c:pt>
                <c:pt idx="60">
                  <c:v>158.48931924611182</c:v>
                </c:pt>
                <c:pt idx="61">
                  <c:v>165.95869074375653</c:v>
                </c:pt>
                <c:pt idx="62">
                  <c:v>173.78008287493799</c:v>
                </c:pt>
                <c:pt idx="63">
                  <c:v>181.97008586099895</c:v>
                </c:pt>
                <c:pt idx="64">
                  <c:v>190.54607179632529</c:v>
                </c:pt>
                <c:pt idx="65">
                  <c:v>199.52623149688853</c:v>
                </c:pt>
                <c:pt idx="66">
                  <c:v>208.9296130854047</c:v>
                </c:pt>
                <c:pt idx="67">
                  <c:v>218.776162394956</c:v>
                </c:pt>
                <c:pt idx="68">
                  <c:v>229.08676527677804</c:v>
                </c:pt>
                <c:pt idx="69">
                  <c:v>239.88329190194978</c:v>
                </c:pt>
                <c:pt idx="70">
                  <c:v>251.18864315095894</c:v>
                </c:pt>
                <c:pt idx="71">
                  <c:v>263.02679918953913</c:v>
                </c:pt>
                <c:pt idx="72">
                  <c:v>275.42287033381757</c:v>
                </c:pt>
                <c:pt idx="73">
                  <c:v>288.40315031266152</c:v>
                </c:pt>
                <c:pt idx="74">
                  <c:v>301.99517204020276</c:v>
                </c:pt>
                <c:pt idx="75">
                  <c:v>316.2277660168391</c:v>
                </c:pt>
                <c:pt idx="76">
                  <c:v>331.13112148259222</c:v>
                </c:pt>
                <c:pt idx="77">
                  <c:v>346.73685045253279</c:v>
                </c:pt>
                <c:pt idx="78">
                  <c:v>363.07805477010277</c:v>
                </c:pt>
                <c:pt idx="79">
                  <c:v>380.18939632056265</c:v>
                </c:pt>
                <c:pt idx="80">
                  <c:v>398.10717055349869</c:v>
                </c:pt>
                <c:pt idx="81">
                  <c:v>416.8693834703372</c:v>
                </c:pt>
                <c:pt idx="82">
                  <c:v>436.51583224016775</c:v>
                </c:pt>
                <c:pt idx="83">
                  <c:v>457.0881896148768</c:v>
                </c:pt>
                <c:pt idx="84">
                  <c:v>478.63009232264011</c:v>
                </c:pt>
                <c:pt idx="85">
                  <c:v>501.18723362727451</c:v>
                </c:pt>
                <c:pt idx="86">
                  <c:v>524.80746024977486</c:v>
                </c:pt>
                <c:pt idx="87">
                  <c:v>549.54087385762671</c:v>
                </c:pt>
                <c:pt idx="88">
                  <c:v>575.43993733715911</c:v>
                </c:pt>
                <c:pt idx="89">
                  <c:v>602.55958607436048</c:v>
                </c:pt>
                <c:pt idx="90">
                  <c:v>630.95734448019596</c:v>
                </c:pt>
                <c:pt idx="91">
                  <c:v>660.6934480075987</c:v>
                </c:pt>
                <c:pt idx="92">
                  <c:v>691.83097091893922</c:v>
                </c:pt>
                <c:pt idx="93">
                  <c:v>724.43596007499343</c:v>
                </c:pt>
                <c:pt idx="94">
                  <c:v>758.57757502918719</c:v>
                </c:pt>
                <c:pt idx="95">
                  <c:v>794.32823472428493</c:v>
                </c:pt>
                <c:pt idx="96">
                  <c:v>831.76377110267515</c:v>
                </c:pt>
                <c:pt idx="97">
                  <c:v>870.96358995608477</c:v>
                </c:pt>
                <c:pt idx="98">
                  <c:v>912.01083935591396</c:v>
                </c:pt>
                <c:pt idx="99">
                  <c:v>954.99258602144016</c:v>
                </c:pt>
                <c:pt idx="100" formatCode="General">
                  <c:v>1000.0000000000051</c:v>
                </c:pt>
                <c:pt idx="101" formatCode="0">
                  <c:v>1047.1285480509046</c:v>
                </c:pt>
                <c:pt idx="102" formatCode="0">
                  <c:v>1096.4781961431902</c:v>
                </c:pt>
                <c:pt idx="103" formatCode="0">
                  <c:v>1148.153621496888</c:v>
                </c:pt>
                <c:pt idx="104" formatCode="0">
                  <c:v>1202.2644346174193</c:v>
                </c:pt>
                <c:pt idx="105" formatCode="0">
                  <c:v>1258.9254117941734</c:v>
                </c:pt>
                <c:pt idx="106" formatCode="0">
                  <c:v>1318.2567385564134</c:v>
                </c:pt>
                <c:pt idx="107" formatCode="0">
                  <c:v>1380.3842646028913</c:v>
                </c:pt>
                <c:pt idx="108" formatCode="0">
                  <c:v>1445.4397707459352</c:v>
                </c:pt>
                <c:pt idx="109" formatCode="0">
                  <c:v>1513.5612484362159</c:v>
                </c:pt>
                <c:pt idx="110" formatCode="0">
                  <c:v>1584.8931924611213</c:v>
                </c:pt>
                <c:pt idx="111" formatCode="0">
                  <c:v>1659.5869074375701</c:v>
                </c:pt>
                <c:pt idx="112" formatCode="0">
                  <c:v>1737.8008287493849</c:v>
                </c:pt>
                <c:pt idx="113" formatCode="0">
                  <c:v>1819.700858609993</c:v>
                </c:pt>
                <c:pt idx="114" formatCode="0">
                  <c:v>1905.4607179632569</c:v>
                </c:pt>
                <c:pt idx="115" formatCode="0">
                  <c:v>1995.2623149688911</c:v>
                </c:pt>
                <c:pt idx="116" formatCode="0">
                  <c:v>2089.2961308540512</c:v>
                </c:pt>
                <c:pt idx="117" formatCode="0">
                  <c:v>2187.7616239495642</c:v>
                </c:pt>
                <c:pt idx="118" formatCode="0">
                  <c:v>2290.8676527677849</c:v>
                </c:pt>
                <c:pt idx="119" formatCode="0">
                  <c:v>2398.8329190195045</c:v>
                </c:pt>
                <c:pt idx="120" formatCode="0">
                  <c:v>2511.8864315095943</c:v>
                </c:pt>
                <c:pt idx="121" formatCode="0">
                  <c:v>2630.2679918953963</c:v>
                </c:pt>
                <c:pt idx="122" formatCode="0">
                  <c:v>2754.2287033381813</c:v>
                </c:pt>
                <c:pt idx="123" formatCode="0">
                  <c:v>2884.0315031266232</c:v>
                </c:pt>
                <c:pt idx="124" formatCode="0">
                  <c:v>3019.951720402034</c:v>
                </c:pt>
                <c:pt idx="125" formatCode="0">
                  <c:v>3162.2776601683972</c:v>
                </c:pt>
                <c:pt idx="126" formatCode="0">
                  <c:v>3311.3112148259288</c:v>
                </c:pt>
                <c:pt idx="127" formatCode="0">
                  <c:v>3467.3685045253346</c:v>
                </c:pt>
                <c:pt idx="128" formatCode="0">
                  <c:v>3630.7805477010384</c:v>
                </c:pt>
                <c:pt idx="129" formatCode="0">
                  <c:v>3801.8939632056372</c:v>
                </c:pt>
                <c:pt idx="130" formatCode="0">
                  <c:v>3981.0717055349983</c:v>
                </c:pt>
                <c:pt idx="131" formatCode="0">
                  <c:v>4168.6938347033802</c:v>
                </c:pt>
                <c:pt idx="132" formatCode="0">
                  <c:v>4365.1583224016858</c:v>
                </c:pt>
                <c:pt idx="133" formatCode="0">
                  <c:v>4570.8818961487768</c:v>
                </c:pt>
                <c:pt idx="134" formatCode="0">
                  <c:v>4786.3009232264103</c:v>
                </c:pt>
                <c:pt idx="135" formatCode="0">
                  <c:v>5011.8723362727505</c:v>
                </c:pt>
                <c:pt idx="136" formatCode="0">
                  <c:v>5248.0746024977634</c:v>
                </c:pt>
                <c:pt idx="137" formatCode="0">
                  <c:v>5495.4087385762832</c:v>
                </c:pt>
                <c:pt idx="138" formatCode="0">
                  <c:v>5754.3993733716079</c:v>
                </c:pt>
                <c:pt idx="139" formatCode="0">
                  <c:v>6025.5958607436169</c:v>
                </c:pt>
                <c:pt idx="140" formatCode="0">
                  <c:v>6309.5734448019721</c:v>
                </c:pt>
                <c:pt idx="141" formatCode="0">
                  <c:v>6606.9344800760009</c:v>
                </c:pt>
                <c:pt idx="142" formatCode="0">
                  <c:v>6918.309709189406</c:v>
                </c:pt>
                <c:pt idx="143" formatCode="0">
                  <c:v>7244.3596007499555</c:v>
                </c:pt>
                <c:pt idx="144" formatCode="0">
                  <c:v>7585.775750291893</c:v>
                </c:pt>
                <c:pt idx="145" formatCode="0">
                  <c:v>7943.2823472428718</c:v>
                </c:pt>
                <c:pt idx="146" formatCode="0">
                  <c:v>8317.6377110267676</c:v>
                </c:pt>
                <c:pt idx="147" formatCode="0">
                  <c:v>8709.6358995608662</c:v>
                </c:pt>
                <c:pt idx="148" formatCode="0">
                  <c:v>9120.1083935591578</c:v>
                </c:pt>
                <c:pt idx="149" formatCode="0">
                  <c:v>9549.92586021442</c:v>
                </c:pt>
                <c:pt idx="150" formatCode="General">
                  <c:v>10000.000000000062</c:v>
                </c:pt>
                <c:pt idx="151" formatCode="0">
                  <c:v>10471.285480509057</c:v>
                </c:pt>
                <c:pt idx="152" formatCode="0">
                  <c:v>10964.781961431914</c:v>
                </c:pt>
                <c:pt idx="153" formatCode="0">
                  <c:v>11481.536214968872</c:v>
                </c:pt>
                <c:pt idx="154" formatCode="0">
                  <c:v>12022.644346174173</c:v>
                </c:pt>
                <c:pt idx="155" formatCode="0">
                  <c:v>12589.254117941693</c:v>
                </c:pt>
                <c:pt idx="156" formatCode="0">
                  <c:v>13182.567385564091</c:v>
                </c:pt>
                <c:pt idx="157" formatCode="0">
                  <c:v>13803.842646028841</c:v>
                </c:pt>
                <c:pt idx="158" formatCode="0">
                  <c:v>14454.397707459266</c:v>
                </c:pt>
                <c:pt idx="159" formatCode="0">
                  <c:v>15135.612484362042</c:v>
                </c:pt>
                <c:pt idx="160" formatCode="0">
                  <c:v>15848.93192461109</c:v>
                </c:pt>
                <c:pt idx="161" formatCode="0">
                  <c:v>16595.869074375558</c:v>
                </c:pt>
                <c:pt idx="162" formatCode="0">
                  <c:v>17378.008287493667</c:v>
                </c:pt>
                <c:pt idx="163" formatCode="0">
                  <c:v>18197.008586099739</c:v>
                </c:pt>
                <c:pt idx="164" formatCode="0">
                  <c:v>19054.607179632338</c:v>
                </c:pt>
                <c:pt idx="165" formatCode="0">
                  <c:v>19952.62314968865</c:v>
                </c:pt>
                <c:pt idx="166" formatCode="0">
                  <c:v>20892.961308540202</c:v>
                </c:pt>
                <c:pt idx="167" formatCode="0">
                  <c:v>21877.616239495317</c:v>
                </c:pt>
                <c:pt idx="168" formatCode="0">
                  <c:v>22908.676527677468</c:v>
                </c:pt>
                <c:pt idx="169" formatCode="0">
                  <c:v>23988.329190194625</c:v>
                </c:pt>
                <c:pt idx="170" formatCode="0">
                  <c:v>25118.864315095503</c:v>
                </c:pt>
                <c:pt idx="171" formatCode="0">
                  <c:v>26302.679918953458</c:v>
                </c:pt>
                <c:pt idx="172" formatCode="0">
                  <c:v>27542.287033381279</c:v>
                </c:pt>
                <c:pt idx="173" formatCode="0">
                  <c:v>28840.3150312656</c:v>
                </c:pt>
                <c:pt idx="174" formatCode="0">
                  <c:v>30199.517204019674</c:v>
                </c:pt>
                <c:pt idx="175" formatCode="0">
                  <c:v>31622.776601683221</c:v>
                </c:pt>
                <c:pt idx="176" formatCode="0">
                  <c:v>33113.1121482585</c:v>
                </c:pt>
                <c:pt idx="177" formatCode="0">
                  <c:v>34673.685045252525</c:v>
                </c:pt>
                <c:pt idx="178" formatCode="0">
                  <c:v>36307.805477009388</c:v>
                </c:pt>
                <c:pt idx="179" formatCode="0">
                  <c:v>38018.939632055335</c:v>
                </c:pt>
                <c:pt idx="180" formatCode="0">
                  <c:v>39810.717055348825</c:v>
                </c:pt>
                <c:pt idx="181" formatCode="0">
                  <c:v>41686.938347032592</c:v>
                </c:pt>
                <c:pt idx="182" formatCode="0">
                  <c:v>43651.583224015514</c:v>
                </c:pt>
                <c:pt idx="183" formatCode="0">
                  <c:v>45708.818961486359</c:v>
                </c:pt>
                <c:pt idx="184" formatCode="0">
                  <c:v>47863.009232262542</c:v>
                </c:pt>
                <c:pt idx="185" formatCode="0">
                  <c:v>50118.723362725868</c:v>
                </c:pt>
                <c:pt idx="186" formatCode="0">
                  <c:v>52480.746024975822</c:v>
                </c:pt>
                <c:pt idx="187" formatCode="0">
                  <c:v>54954.087385760846</c:v>
                </c:pt>
                <c:pt idx="188" formatCode="0">
                  <c:v>57543.993733714</c:v>
                </c:pt>
                <c:pt idx="189" formatCode="0">
                  <c:v>60255.95860743388</c:v>
                </c:pt>
                <c:pt idx="190" formatCode="0">
                  <c:v>63095.734448017327</c:v>
                </c:pt>
                <c:pt idx="191" formatCode="0">
                  <c:v>66069.344800757375</c:v>
                </c:pt>
                <c:pt idx="192" formatCode="0">
                  <c:v>69183.097091891308</c:v>
                </c:pt>
                <c:pt idx="193" formatCode="0">
                  <c:v>72443.59600749641</c:v>
                </c:pt>
                <c:pt idx="194" formatCode="0">
                  <c:v>75857.757502915643</c:v>
                </c:pt>
                <c:pt idx="195" formatCode="0">
                  <c:v>79432.823472425283</c:v>
                </c:pt>
                <c:pt idx="196" formatCode="0">
                  <c:v>83176.377110263929</c:v>
                </c:pt>
                <c:pt idx="197" formatCode="0">
                  <c:v>87096.358995604722</c:v>
                </c:pt>
                <c:pt idx="198" formatCode="0">
                  <c:v>91201.083935587303</c:v>
                </c:pt>
                <c:pt idx="199" formatCode="0">
                  <c:v>95499.258602139729</c:v>
                </c:pt>
                <c:pt idx="200" formatCode="General">
                  <c:v>99999.999999995751</c:v>
                </c:pt>
                <c:pt idx="201" formatCode="0">
                  <c:v>104712.85480508549</c:v>
                </c:pt>
                <c:pt idx="202" formatCode="0">
                  <c:v>109647.81961431362</c:v>
                </c:pt>
                <c:pt idx="203" formatCode="0">
                  <c:v>114815.36214968313</c:v>
                </c:pt>
                <c:pt idx="204" formatCode="0">
                  <c:v>120226.44346173588</c:v>
                </c:pt>
                <c:pt idx="205" formatCode="0">
                  <c:v>125892.54117941081</c:v>
                </c:pt>
                <c:pt idx="206" formatCode="0">
                  <c:v>131825.67385563449</c:v>
                </c:pt>
                <c:pt idx="207" formatCode="0">
                  <c:v>138038.42646028171</c:v>
                </c:pt>
                <c:pt idx="208" formatCode="0">
                  <c:v>144543.97707458562</c:v>
                </c:pt>
                <c:pt idx="209" formatCode="0">
                  <c:v>151356.12484361307</c:v>
                </c:pt>
                <c:pt idx="210" formatCode="0">
                  <c:v>158489.3192461032</c:v>
                </c:pt>
                <c:pt idx="211" formatCode="0">
                  <c:v>165958.6907437472</c:v>
                </c:pt>
                <c:pt idx="212" formatCode="0">
                  <c:v>173780.08287492822</c:v>
                </c:pt>
                <c:pt idx="213" formatCode="0">
                  <c:v>181970.08586098856</c:v>
                </c:pt>
                <c:pt idx="214" formatCode="0">
                  <c:v>190546.07179631409</c:v>
                </c:pt>
                <c:pt idx="215" formatCode="0">
                  <c:v>199526.2314968768</c:v>
                </c:pt>
                <c:pt idx="216" formatCode="0">
                  <c:v>208929.61308539184</c:v>
                </c:pt>
                <c:pt idx="217" formatCode="0">
                  <c:v>218776.16239494254</c:v>
                </c:pt>
                <c:pt idx="218" formatCode="0">
                  <c:v>229086.76527676353</c:v>
                </c:pt>
                <c:pt idx="219" formatCode="0">
                  <c:v>239883.2919019346</c:v>
                </c:pt>
                <c:pt idx="220" formatCode="0">
                  <c:v>251188.64315094237</c:v>
                </c:pt>
                <c:pt idx="221" formatCode="0">
                  <c:v>263026.79918952176</c:v>
                </c:pt>
                <c:pt idx="222" formatCode="0">
                  <c:v>275422.87033379939</c:v>
                </c:pt>
                <c:pt idx="223" formatCode="0">
                  <c:v>288403.15031264198</c:v>
                </c:pt>
                <c:pt idx="224" formatCode="0">
                  <c:v>301995.17204018205</c:v>
                </c:pt>
                <c:pt idx="225" formatCode="0">
                  <c:v>316227.76601681684</c:v>
                </c:pt>
                <c:pt idx="226" formatCode="0">
                  <c:v>331131.12148256891</c:v>
                </c:pt>
                <c:pt idx="227" formatCode="0">
                  <c:v>346736.85045250773</c:v>
                </c:pt>
                <c:pt idx="228" formatCode="0">
                  <c:v>363078.05477007624</c:v>
                </c:pt>
                <c:pt idx="229" formatCode="0">
                  <c:v>380189.39632053417</c:v>
                </c:pt>
                <c:pt idx="230" formatCode="0">
                  <c:v>398107.17055346887</c:v>
                </c:pt>
                <c:pt idx="231" formatCode="0">
                  <c:v>416869.38347030559</c:v>
                </c:pt>
                <c:pt idx="232" formatCode="0">
                  <c:v>436515.8322401339</c:v>
                </c:pt>
                <c:pt idx="233" formatCode="0">
                  <c:v>457088.18961484137</c:v>
                </c:pt>
                <c:pt idx="234" formatCode="0">
                  <c:v>478630.09232260217</c:v>
                </c:pt>
                <c:pt idx="235" formatCode="0">
                  <c:v>501187.23362723429</c:v>
                </c:pt>
                <c:pt idx="236" formatCode="0">
                  <c:v>524807.46024973178</c:v>
                </c:pt>
                <c:pt idx="237" formatCode="0">
                  <c:v>549540.87385758176</c:v>
                </c:pt>
                <c:pt idx="238" formatCode="0">
                  <c:v>575439.93733711203</c:v>
                </c:pt>
                <c:pt idx="239" formatCode="0">
                  <c:v>602559.58607430954</c:v>
                </c:pt>
                <c:pt idx="240" formatCode="0">
                  <c:v>630957.34448014258</c:v>
                </c:pt>
                <c:pt idx="241" formatCode="0">
                  <c:v>660693.44800754171</c:v>
                </c:pt>
                <c:pt idx="242" formatCode="0">
                  <c:v>691830.9709188795</c:v>
                </c:pt>
                <c:pt idx="243" formatCode="0">
                  <c:v>724435.96007492894</c:v>
                </c:pt>
                <c:pt idx="244" formatCode="0">
                  <c:v>758577.57502911962</c:v>
                </c:pt>
                <c:pt idx="245" formatCode="0">
                  <c:v>794328.23472421279</c:v>
                </c:pt>
                <c:pt idx="246" formatCode="0">
                  <c:v>831763.77110259887</c:v>
                </c:pt>
                <c:pt idx="247" formatCode="0">
                  <c:v>870963.58995600487</c:v>
                </c:pt>
                <c:pt idx="248" formatCode="0">
                  <c:v>912010.83935582871</c:v>
                </c:pt>
                <c:pt idx="249" formatCode="0">
                  <c:v>954992.58602135081</c:v>
                </c:pt>
                <c:pt idx="250" formatCode="General">
                  <c:v>999999.99999990896</c:v>
                </c:pt>
              </c:numCache>
            </c:numRef>
          </c:xVal>
          <c:yVal>
            <c:numRef>
              <c:f>compensation!$E$80:$E$330</c:f>
              <c:numCache>
                <c:formatCode>General</c:formatCode>
                <c:ptCount val="251"/>
                <c:pt idx="0" formatCode="0.000">
                  <c:v>170.60902268172811</c:v>
                </c:pt>
                <c:pt idx="1">
                  <c:v>170.17487625226127</c:v>
                </c:pt>
                <c:pt idx="2">
                  <c:v>169.72148784215941</c:v>
                </c:pt>
                <c:pt idx="3">
                  <c:v>169.24812331468351</c:v>
                </c:pt>
                <c:pt idx="4">
                  <c:v>168.75403757717413</c:v>
                </c:pt>
                <c:pt idx="5">
                  <c:v>168.23847709555338</c:v>
                </c:pt>
                <c:pt idx="6">
                  <c:v>167.70068286545751</c:v>
                </c:pt>
                <c:pt idx="7">
                  <c:v>167.13989388685644</c:v>
                </c:pt>
                <c:pt idx="8">
                  <c:v>166.55535118989056</c:v>
                </c:pt>
                <c:pt idx="9">
                  <c:v>165.94630245951186</c:v>
                </c:pt>
                <c:pt idx="10">
                  <c:v>165.31200730502698</c:v>
                </c:pt>
                <c:pt idx="11">
                  <c:v>164.65174321744712</c:v>
                </c:pt>
                <c:pt idx="12">
                  <c:v>163.96481225229854</c:v>
                </c:pt>
                <c:pt idx="13">
                  <c:v>163.25054846778278</c:v>
                </c:pt>
                <c:pt idx="14">
                  <c:v>162.50832613748105</c:v>
                </c:pt>
                <c:pt idx="15">
                  <c:v>161.73756874273542</c:v>
                </c:pt>
                <c:pt idx="16">
                  <c:v>160.93775873200863</c:v>
                </c:pt>
                <c:pt idx="17">
                  <c:v>160.10844801259728</c:v>
                </c:pt>
                <c:pt idx="18">
                  <c:v>159.24926911382653</c:v>
                </c:pt>
                <c:pt idx="19">
                  <c:v>158.35994693027834</c:v>
                </c:pt>
                <c:pt idx="20">
                  <c:v>157.44031091887211</c:v>
                </c:pt>
                <c:pt idx="21">
                  <c:v>156.49030758527684</c:v>
                </c:pt>
                <c:pt idx="22">
                  <c:v>155.51001305405671</c:v>
                </c:pt>
                <c:pt idx="23">
                  <c:v>154.49964547449903</c:v>
                </c:pt>
                <c:pt idx="24">
                  <c:v>153.45957697203187</c:v>
                </c:pt>
                <c:pt idx="25">
                  <c:v>152.39034481584525</c:v>
                </c:pt>
                <c:pt idx="26">
                  <c:v>151.29266143951415</c:v>
                </c:pt>
                <c:pt idx="27">
                  <c:v>150.1674229261946</c:v>
                </c:pt>
                <c:pt idx="28">
                  <c:v>149.015715556685</c:v>
                </c:pt>
                <c:pt idx="29">
                  <c:v>147.83882002051701</c:v>
                </c:pt>
                <c:pt idx="30">
                  <c:v>146.6382129102854</c:v>
                </c:pt>
                <c:pt idx="31">
                  <c:v>145.41556515990351</c:v>
                </c:pt>
                <c:pt idx="32">
                  <c:v>144.17273714958918</c:v>
                </c:pt>
                <c:pt idx="33">
                  <c:v>142.91177028407449</c:v>
                </c:pt>
                <c:pt idx="34">
                  <c:v>141.63487495399775</c:v>
                </c:pt>
                <c:pt idx="35">
                  <c:v>140.34441491005728</c:v>
                </c:pt>
                <c:pt idx="36">
                  <c:v>139.04288821008325</c:v>
                </c:pt>
                <c:pt idx="37">
                  <c:v>137.73290503375961</c:v>
                </c:pt>
                <c:pt idx="38">
                  <c:v>136.41716279045718</c:v>
                </c:pt>
                <c:pt idx="39">
                  <c:v>135.09841906409898</c:v>
                </c:pt>
                <c:pt idx="40">
                  <c:v>133.77946303710598</c:v>
                </c:pt>
                <c:pt idx="41">
                  <c:v>132.46308610621912</c:v>
                </c:pt>
                <c:pt idx="42">
                  <c:v>131.15205244117004</c:v>
                </c:pt>
                <c:pt idx="43">
                  <c:v>129.84907023987276</c:v>
                </c:pt>
                <c:pt idx="44">
                  <c:v>128.55676440085907</c:v>
                </c:pt>
                <c:pt idx="45">
                  <c:v>127.27765126754187</c:v>
                </c:pt>
                <c:pt idx="46">
                  <c:v>126.01411600446913</c:v>
                </c:pt>
                <c:pt idx="47">
                  <c:v>124.76839304982838</c:v>
                </c:pt>
                <c:pt idx="48">
                  <c:v>123.54254995903923</c:v>
                </c:pt>
                <c:pt idx="49">
                  <c:v>122.33847481973223</c:v>
                </c:pt>
                <c:pt idx="50">
                  <c:v>121.15786728678381</c:v>
                </c:pt>
                <c:pt idx="51">
                  <c:v>120.00223316439234</c:v>
                </c:pt>
                <c:pt idx="52">
                  <c:v>118.87288235602449</c:v>
                </c:pt>
                <c:pt idx="53">
                  <c:v>117.77092991623404</c:v>
                </c:pt>
                <c:pt idx="54">
                  <c:v>116.69729987292429</c:v>
                </c:pt>
                <c:pt idx="55">
                  <c:v>115.6527314449431</c:v>
                </c:pt>
                <c:pt idx="56">
                  <c:v>114.63778725689509</c:v>
                </c:pt>
                <c:pt idx="57">
                  <c:v>113.65286314860296</c:v>
                </c:pt>
                <c:pt idx="58">
                  <c:v>112.69819918785205</c:v>
                </c:pt>
                <c:pt idx="59">
                  <c:v>111.77389151867987</c:v>
                </c:pt>
                <c:pt idx="60">
                  <c:v>110.87990471017248</c:v>
                </c:pt>
                <c:pt idx="61">
                  <c:v>110.01608430938144</c:v>
                </c:pt>
                <c:pt idx="62">
                  <c:v>109.1821693437258</c:v>
                </c:pt>
                <c:pt idx="63">
                  <c:v>108.37780456074717</c:v>
                </c:pt>
                <c:pt idx="64">
                  <c:v>107.60255223442881</c:v>
                </c:pt>
                <c:pt idx="65">
                  <c:v>106.85590340607943</c:v>
                </c:pt>
                <c:pt idx="66">
                  <c:v>106.13728846305928</c:v>
                </c:pt>
                <c:pt idx="67">
                  <c:v>105.4460869898024</c:v>
                </c:pt>
                <c:pt idx="68">
                  <c:v>104.78163685243618</c:v>
                </c:pt>
                <c:pt idx="69">
                  <c:v>104.14324250080988</c:v>
                </c:pt>
                <c:pt idx="70">
                  <c:v>103.5301824901004</c:v>
                </c:pt>
                <c:pt idx="71">
                  <c:v>102.94171623869262</c:v>
                </c:pt>
                <c:pt idx="72">
                  <c:v>102.3770900501117</c:v>
                </c:pt>
                <c:pt idx="73">
                  <c:v>101.83554243485662</c:v>
                </c:pt>
                <c:pt idx="74">
                  <c:v>101.31630877347455</c:v>
                </c:pt>
                <c:pt idx="75">
                  <c:v>100.81862536554134</c:v>
                </c:pt>
                <c:pt idx="76">
                  <c:v>100.34173291079014</c:v>
                </c:pt>
                <c:pt idx="77">
                  <c:v>99.884879468761739</c:v>
                </c:pt>
                <c:pt idx="78">
                  <c:v>99.447322942409059</c:v>
                </c:pt>
                <c:pt idx="79">
                  <c:v>99.028333129275197</c:v>
                </c:pt>
                <c:pt idx="80">
                  <c:v>98.627193381454191</c:v>
                </c:pt>
                <c:pt idx="81">
                  <c:v>98.243201912685137</c:v>
                </c:pt>
                <c:pt idx="82">
                  <c:v>97.875672787781482</c:v>
                </c:pt>
                <c:pt idx="83">
                  <c:v>97.523936626276935</c:v>
                </c:pt>
                <c:pt idx="84">
                  <c:v>97.187341048748465</c:v>
                </c:pt>
                <c:pt idx="85">
                  <c:v>96.865250890831845</c:v>
                </c:pt>
                <c:pt idx="86">
                  <c:v>96.55704820650449</c:v>
                </c:pt>
                <c:pt idx="87">
                  <c:v>96.262132078805436</c:v>
                </c:pt>
                <c:pt idx="88">
                  <c:v>95.979918252796125</c:v>
                </c:pt>
                <c:pt idx="89">
                  <c:v>95.709838602232168</c:v>
                </c:pt>
                <c:pt idx="90">
                  <c:v>95.451340438116389</c:v>
                </c:pt>
                <c:pt idx="91">
                  <c:v>95.203885663977033</c:v>
                </c:pt>
                <c:pt idx="92">
                  <c:v>94.966949779379192</c:v>
                </c:pt>
                <c:pt idx="93">
                  <c:v>94.74002072974055</c:v>
                </c:pt>
                <c:pt idx="94">
                  <c:v>94.522597596967657</c:v>
                </c:pt>
                <c:pt idx="95">
                  <c:v>94.314189121689424</c:v>
                </c:pt>
                <c:pt idx="96">
                  <c:v>94.114312043866136</c:v>
                </c:pt>
                <c:pt idx="97">
                  <c:v>93.922489244225332</c:v>
                </c:pt>
                <c:pt idx="98">
                  <c:v>93.7382476642303</c:v>
                </c:pt>
                <c:pt idx="99">
                  <c:v>93.561115977014495</c:v>
                </c:pt>
                <c:pt idx="100">
                  <c:v>93.390621975799149</c:v>
                </c:pt>
                <c:pt idx="101">
                  <c:v>93.226289639615686</c:v>
                </c:pt>
                <c:pt idx="102">
                  <c:v>93.067635828503214</c:v>
                </c:pt>
                <c:pt idx="103">
                  <c:v>92.914166551570077</c:v>
                </c:pt>
                <c:pt idx="104">
                  <c:v>92.765372741154891</c:v>
                </c:pt>
                <c:pt idx="105">
                  <c:v>92.620725454535972</c:v>
                </c:pt>
                <c:pt idx="106">
                  <c:v>92.479670410904461</c:v>
                </c:pt>
                <c:pt idx="107">
                  <c:v>92.341621755248482</c:v>
                </c:pt>
                <c:pt idx="108">
                  <c:v>92.205954921953932</c:v>
                </c:pt>
                <c:pt idx="109">
                  <c:v>92.071998448773925</c:v>
                </c:pt>
                <c:pt idx="110">
                  <c:v>91.939024565713211</c:v>
                </c:pt>
                <c:pt idx="111">
                  <c:v>91.806238352568272</c:v>
                </c:pt>
                <c:pt idx="112">
                  <c:v>91.672765222449229</c:v>
                </c:pt>
                <c:pt idx="113">
                  <c:v>91.53763644554067</c:v>
                </c:pt>
                <c:pt idx="114">
                  <c:v>91.399772376374457</c:v>
                </c:pt>
                <c:pt idx="115">
                  <c:v>91.257962987558003</c:v>
                </c:pt>
                <c:pt idx="116">
                  <c:v>91.110845241559787</c:v>
                </c:pt>
                <c:pt idx="117">
                  <c:v>90.956876747947604</c:v>
                </c:pt>
                <c:pt idx="118">
                  <c:v>90.794305054384651</c:v>
                </c:pt>
                <c:pt idx="119">
                  <c:v>90.621131803642186</c:v>
                </c:pt>
                <c:pt idx="120">
                  <c:v>90.435070853984882</c:v>
                </c:pt>
                <c:pt idx="121">
                  <c:v>90.233499305123857</c:v>
                </c:pt>
                <c:pt idx="122">
                  <c:v>90.013400196371038</c:v>
                </c:pt>
                <c:pt idx="123">
                  <c:v>89.771295449815881</c:v>
                </c:pt>
                <c:pt idx="124">
                  <c:v>89.503167425698166</c:v>
                </c:pt>
                <c:pt idx="125">
                  <c:v>89.204367253395787</c:v>
                </c:pt>
                <c:pt idx="126">
                  <c:v>88.869507925638757</c:v>
                </c:pt>
                <c:pt idx="127">
                  <c:v>88.492340042099002</c:v>
                </c:pt>
                <c:pt idx="128">
                  <c:v>88.065608140764397</c:v>
                </c:pt>
                <c:pt idx="129">
                  <c:v>87.580885893578056</c:v>
                </c:pt>
                <c:pt idx="130">
                  <c:v>87.028389281730227</c:v>
                </c:pt>
                <c:pt idx="131">
                  <c:v>86.396768548835766</c:v>
                </c:pt>
                <c:pt idx="132">
                  <c:v>85.672882793207719</c:v>
                </c:pt>
                <c:pt idx="133">
                  <c:v>84.841566320719423</c:v>
                </c:pt>
                <c:pt idx="134">
                  <c:v>83.885404541891617</c:v>
                </c:pt>
                <c:pt idx="135">
                  <c:v>82.784550950598415</c:v>
                </c:pt>
                <c:pt idx="136">
                  <c:v>81.51663775321191</c:v>
                </c:pt>
                <c:pt idx="137">
                  <c:v>80.056863444431556</c:v>
                </c:pt>
                <c:pt idx="138">
                  <c:v>78.37838277437082</c:v>
                </c:pt>
                <c:pt idx="139">
                  <c:v>76.453176875292826</c:v>
                </c:pt>
                <c:pt idx="140">
                  <c:v>74.253635002699298</c:v>
                </c:pt>
                <c:pt idx="141">
                  <c:v>71.755110382534212</c:v>
                </c:pt>
                <c:pt idx="142">
                  <c:v>68.939672588821438</c:v>
                </c:pt>
                <c:pt idx="143">
                  <c:v>65.80109160244038</c:v>
                </c:pt>
                <c:pt idx="144">
                  <c:v>62.350672134472859</c:v>
                </c:pt>
                <c:pt idx="145">
                  <c:v>58.62289579990221</c:v>
                </c:pt>
                <c:pt idx="146">
                  <c:v>54.679100811077447</c:v>
                </c:pt>
                <c:pt idx="147">
                  <c:v>50.607091414448263</c:v>
                </c:pt>
                <c:pt idx="148">
                  <c:v>46.515202992970544</c:v>
                </c:pt>
                <c:pt idx="149">
                  <c:v>42.521141993239766</c:v>
                </c:pt>
                <c:pt idx="150">
                  <c:v>38.738154868293364</c:v>
                </c:pt>
                <c:pt idx="151">
                  <c:v>35.262371991983471</c:v>
                </c:pt>
                <c:pt idx="152">
                  <c:v>32.164593778895892</c:v>
                </c:pt>
                <c:pt idx="153">
                  <c:v>29.487761572619334</c:v>
                </c:pt>
                <c:pt idx="154">
                  <c:v>27.249242674165856</c:v>
                </c:pt>
                <c:pt idx="155">
                  <c:v>25.44593490023297</c:v>
                </c:pt>
                <c:pt idx="156">
                  <c:v>24.060203407425774</c:v>
                </c:pt>
                <c:pt idx="157">
                  <c:v>23.065302155896561</c:v>
                </c:pt>
                <c:pt idx="158">
                  <c:v>22.429657119534198</c:v>
                </c:pt>
                <c:pt idx="159">
                  <c:v>22.119909573302323</c:v>
                </c:pt>
                <c:pt idx="160">
                  <c:v>22.102889206344202</c:v>
                </c:pt>
                <c:pt idx="161">
                  <c:v>22.346775803178303</c:v>
                </c:pt>
                <c:pt idx="162">
                  <c:v>22.821698262029486</c:v>
                </c:pt>
                <c:pt idx="163">
                  <c:v>23.499970879333603</c:v>
                </c:pt>
                <c:pt idx="164">
                  <c:v>24.356111987564276</c:v>
                </c:pt>
                <c:pt idx="165">
                  <c:v>25.36674308157626</c:v>
                </c:pt>
                <c:pt idx="166">
                  <c:v>26.510431111657567</c:v>
                </c:pt>
                <c:pt idx="167">
                  <c:v>27.767511771532156</c:v>
                </c:pt>
                <c:pt idx="168">
                  <c:v>29.119915075246553</c:v>
                </c:pt>
                <c:pt idx="169">
                  <c:v>30.551003971972165</c:v>
                </c:pt>
                <c:pt idx="170">
                  <c:v>32.045430299879428</c:v>
                </c:pt>
                <c:pt idx="171">
                  <c:v>33.589008639049837</c:v>
                </c:pt>
                <c:pt idx="172">
                  <c:v>35.168606623753817</c:v>
                </c:pt>
                <c:pt idx="173">
                  <c:v>36.772049368696742</c:v>
                </c:pt>
                <c:pt idx="174">
                  <c:v>38.388035426400108</c:v>
                </c:pt>
                <c:pt idx="175">
                  <c:v>40.006061846970141</c:v>
                </c:pt>
                <c:pt idx="176">
                  <c:v>41.61635627856387</c:v>
                </c:pt>
                <c:pt idx="177">
                  <c:v>43.209814511849231</c:v>
                </c:pt>
                <c:pt idx="178">
                  <c:v>44.777942361253764</c:v>
                </c:pt>
                <c:pt idx="179">
                  <c:v>46.312801243405289</c:v>
                </c:pt>
                <c:pt idx="180">
                  <c:v>47.806957230642126</c:v>
                </c:pt>
                <c:pt idx="181">
                  <c:v>49.253433708512262</c:v>
                </c:pt>
                <c:pt idx="182">
                  <c:v>50.645668042784621</c:v>
                </c:pt>
                <c:pt idx="183">
                  <c:v>51.977472861055787</c:v>
                </c:pt>
                <c:pt idx="184">
                  <c:v>53.243002677671484</c:v>
                </c:pt>
                <c:pt idx="185">
                  <c:v>54.436726641767535</c:v>
                </c:pt>
                <c:pt idx="186">
                  <c:v>55.553408171731746</c:v>
                </c:pt>
                <c:pt idx="187">
                  <c:v>56.588092161057659</c:v>
                </c:pt>
                <c:pt idx="188">
                  <c:v>57.536100306779701</c:v>
                </c:pt>
                <c:pt idx="189">
                  <c:v>58.393034929129328</c:v>
                </c:pt>
                <c:pt idx="190">
                  <c:v>59.154791426694175</c:v>
                </c:pt>
                <c:pt idx="191">
                  <c:v>59.817579252284332</c:v>
                </c:pt>
                <c:pt idx="192">
                  <c:v>60.377951008135284</c:v>
                </c:pt>
                <c:pt idx="193">
                  <c:v>60.832838952401573</c:v>
                </c:pt>
                <c:pt idx="194">
                  <c:v>61.179597889744997</c:v>
                </c:pt>
                <c:pt idx="195">
                  <c:v>61.416053095322113</c:v>
                </c:pt>
                <c:pt idx="196">
                  <c:v>61.540551602870764</c:v>
                </c:pt>
                <c:pt idx="197">
                  <c:v>61.552014884751102</c:v>
                </c:pt>
                <c:pt idx="198">
                  <c:v>61.449990678182274</c:v>
                </c:pt>
                <c:pt idx="199">
                  <c:v>61.234701484472396</c:v>
                </c:pt>
                <c:pt idx="200">
                  <c:v>60.907087107361306</c:v>
                </c:pt>
                <c:pt idx="201">
                  <c:v>60.468838527073828</c:v>
                </c:pt>
                <c:pt idx="202">
                  <c:v>59.922420454711002</c:v>
                </c:pt>
                <c:pt idx="203">
                  <c:v>59.271080103162362</c:v>
                </c:pt>
                <c:pt idx="204">
                  <c:v>58.518840066875697</c:v>
                </c:pt>
                <c:pt idx="205">
                  <c:v>57.670473734721043</c:v>
                </c:pt>
                <c:pt idx="206">
                  <c:v>56.731462363287463</c:v>
                </c:pt>
                <c:pt idx="207">
                  <c:v>55.707933787651754</c:v>
                </c:pt>
                <c:pt idx="208">
                  <c:v>54.606583695902557</c:v>
                </c:pt>
                <c:pt idx="209">
                  <c:v>53.434581374535611</c:v>
                </c:pt>
                <c:pt idx="210">
                  <c:v>52.199462761024222</c:v>
                </c:pt>
                <c:pt idx="211">
                  <c:v>50.909014428695713</c:v>
                </c:pt>
                <c:pt idx="212">
                  <c:v>49.571152695788228</c:v>
                </c:pt>
                <c:pt idx="213">
                  <c:v>48.193802333232654</c:v>
                </c:pt>
                <c:pt idx="214">
                  <c:v>46.784779312572397</c:v>
                </c:pt>
                <c:pt idx="215">
                  <c:v>45.351681690720454</c:v>
                </c:pt>
                <c:pt idx="216">
                  <c:v>43.901792111911135</c:v>
                </c:pt>
                <c:pt idx="217">
                  <c:v>42.441994588132431</c:v>
                </c:pt>
                <c:pt idx="218">
                  <c:v>40.97870728473859</c:v>
                </c:pt>
                <c:pt idx="219">
                  <c:v>39.517832079712122</c:v>
                </c:pt>
                <c:pt idx="220">
                  <c:v>38.064720767306156</c:v>
                </c:pt>
                <c:pt idx="221">
                  <c:v>36.624157006022926</c:v>
                </c:pt>
                <c:pt idx="222">
                  <c:v>35.200352510194605</c:v>
                </c:pt>
                <c:pt idx="223">
                  <c:v>33.796955572587066</c:v>
                </c:pt>
                <c:pt idx="224">
                  <c:v>32.417069779190044</c:v>
                </c:pt>
                <c:pt idx="225">
                  <c:v>31.063280716731114</c:v>
                </c:pt>
                <c:pt idx="226">
                  <c:v>29.737688547737605</c:v>
                </c:pt>
                <c:pt idx="227">
                  <c:v>28.441944501745169</c:v>
                </c:pt>
                <c:pt idx="228">
                  <c:v>27.177289569397843</c:v>
                </c:pt>
                <c:pt idx="229">
                  <c:v>25.94459395726706</c:v>
                </c:pt>
                <c:pt idx="230">
                  <c:v>24.744396139655152</c:v>
                </c:pt>
                <c:pt idx="231">
                  <c:v>23.576940610361618</c:v>
                </c:pt>
                <c:pt idx="232">
                  <c:v>22.442213679607036</c:v>
                </c:pt>
                <c:pt idx="233">
                  <c:v>21.339976871777793</c:v>
                </c:pt>
                <c:pt idx="234">
                  <c:v>20.269797655470185</c:v>
                </c:pt>
                <c:pt idx="235">
                  <c:v>19.231077378777513</c:v>
                </c:pt>
                <c:pt idx="236">
                  <c:v>18.223076392351075</c:v>
                </c:pt>
                <c:pt idx="237">
                  <c:v>17.24493642414329</c:v>
                </c:pt>
                <c:pt idx="238">
                  <c:v>16.295700327137922</c:v>
                </c:pt>
                <c:pt idx="239">
                  <c:v>15.374329359097459</c:v>
                </c:pt>
                <c:pt idx="240">
                  <c:v>14.479718175447843</c:v>
                </c:pt>
                <c:pt idx="241">
                  <c:v>13.610707726455246</c:v>
                </c:pt>
                <c:pt idx="242">
                  <c:v>12.76609625092749</c:v>
                </c:pt>
                <c:pt idx="243">
                  <c:v>11.944648553314252</c:v>
                </c:pt>
                <c:pt idx="244">
                  <c:v>11.145103741336015</c:v>
                </c:pt>
                <c:pt idx="245">
                  <c:v>10.366181588709395</c:v>
                </c:pt>
                <c:pt idx="246">
                  <c:v>9.6065876733776321</c:v>
                </c:pt>
                <c:pt idx="247">
                  <c:v>8.865017426750228</c:v>
                </c:pt>
                <c:pt idx="248">
                  <c:v>8.1401592144524528</c:v>
                </c:pt>
                <c:pt idx="249">
                  <c:v>7.4306965543694048</c:v>
                </c:pt>
                <c:pt idx="250">
                  <c:v>6.7353095636340896</c:v>
                </c:pt>
              </c:numCache>
            </c:numRef>
          </c:yVal>
          <c:smooth val="1"/>
          <c:extLst xmlns:c16r2="http://schemas.microsoft.com/office/drawing/2015/06/chart">
            <c:ext xmlns:c16="http://schemas.microsoft.com/office/drawing/2014/chart" uri="{C3380CC4-5D6E-409C-BE32-E72D297353CC}">
              <c16:uniqueId val="{00000001-5D67-4723-93D7-E763550A6E19}"/>
            </c:ext>
          </c:extLst>
        </c:ser>
        <c:dLbls>
          <c:showLegendKey val="0"/>
          <c:showVal val="0"/>
          <c:showCatName val="0"/>
          <c:showSerName val="0"/>
          <c:showPercent val="0"/>
          <c:showBubbleSize val="0"/>
        </c:dLbls>
        <c:axId val="465328384"/>
        <c:axId val="493903872"/>
      </c:scatterChart>
      <c:valAx>
        <c:axId val="465312000"/>
        <c:scaling>
          <c:logBase val="10"/>
          <c:orientation val="minMax"/>
          <c:max val="1000000"/>
          <c:min val="10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600" b="1" i="0" u="none" strike="noStrike" baseline="0">
                    <a:solidFill>
                      <a:srgbClr val="000000"/>
                    </a:solidFill>
                    <a:latin typeface="Arial"/>
                    <a:ea typeface="Arial"/>
                    <a:cs typeface="Arial"/>
                  </a:defRPr>
                </a:pPr>
                <a:r>
                  <a:rPr lang="en-US"/>
                  <a:t>Frequency - Hz</a:t>
                </a:r>
              </a:p>
            </c:rich>
          </c:tx>
          <c:layout>
            <c:manualLayout>
              <c:xMode val="edge"/>
              <c:yMode val="edge"/>
              <c:x val="0.40750732561756181"/>
              <c:y val="0.8422712671864922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65326464"/>
        <c:crossesAt val="-100"/>
        <c:crossBetween val="midCat"/>
      </c:valAx>
      <c:valAx>
        <c:axId val="465326464"/>
        <c:scaling>
          <c:orientation val="minMax"/>
        </c:scaling>
        <c:delete val="0"/>
        <c:axPos val="l"/>
        <c:majorGridlines>
          <c:spPr>
            <a:ln w="3175">
              <a:solidFill>
                <a:srgbClr val="000000"/>
              </a:solidFill>
              <a:prstDash val="solid"/>
            </a:ln>
          </c:spPr>
        </c:majorGridlines>
        <c:title>
          <c:tx>
            <c:rich>
              <a:bodyPr/>
              <a:lstStyle/>
              <a:p>
                <a:pPr>
                  <a:defRPr sz="600" b="1" i="0" u="none" strike="noStrike" baseline="0">
                    <a:solidFill>
                      <a:srgbClr val="000000"/>
                    </a:solidFill>
                    <a:latin typeface="Arial"/>
                    <a:ea typeface="Arial"/>
                    <a:cs typeface="Arial"/>
                  </a:defRPr>
                </a:pPr>
                <a:r>
                  <a:rPr lang="en-US"/>
                  <a:t>Gain - dB</a:t>
                </a:r>
              </a:p>
            </c:rich>
          </c:tx>
          <c:layout>
            <c:manualLayout>
              <c:xMode val="edge"/>
              <c:yMode val="edge"/>
              <c:x val="4.2895378722150372E-2"/>
              <c:y val="0.394321832033769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65312000"/>
        <c:crosses val="autoZero"/>
        <c:crossBetween val="midCat"/>
        <c:majorUnit val="20"/>
        <c:minorUnit val="4"/>
      </c:valAx>
      <c:valAx>
        <c:axId val="465328384"/>
        <c:scaling>
          <c:logBase val="10"/>
          <c:orientation val="minMax"/>
        </c:scaling>
        <c:delete val="1"/>
        <c:axPos val="b"/>
        <c:numFmt formatCode="General" sourceLinked="1"/>
        <c:majorTickMark val="out"/>
        <c:minorTickMark val="none"/>
        <c:tickLblPos val="nextTo"/>
        <c:crossAx val="493903872"/>
        <c:crosses val="autoZero"/>
        <c:crossBetween val="midCat"/>
      </c:valAx>
      <c:valAx>
        <c:axId val="493903872"/>
        <c:scaling>
          <c:orientation val="minMax"/>
        </c:scaling>
        <c:delete val="0"/>
        <c:axPos val="r"/>
        <c:title>
          <c:tx>
            <c:rich>
              <a:bodyPr/>
              <a:lstStyle/>
              <a:p>
                <a:pPr>
                  <a:defRPr sz="600" b="0" i="0" u="none" strike="noStrike" baseline="0">
                    <a:solidFill>
                      <a:srgbClr val="000000"/>
                    </a:solidFill>
                    <a:latin typeface="Arial"/>
                    <a:ea typeface="Arial"/>
                    <a:cs typeface="Arial"/>
                  </a:defRPr>
                </a:pPr>
                <a:r>
                  <a:rPr lang="en-US" sz="475" b="1" i="0" u="none" strike="noStrike" baseline="0">
                    <a:solidFill>
                      <a:srgbClr val="000000"/>
                    </a:solidFill>
                    <a:latin typeface="Arial"/>
                    <a:cs typeface="Arial"/>
                  </a:rPr>
                  <a:t>Phase - °</a:t>
                </a:r>
              </a:p>
            </c:rich>
          </c:tx>
          <c:layout>
            <c:manualLayout>
              <c:xMode val="edge"/>
              <c:yMode val="edge"/>
              <c:x val="0.92493411036718109"/>
              <c:y val="0.4195582760184174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65328384"/>
        <c:crosses val="max"/>
        <c:crossBetween val="midCat"/>
        <c:majorUnit val="45"/>
      </c:valAx>
      <c:spPr>
        <a:solidFill>
          <a:srgbClr val="C0C0C0"/>
        </a:solidFill>
        <a:ln w="12700">
          <a:solidFill>
            <a:srgbClr val="808080"/>
          </a:solidFill>
          <a:prstDash val="solid"/>
        </a:ln>
      </c:spPr>
    </c:plotArea>
    <c:legend>
      <c:legendPos val="r"/>
      <c:layout>
        <c:manualLayout>
          <c:xMode val="edge"/>
          <c:yMode val="edge"/>
          <c:x val="0.36194200185315056"/>
          <c:y val="0.93063084566973009"/>
          <c:w val="0.27882939402020485"/>
          <c:h val="5.0474893324459938E-2"/>
        </c:manualLayout>
      </c:layout>
      <c:overlay val="0"/>
      <c:spPr>
        <a:solidFill>
          <a:srgbClr val="FFFFFF"/>
        </a:solidFill>
        <a:ln w="3175">
          <a:solidFill>
            <a:srgbClr val="000000"/>
          </a:solidFill>
          <a:prstDash val="solid"/>
        </a:ln>
      </c:spPr>
      <c:txPr>
        <a:bodyPr/>
        <a:lstStyle/>
        <a:p>
          <a:pPr>
            <a:defRPr sz="42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emf"/><Relationship Id="rId1" Type="http://schemas.openxmlformats.org/officeDocument/2006/relationships/chart" Target="../charts/chart1.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134471</xdr:colOff>
      <xdr:row>105</xdr:row>
      <xdr:rowOff>112061</xdr:rowOff>
    </xdr:from>
    <xdr:to>
      <xdr:col>10</xdr:col>
      <xdr:colOff>0</xdr:colOff>
      <xdr:row>121</xdr:row>
      <xdr:rowOff>0</xdr:rowOff>
    </xdr:to>
    <xdr:graphicFrame macro="">
      <xdr:nvGraphicFramePr>
        <xdr:cNvPr id="9" name="Chart 14">
          <a:extLst>
            <a:ext uri="{FF2B5EF4-FFF2-40B4-BE49-F238E27FC236}">
              <a16:creationId xmlns:a16="http://schemas.microsoft.com/office/drawing/2014/main" xmlns="" id="{F8A6C4F9-E2B4-4C3A-B3F5-91CD7FFBF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71717</xdr:colOff>
      <xdr:row>90</xdr:row>
      <xdr:rowOff>26892</xdr:rowOff>
    </xdr:from>
    <xdr:to>
      <xdr:col>10</xdr:col>
      <xdr:colOff>42445</xdr:colOff>
      <xdr:row>105</xdr:row>
      <xdr:rowOff>80232</xdr:rowOff>
    </xdr:to>
    <xdr:pic>
      <xdr:nvPicPr>
        <xdr:cNvPr id="2" name="Picture 117">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1129" y="18054916"/>
          <a:ext cx="3502822" cy="2834640"/>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2517963</xdr:colOff>
      <xdr:row>105</xdr:row>
      <xdr:rowOff>100855</xdr:rowOff>
    </xdr:from>
    <xdr:to>
      <xdr:col>13</xdr:col>
      <xdr:colOff>257736</xdr:colOff>
      <xdr:row>120</xdr:row>
      <xdr:rowOff>201707</xdr:rowOff>
    </xdr:to>
    <xdr:graphicFrame macro="">
      <xdr:nvGraphicFramePr>
        <xdr:cNvPr id="10" name="Chart 16">
          <a:extLst>
            <a:ext uri="{FF2B5EF4-FFF2-40B4-BE49-F238E27FC236}">
              <a16:creationId xmlns:a16="http://schemas.microsoft.com/office/drawing/2014/main" xmlns="" id="{BFFB645C-583E-4C16-96E9-B50436515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26334</xdr:colOff>
      <xdr:row>90</xdr:row>
      <xdr:rowOff>112061</xdr:rowOff>
    </xdr:from>
    <xdr:to>
      <xdr:col>13</xdr:col>
      <xdr:colOff>268941</xdr:colOff>
      <xdr:row>105</xdr:row>
      <xdr:rowOff>123266</xdr:rowOff>
    </xdr:to>
    <xdr:graphicFrame macro="">
      <xdr:nvGraphicFramePr>
        <xdr:cNvPr id="11" name="Chart 17">
          <a:extLst>
            <a:ext uri="{FF2B5EF4-FFF2-40B4-BE49-F238E27FC236}">
              <a16:creationId xmlns:a16="http://schemas.microsoft.com/office/drawing/2014/main" xmlns="" id="{308E986D-9BEF-4B2A-957D-1BE9D5307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677334</xdr:colOff>
      <xdr:row>45</xdr:row>
      <xdr:rowOff>344266</xdr:rowOff>
    </xdr:from>
    <xdr:to>
      <xdr:col>3</xdr:col>
      <xdr:colOff>2497666</xdr:colOff>
      <xdr:row>45</xdr:row>
      <xdr:rowOff>2137122</xdr:rowOff>
    </xdr:to>
    <xdr:pic>
      <xdr:nvPicPr>
        <xdr:cNvPr id="2" name="Picture 1">
          <a:extLst>
            <a:ext uri="{FF2B5EF4-FFF2-40B4-BE49-F238E27FC236}">
              <a16:creationId xmlns:a16="http://schemas.microsoft.com/office/drawing/2014/main" xmlns="" id="{28B28C00-FE38-467F-9752-59D0425CCD10}"/>
            </a:ext>
          </a:extLst>
        </xdr:cNvPr>
        <xdr:cNvPicPr>
          <a:picLocks noChangeAspect="1"/>
        </xdr:cNvPicPr>
      </xdr:nvPicPr>
      <xdr:blipFill>
        <a:blip xmlns:r="http://schemas.openxmlformats.org/officeDocument/2006/relationships" r:embed="rId1"/>
        <a:stretch>
          <a:fillRect/>
        </a:stretch>
      </xdr:blipFill>
      <xdr:spPr>
        <a:xfrm>
          <a:off x="4068234" y="29205016"/>
          <a:ext cx="1820332" cy="1792856"/>
        </a:xfrm>
        <a:prstGeom prst="rect">
          <a:avLst/>
        </a:prstGeom>
      </xdr:spPr>
    </xdr:pic>
    <xdr:clientData/>
  </xdr:twoCellAnchor>
  <xdr:twoCellAnchor>
    <xdr:from>
      <xdr:col>3</xdr:col>
      <xdr:colOff>190500</xdr:colOff>
      <xdr:row>4</xdr:row>
      <xdr:rowOff>440531</xdr:rowOff>
    </xdr:from>
    <xdr:to>
      <xdr:col>3</xdr:col>
      <xdr:colOff>3171702</xdr:colOff>
      <xdr:row>4</xdr:row>
      <xdr:rowOff>2946204</xdr:rowOff>
    </xdr:to>
    <xdr:pic>
      <xdr:nvPicPr>
        <xdr:cNvPr id="3" name="Picture 2">
          <a:extLst>
            <a:ext uri="{FF2B5EF4-FFF2-40B4-BE49-F238E27FC236}">
              <a16:creationId xmlns:a16="http://schemas.microsoft.com/office/drawing/2014/main" xmlns="" id="{A7173819-85DD-44DF-9CF8-C74DD40CEC88}"/>
            </a:ext>
          </a:extLst>
        </xdr:cNvPr>
        <xdr:cNvPicPr>
          <a:picLocks noChangeAspect="1"/>
        </xdr:cNvPicPr>
      </xdr:nvPicPr>
      <xdr:blipFill>
        <a:blip xmlns:r="http://schemas.openxmlformats.org/officeDocument/2006/relationships" r:embed="rId2"/>
        <a:stretch>
          <a:fillRect/>
        </a:stretch>
      </xdr:blipFill>
      <xdr:spPr>
        <a:xfrm>
          <a:off x="3581400" y="2526506"/>
          <a:ext cx="2981202" cy="2505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214312</xdr:colOff>
      <xdr:row>20</xdr:row>
      <xdr:rowOff>452437</xdr:rowOff>
    </xdr:from>
    <xdr:to>
      <xdr:col>4</xdr:col>
      <xdr:colOff>3591789</xdr:colOff>
      <xdr:row>20</xdr:row>
      <xdr:rowOff>3677501</xdr:rowOff>
    </xdr:to>
    <xdr:pic>
      <xdr:nvPicPr>
        <xdr:cNvPr id="2" name="Picture 1">
          <a:extLst>
            <a:ext uri="{FF2B5EF4-FFF2-40B4-BE49-F238E27FC236}">
              <a16:creationId xmlns:a16="http://schemas.microsoft.com/office/drawing/2014/main" xmlns="" id="{4BC1F837-909C-4AB3-92BD-89B5E1EFD805}"/>
            </a:ext>
          </a:extLst>
        </xdr:cNvPr>
        <xdr:cNvPicPr>
          <a:picLocks noChangeAspect="1"/>
        </xdr:cNvPicPr>
      </xdr:nvPicPr>
      <xdr:blipFill>
        <a:blip xmlns:r="http://schemas.openxmlformats.org/officeDocument/2006/relationships" r:embed="rId1"/>
        <a:stretch>
          <a:fillRect/>
        </a:stretch>
      </xdr:blipFill>
      <xdr:spPr>
        <a:xfrm>
          <a:off x="4910137" y="17273587"/>
          <a:ext cx="3377477" cy="3225064"/>
        </a:xfrm>
        <a:prstGeom prst="rect">
          <a:avLst/>
        </a:prstGeom>
      </xdr:spPr>
    </xdr:pic>
    <xdr:clientData/>
  </xdr:twoCellAnchor>
  <xdr:twoCellAnchor>
    <xdr:from>
      <xdr:col>4</xdr:col>
      <xdr:colOff>178593</xdr:colOff>
      <xdr:row>17</xdr:row>
      <xdr:rowOff>678657</xdr:rowOff>
    </xdr:from>
    <xdr:to>
      <xdr:col>4</xdr:col>
      <xdr:colOff>3604842</xdr:colOff>
      <xdr:row>17</xdr:row>
      <xdr:rowOff>3903721</xdr:rowOff>
    </xdr:to>
    <xdr:pic>
      <xdr:nvPicPr>
        <xdr:cNvPr id="3" name="Picture 2">
          <a:extLst>
            <a:ext uri="{FF2B5EF4-FFF2-40B4-BE49-F238E27FC236}">
              <a16:creationId xmlns:a16="http://schemas.microsoft.com/office/drawing/2014/main" xmlns="" id="{CF640629-687C-40A8-8351-4BE2389D7C3F}"/>
            </a:ext>
          </a:extLst>
        </xdr:cNvPr>
        <xdr:cNvPicPr>
          <a:picLocks noChangeAspect="1"/>
        </xdr:cNvPicPr>
      </xdr:nvPicPr>
      <xdr:blipFill>
        <a:blip xmlns:r="http://schemas.openxmlformats.org/officeDocument/2006/relationships" r:embed="rId2"/>
        <a:stretch>
          <a:fillRect/>
        </a:stretch>
      </xdr:blipFill>
      <xdr:spPr>
        <a:xfrm>
          <a:off x="4874418" y="8708232"/>
          <a:ext cx="3426249" cy="3225064"/>
        </a:xfrm>
        <a:prstGeom prst="rect">
          <a:avLst/>
        </a:prstGeom>
      </xdr:spPr>
    </xdr:pic>
    <xdr:clientData/>
  </xdr:twoCellAnchor>
  <xdr:twoCellAnchor>
    <xdr:from>
      <xdr:col>4</xdr:col>
      <xdr:colOff>190499</xdr:colOff>
      <xdr:row>18</xdr:row>
      <xdr:rowOff>642937</xdr:rowOff>
    </xdr:from>
    <xdr:to>
      <xdr:col>4</xdr:col>
      <xdr:colOff>3574072</xdr:colOff>
      <xdr:row>18</xdr:row>
      <xdr:rowOff>3868001</xdr:rowOff>
    </xdr:to>
    <xdr:pic>
      <xdr:nvPicPr>
        <xdr:cNvPr id="4" name="Picture 3">
          <a:extLst>
            <a:ext uri="{FF2B5EF4-FFF2-40B4-BE49-F238E27FC236}">
              <a16:creationId xmlns:a16="http://schemas.microsoft.com/office/drawing/2014/main" xmlns="" id="{D1E63D79-9690-431D-969F-EDE0EB35F46C}"/>
            </a:ext>
          </a:extLst>
        </xdr:cNvPr>
        <xdr:cNvPicPr>
          <a:picLocks noChangeAspect="1"/>
        </xdr:cNvPicPr>
      </xdr:nvPicPr>
      <xdr:blipFill>
        <a:blip xmlns:r="http://schemas.openxmlformats.org/officeDocument/2006/relationships" r:embed="rId3"/>
        <a:stretch>
          <a:fillRect/>
        </a:stretch>
      </xdr:blipFill>
      <xdr:spPr>
        <a:xfrm>
          <a:off x="4886324" y="12644437"/>
          <a:ext cx="3383573" cy="3225064"/>
        </a:xfrm>
        <a:prstGeom prst="rect">
          <a:avLst/>
        </a:prstGeom>
      </xdr:spPr>
    </xdr:pic>
    <xdr:clientData/>
  </xdr:twoCellAnchor>
  <xdr:twoCellAnchor>
    <xdr:from>
      <xdr:col>4</xdr:col>
      <xdr:colOff>214312</xdr:colOff>
      <xdr:row>21</xdr:row>
      <xdr:rowOff>654844</xdr:rowOff>
    </xdr:from>
    <xdr:to>
      <xdr:col>4</xdr:col>
      <xdr:colOff>3591789</xdr:colOff>
      <xdr:row>21</xdr:row>
      <xdr:rowOff>3879908</xdr:rowOff>
    </xdr:to>
    <xdr:pic>
      <xdr:nvPicPr>
        <xdr:cNvPr id="5" name="Picture 4">
          <a:extLst>
            <a:ext uri="{FF2B5EF4-FFF2-40B4-BE49-F238E27FC236}">
              <a16:creationId xmlns:a16="http://schemas.microsoft.com/office/drawing/2014/main" xmlns="" id="{AFCA6151-3000-4698-B7C4-A8EE4D488B9A}"/>
            </a:ext>
          </a:extLst>
        </xdr:cNvPr>
        <xdr:cNvPicPr>
          <a:picLocks noChangeAspect="1"/>
        </xdr:cNvPicPr>
      </xdr:nvPicPr>
      <xdr:blipFill>
        <a:blip xmlns:r="http://schemas.openxmlformats.org/officeDocument/2006/relationships" r:embed="rId4"/>
        <a:stretch>
          <a:fillRect/>
        </a:stretch>
      </xdr:blipFill>
      <xdr:spPr>
        <a:xfrm>
          <a:off x="4910137" y="21200269"/>
          <a:ext cx="3377477" cy="3225064"/>
        </a:xfrm>
        <a:prstGeom prst="rect">
          <a:avLst/>
        </a:prstGeom>
      </xdr:spPr>
    </xdr:pic>
    <xdr:clientData/>
  </xdr:twoCellAnchor>
  <xdr:twoCellAnchor>
    <xdr:from>
      <xdr:col>4</xdr:col>
      <xdr:colOff>59531</xdr:colOff>
      <xdr:row>22</xdr:row>
      <xdr:rowOff>392906</xdr:rowOff>
    </xdr:from>
    <xdr:to>
      <xdr:col>4</xdr:col>
      <xdr:colOff>3741834</xdr:colOff>
      <xdr:row>22</xdr:row>
      <xdr:rowOff>3264371</xdr:rowOff>
    </xdr:to>
    <xdr:pic>
      <xdr:nvPicPr>
        <xdr:cNvPr id="6" name="Picture 5">
          <a:extLst>
            <a:ext uri="{FF2B5EF4-FFF2-40B4-BE49-F238E27FC236}">
              <a16:creationId xmlns:a16="http://schemas.microsoft.com/office/drawing/2014/main" xmlns="" id="{C1AF1B37-880D-4D2D-9957-74C990366AF4}"/>
            </a:ext>
          </a:extLst>
        </xdr:cNvPr>
        <xdr:cNvPicPr>
          <a:picLocks noChangeAspect="1"/>
        </xdr:cNvPicPr>
      </xdr:nvPicPr>
      <xdr:blipFill>
        <a:blip xmlns:r="http://schemas.openxmlformats.org/officeDocument/2006/relationships" r:embed="rId5"/>
        <a:stretch>
          <a:fillRect/>
        </a:stretch>
      </xdr:blipFill>
      <xdr:spPr>
        <a:xfrm>
          <a:off x="4755356" y="24824531"/>
          <a:ext cx="3682303" cy="2871465"/>
        </a:xfrm>
        <a:prstGeom prst="rect">
          <a:avLst/>
        </a:prstGeom>
      </xdr:spPr>
    </xdr:pic>
    <xdr:clientData/>
  </xdr:twoCellAnchor>
  <xdr:twoCellAnchor>
    <xdr:from>
      <xdr:col>4</xdr:col>
      <xdr:colOff>357187</xdr:colOff>
      <xdr:row>27</xdr:row>
      <xdr:rowOff>1035843</xdr:rowOff>
    </xdr:from>
    <xdr:to>
      <xdr:col>4</xdr:col>
      <xdr:colOff>3265231</xdr:colOff>
      <xdr:row>27</xdr:row>
      <xdr:rowOff>3645157</xdr:rowOff>
    </xdr:to>
    <xdr:pic>
      <xdr:nvPicPr>
        <xdr:cNvPr id="7" name="Picture 6">
          <a:extLst>
            <a:ext uri="{FF2B5EF4-FFF2-40B4-BE49-F238E27FC236}">
              <a16:creationId xmlns:a16="http://schemas.microsoft.com/office/drawing/2014/main" xmlns="" id="{7662B6A6-5C4C-4430-81E3-4CA838E79D1B}"/>
            </a:ext>
          </a:extLst>
        </xdr:cNvPr>
        <xdr:cNvPicPr>
          <a:picLocks noChangeAspect="1"/>
        </xdr:cNvPicPr>
      </xdr:nvPicPr>
      <xdr:blipFill>
        <a:blip xmlns:r="http://schemas.openxmlformats.org/officeDocument/2006/relationships" r:embed="rId6"/>
        <a:stretch>
          <a:fillRect/>
        </a:stretch>
      </xdr:blipFill>
      <xdr:spPr>
        <a:xfrm>
          <a:off x="5053012" y="30239493"/>
          <a:ext cx="2908044" cy="2609314"/>
        </a:xfrm>
        <a:prstGeom prst="rect">
          <a:avLst/>
        </a:prstGeom>
      </xdr:spPr>
    </xdr:pic>
    <xdr:clientData/>
  </xdr:twoCellAnchor>
  <xdr:twoCellAnchor>
    <xdr:from>
      <xdr:col>4</xdr:col>
      <xdr:colOff>357187</xdr:colOff>
      <xdr:row>28</xdr:row>
      <xdr:rowOff>762000</xdr:rowOff>
    </xdr:from>
    <xdr:to>
      <xdr:col>4</xdr:col>
      <xdr:colOff>3259135</xdr:colOff>
      <xdr:row>28</xdr:row>
      <xdr:rowOff>3377411</xdr:rowOff>
    </xdr:to>
    <xdr:pic>
      <xdr:nvPicPr>
        <xdr:cNvPr id="8" name="Picture 7">
          <a:extLst>
            <a:ext uri="{FF2B5EF4-FFF2-40B4-BE49-F238E27FC236}">
              <a16:creationId xmlns:a16="http://schemas.microsoft.com/office/drawing/2014/main" xmlns="" id="{C5170F25-3C0E-4FF5-B798-F5506214C952}"/>
            </a:ext>
          </a:extLst>
        </xdr:cNvPr>
        <xdr:cNvPicPr>
          <a:picLocks noChangeAspect="1"/>
        </xdr:cNvPicPr>
      </xdr:nvPicPr>
      <xdr:blipFill>
        <a:blip xmlns:r="http://schemas.openxmlformats.org/officeDocument/2006/relationships" r:embed="rId7"/>
        <a:stretch>
          <a:fillRect/>
        </a:stretch>
      </xdr:blipFill>
      <xdr:spPr>
        <a:xfrm>
          <a:off x="5053012" y="33661350"/>
          <a:ext cx="2901948" cy="2615411"/>
        </a:xfrm>
        <a:prstGeom prst="rect">
          <a:avLst/>
        </a:prstGeom>
      </xdr:spPr>
    </xdr:pic>
    <xdr:clientData/>
  </xdr:twoCellAnchor>
  <xdr:twoCellAnchor>
    <xdr:from>
      <xdr:col>4</xdr:col>
      <xdr:colOff>71437</xdr:colOff>
      <xdr:row>29</xdr:row>
      <xdr:rowOff>488157</xdr:rowOff>
    </xdr:from>
    <xdr:to>
      <xdr:col>4</xdr:col>
      <xdr:colOff>3607423</xdr:colOff>
      <xdr:row>29</xdr:row>
      <xdr:rowOff>1384347</xdr:rowOff>
    </xdr:to>
    <xdr:pic>
      <xdr:nvPicPr>
        <xdr:cNvPr id="9" name="Picture 8">
          <a:extLst>
            <a:ext uri="{FF2B5EF4-FFF2-40B4-BE49-F238E27FC236}">
              <a16:creationId xmlns:a16="http://schemas.microsoft.com/office/drawing/2014/main" xmlns="" id="{7D56AE64-31DF-444D-9FBA-D3A1FF80B0B9}"/>
            </a:ext>
          </a:extLst>
        </xdr:cNvPr>
        <xdr:cNvPicPr>
          <a:picLocks noChangeAspect="1"/>
        </xdr:cNvPicPr>
      </xdr:nvPicPr>
      <xdr:blipFill>
        <a:blip xmlns:r="http://schemas.openxmlformats.org/officeDocument/2006/relationships" r:embed="rId8"/>
        <a:stretch>
          <a:fillRect/>
        </a:stretch>
      </xdr:blipFill>
      <xdr:spPr>
        <a:xfrm>
          <a:off x="4767262" y="36883182"/>
          <a:ext cx="3535986" cy="896190"/>
        </a:xfrm>
        <a:prstGeom prst="rect">
          <a:avLst/>
        </a:prstGeom>
      </xdr:spPr>
    </xdr:pic>
    <xdr:clientData/>
  </xdr:twoCellAnchor>
  <xdr:twoCellAnchor>
    <xdr:from>
      <xdr:col>4</xdr:col>
      <xdr:colOff>702468</xdr:colOff>
      <xdr:row>30</xdr:row>
      <xdr:rowOff>392906</xdr:rowOff>
    </xdr:from>
    <xdr:to>
      <xdr:col>4</xdr:col>
      <xdr:colOff>3037438</xdr:colOff>
      <xdr:row>30</xdr:row>
      <xdr:rowOff>3459460</xdr:rowOff>
    </xdr:to>
    <xdr:pic>
      <xdr:nvPicPr>
        <xdr:cNvPr id="10" name="Picture 9">
          <a:extLst>
            <a:ext uri="{FF2B5EF4-FFF2-40B4-BE49-F238E27FC236}">
              <a16:creationId xmlns:a16="http://schemas.microsoft.com/office/drawing/2014/main" xmlns="" id="{F6EBEFDB-A78B-4355-AA4C-6E06DBDCDBE2}"/>
            </a:ext>
          </a:extLst>
        </xdr:cNvPr>
        <xdr:cNvPicPr>
          <a:picLocks noChangeAspect="1"/>
        </xdr:cNvPicPr>
      </xdr:nvPicPr>
      <xdr:blipFill>
        <a:blip xmlns:r="http://schemas.openxmlformats.org/officeDocument/2006/relationships" r:embed="rId9"/>
        <a:stretch>
          <a:fillRect/>
        </a:stretch>
      </xdr:blipFill>
      <xdr:spPr>
        <a:xfrm>
          <a:off x="5398293" y="38283356"/>
          <a:ext cx="2334970" cy="3066554"/>
        </a:xfrm>
        <a:prstGeom prst="rect">
          <a:avLst/>
        </a:prstGeom>
      </xdr:spPr>
    </xdr:pic>
    <xdr:clientData/>
  </xdr:twoCellAnchor>
  <xdr:twoCellAnchor>
    <xdr:from>
      <xdr:col>4</xdr:col>
      <xdr:colOff>35719</xdr:colOff>
      <xdr:row>31</xdr:row>
      <xdr:rowOff>214313</xdr:rowOff>
    </xdr:from>
    <xdr:to>
      <xdr:col>4</xdr:col>
      <xdr:colOff>3791180</xdr:colOff>
      <xdr:row>31</xdr:row>
      <xdr:rowOff>3207708</xdr:rowOff>
    </xdr:to>
    <xdr:pic>
      <xdr:nvPicPr>
        <xdr:cNvPr id="11" name="Picture 10">
          <a:extLst>
            <a:ext uri="{FF2B5EF4-FFF2-40B4-BE49-F238E27FC236}">
              <a16:creationId xmlns:a16="http://schemas.microsoft.com/office/drawing/2014/main" xmlns="" id="{45528E75-1603-4F12-962B-7ABD543C9D69}"/>
            </a:ext>
          </a:extLst>
        </xdr:cNvPr>
        <xdr:cNvPicPr>
          <a:picLocks noChangeAspect="1"/>
        </xdr:cNvPicPr>
      </xdr:nvPicPr>
      <xdr:blipFill>
        <a:blip xmlns:r="http://schemas.openxmlformats.org/officeDocument/2006/relationships" r:embed="rId10"/>
        <a:stretch>
          <a:fillRect/>
        </a:stretch>
      </xdr:blipFill>
      <xdr:spPr>
        <a:xfrm>
          <a:off x="4731544" y="41590913"/>
          <a:ext cx="3755461" cy="2993395"/>
        </a:xfrm>
        <a:prstGeom prst="rect">
          <a:avLst/>
        </a:prstGeom>
      </xdr:spPr>
    </xdr:pic>
    <xdr:clientData/>
  </xdr:twoCellAnchor>
  <xdr:twoCellAnchor>
    <xdr:from>
      <xdr:col>4</xdr:col>
      <xdr:colOff>47624</xdr:colOff>
      <xdr:row>32</xdr:row>
      <xdr:rowOff>571500</xdr:rowOff>
    </xdr:from>
    <xdr:to>
      <xdr:col>4</xdr:col>
      <xdr:colOff>3803085</xdr:colOff>
      <xdr:row>32</xdr:row>
      <xdr:rowOff>3570992</xdr:rowOff>
    </xdr:to>
    <xdr:pic>
      <xdr:nvPicPr>
        <xdr:cNvPr id="12" name="Picture 11">
          <a:extLst>
            <a:ext uri="{FF2B5EF4-FFF2-40B4-BE49-F238E27FC236}">
              <a16:creationId xmlns:a16="http://schemas.microsoft.com/office/drawing/2014/main" xmlns="" id="{4A2F25D0-7682-4767-9377-A127C7E89C89}"/>
            </a:ext>
          </a:extLst>
        </xdr:cNvPr>
        <xdr:cNvPicPr>
          <a:picLocks noChangeAspect="1"/>
        </xdr:cNvPicPr>
      </xdr:nvPicPr>
      <xdr:blipFill>
        <a:blip xmlns:r="http://schemas.openxmlformats.org/officeDocument/2006/relationships" r:embed="rId11"/>
        <a:stretch>
          <a:fillRect/>
        </a:stretch>
      </xdr:blipFill>
      <xdr:spPr>
        <a:xfrm>
          <a:off x="4743449" y="45215175"/>
          <a:ext cx="3755461" cy="2999492"/>
        </a:xfrm>
        <a:prstGeom prst="rect">
          <a:avLst/>
        </a:prstGeom>
      </xdr:spPr>
    </xdr:pic>
    <xdr:clientData/>
  </xdr:twoCellAnchor>
  <xdr:twoCellAnchor>
    <xdr:from>
      <xdr:col>4</xdr:col>
      <xdr:colOff>702468</xdr:colOff>
      <xdr:row>33</xdr:row>
      <xdr:rowOff>428625</xdr:rowOff>
    </xdr:from>
    <xdr:to>
      <xdr:col>4</xdr:col>
      <xdr:colOff>2939894</xdr:colOff>
      <xdr:row>33</xdr:row>
      <xdr:rowOff>1885695</xdr:rowOff>
    </xdr:to>
    <xdr:pic>
      <xdr:nvPicPr>
        <xdr:cNvPr id="13" name="Picture 12">
          <a:extLst>
            <a:ext uri="{FF2B5EF4-FFF2-40B4-BE49-F238E27FC236}">
              <a16:creationId xmlns:a16="http://schemas.microsoft.com/office/drawing/2014/main" xmlns="" id="{D19C0CFF-A464-4165-87BE-73DB95AD3FDE}"/>
            </a:ext>
          </a:extLst>
        </xdr:cNvPr>
        <xdr:cNvPicPr>
          <a:picLocks noChangeAspect="1"/>
        </xdr:cNvPicPr>
      </xdr:nvPicPr>
      <xdr:blipFill>
        <a:blip xmlns:r="http://schemas.openxmlformats.org/officeDocument/2006/relationships" r:embed="rId12"/>
        <a:stretch>
          <a:fillRect/>
        </a:stretch>
      </xdr:blipFill>
      <xdr:spPr>
        <a:xfrm>
          <a:off x="5398293" y="48768000"/>
          <a:ext cx="2237426" cy="1457070"/>
        </a:xfrm>
        <a:prstGeom prst="rect">
          <a:avLst/>
        </a:prstGeom>
      </xdr:spPr>
    </xdr:pic>
    <xdr:clientData/>
  </xdr:twoCellAnchor>
  <xdr:twoCellAnchor>
    <xdr:from>
      <xdr:col>4</xdr:col>
      <xdr:colOff>452437</xdr:colOff>
      <xdr:row>34</xdr:row>
      <xdr:rowOff>785812</xdr:rowOff>
    </xdr:from>
    <xdr:to>
      <xdr:col>4</xdr:col>
      <xdr:colOff>3360481</xdr:colOff>
      <xdr:row>34</xdr:row>
      <xdr:rowOff>3395126</xdr:rowOff>
    </xdr:to>
    <xdr:pic>
      <xdr:nvPicPr>
        <xdr:cNvPr id="14" name="Picture 13">
          <a:extLst>
            <a:ext uri="{FF2B5EF4-FFF2-40B4-BE49-F238E27FC236}">
              <a16:creationId xmlns:a16="http://schemas.microsoft.com/office/drawing/2014/main" xmlns="" id="{20913FD5-335A-41E2-A92B-196D5C603AF2}"/>
            </a:ext>
          </a:extLst>
        </xdr:cNvPr>
        <xdr:cNvPicPr>
          <a:picLocks noChangeAspect="1"/>
        </xdr:cNvPicPr>
      </xdr:nvPicPr>
      <xdr:blipFill>
        <a:blip xmlns:r="http://schemas.openxmlformats.org/officeDocument/2006/relationships" r:embed="rId13"/>
        <a:stretch>
          <a:fillRect/>
        </a:stretch>
      </xdr:blipFill>
      <xdr:spPr>
        <a:xfrm>
          <a:off x="5148262" y="51106387"/>
          <a:ext cx="2908044" cy="2609314"/>
        </a:xfrm>
        <a:prstGeom prst="rect">
          <a:avLst/>
        </a:prstGeom>
      </xdr:spPr>
    </xdr:pic>
    <xdr:clientData/>
  </xdr:twoCellAnchor>
  <xdr:twoCellAnchor>
    <xdr:from>
      <xdr:col>4</xdr:col>
      <xdr:colOff>392905</xdr:colOff>
      <xdr:row>35</xdr:row>
      <xdr:rowOff>666750</xdr:rowOff>
    </xdr:from>
    <xdr:to>
      <xdr:col>4</xdr:col>
      <xdr:colOff>3294853</xdr:colOff>
      <xdr:row>35</xdr:row>
      <xdr:rowOff>3276064</xdr:rowOff>
    </xdr:to>
    <xdr:pic>
      <xdr:nvPicPr>
        <xdr:cNvPr id="15" name="Picture 14">
          <a:extLst>
            <a:ext uri="{FF2B5EF4-FFF2-40B4-BE49-F238E27FC236}">
              <a16:creationId xmlns:a16="http://schemas.microsoft.com/office/drawing/2014/main" xmlns="" id="{B176F54D-5268-493C-A083-EE6C74404504}"/>
            </a:ext>
          </a:extLst>
        </xdr:cNvPr>
        <xdr:cNvPicPr>
          <a:picLocks noChangeAspect="1"/>
        </xdr:cNvPicPr>
      </xdr:nvPicPr>
      <xdr:blipFill>
        <a:blip xmlns:r="http://schemas.openxmlformats.org/officeDocument/2006/relationships" r:embed="rId14"/>
        <a:stretch>
          <a:fillRect/>
        </a:stretch>
      </xdr:blipFill>
      <xdr:spPr>
        <a:xfrm>
          <a:off x="5088730" y="54435375"/>
          <a:ext cx="2901948" cy="26093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819150</xdr:colOff>
      <xdr:row>41</xdr:row>
      <xdr:rowOff>152400</xdr:rowOff>
    </xdr:to>
    <xdr:graphicFrame macro="">
      <xdr:nvGraphicFramePr>
        <xdr:cNvPr id="2" name="Chart 14">
          <a:extLst>
            <a:ext uri="{FF2B5EF4-FFF2-40B4-BE49-F238E27FC236}">
              <a16:creationId xmlns:a16="http://schemas.microsoft.com/office/drawing/2014/main" xmlns="" id="{FEB27C2C-198D-4339-9D67-854E30C87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704850</xdr:colOff>
      <xdr:row>23</xdr:row>
      <xdr:rowOff>47625</xdr:rowOff>
    </xdr:from>
    <xdr:to>
      <xdr:col>11</xdr:col>
      <xdr:colOff>180975</xdr:colOff>
      <xdr:row>41</xdr:row>
      <xdr:rowOff>152400</xdr:rowOff>
    </xdr:to>
    <xdr:graphicFrame macro="">
      <xdr:nvGraphicFramePr>
        <xdr:cNvPr id="3" name="Chart 16">
          <a:extLst>
            <a:ext uri="{FF2B5EF4-FFF2-40B4-BE49-F238E27FC236}">
              <a16:creationId xmlns:a16="http://schemas.microsoft.com/office/drawing/2014/main" xmlns="" id="{647CCB9A-F665-41C7-A831-B5E4248F9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66675</xdr:colOff>
      <xdr:row>23</xdr:row>
      <xdr:rowOff>47625</xdr:rowOff>
    </xdr:from>
    <xdr:to>
      <xdr:col>16</xdr:col>
      <xdr:colOff>0</xdr:colOff>
      <xdr:row>41</xdr:row>
      <xdr:rowOff>152400</xdr:rowOff>
    </xdr:to>
    <xdr:graphicFrame macro="">
      <xdr:nvGraphicFramePr>
        <xdr:cNvPr id="4" name="Chart 17">
          <a:extLst>
            <a:ext uri="{FF2B5EF4-FFF2-40B4-BE49-F238E27FC236}">
              <a16:creationId xmlns:a16="http://schemas.microsoft.com/office/drawing/2014/main" xmlns="" id="{28102330-26E6-45B5-A382-FD3ECCDE0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xdr:row>
      <xdr:rowOff>19050</xdr:rowOff>
    </xdr:from>
    <xdr:to>
      <xdr:col>11</xdr:col>
      <xdr:colOff>247650</xdr:colOff>
      <xdr:row>2</xdr:row>
      <xdr:rowOff>38100</xdr:rowOff>
    </xdr:to>
    <xdr:sp macro="" textlink="" fLocksText="0">
      <xdr:nvSpPr>
        <xdr:cNvPr id="5" name="Text Box 23">
          <a:extLst>
            <a:ext uri="{FF2B5EF4-FFF2-40B4-BE49-F238E27FC236}">
              <a16:creationId xmlns:a16="http://schemas.microsoft.com/office/drawing/2014/main" xmlns="" id="{BFA46FEA-2142-40C6-9200-F4449A01916D}"/>
            </a:ext>
          </a:extLst>
        </xdr:cNvPr>
        <xdr:cNvSpPr txBox="1">
          <a:spLocks noChangeArrowheads="1"/>
        </xdr:cNvSpPr>
      </xdr:nvSpPr>
      <xdr:spPr bwMode="auto">
        <a:xfrm>
          <a:off x="57150" y="180975"/>
          <a:ext cx="7658100" cy="323850"/>
        </a:xfrm>
        <a:prstGeom prst="rect">
          <a:avLst/>
        </a:prstGeom>
        <a:noFill/>
        <a:ln w="9525">
          <a:noFill/>
          <a:miter lim="800000"/>
          <a:headEnd/>
          <a:tailEnd/>
        </a:ln>
      </xdr:spPr>
      <xdr:txBody>
        <a:bodyPr vertOverflow="clip" wrap="square" lIns="36576" tIns="32004" rIns="0" bIns="0" anchor="t" upright="1"/>
        <a:lstStyle/>
        <a:p>
          <a:pPr algn="l" rtl="0">
            <a:defRPr sz="1000"/>
          </a:pPr>
          <a:r>
            <a:rPr lang="en-US" sz="1600" b="0" i="0" u="none" strike="noStrike" baseline="0">
              <a:solidFill>
                <a:srgbClr val="000000"/>
              </a:solidFill>
              <a:latin typeface="Arial"/>
              <a:cs typeface="Arial"/>
            </a:rPr>
            <a:t>Votage Mode Continuous Current Non Isolated Buck Loop Compensation</a:t>
          </a:r>
        </a:p>
      </xdr:txBody>
    </xdr:sp>
    <xdr:clientData fLocksWithSheet="0"/>
  </xdr:twoCellAnchor>
  <xdr:twoCellAnchor>
    <xdr:from>
      <xdr:col>11</xdr:col>
      <xdr:colOff>38100</xdr:colOff>
      <xdr:row>6</xdr:row>
      <xdr:rowOff>28575</xdr:rowOff>
    </xdr:from>
    <xdr:to>
      <xdr:col>12</xdr:col>
      <xdr:colOff>373469</xdr:colOff>
      <xdr:row>8</xdr:row>
      <xdr:rowOff>142875</xdr:rowOff>
    </xdr:to>
    <xdr:sp macro="[4]!Copy_resistors" textlink="">
      <xdr:nvSpPr>
        <xdr:cNvPr id="6" name="Text Box 79">
          <a:extLst>
            <a:ext uri="{FF2B5EF4-FFF2-40B4-BE49-F238E27FC236}">
              <a16:creationId xmlns:a16="http://schemas.microsoft.com/office/drawing/2014/main" xmlns="" id="{E04C4061-53BF-439E-86A5-472627F636AF}"/>
            </a:ext>
          </a:extLst>
        </xdr:cNvPr>
        <xdr:cNvSpPr txBox="1">
          <a:spLocks noChangeArrowheads="1"/>
        </xdr:cNvSpPr>
      </xdr:nvSpPr>
      <xdr:spPr bwMode="auto">
        <a:xfrm>
          <a:off x="7505700" y="1152525"/>
          <a:ext cx="668744" cy="447675"/>
        </a:xfrm>
        <a:prstGeom prst="rect">
          <a:avLst/>
        </a:prstGeom>
        <a:solidFill>
          <a:srgbClr val="CCFFCC"/>
        </a:solidFill>
        <a:ln w="19050">
          <a:solidFill>
            <a:srgbClr val="008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Copy Std. Values to Man. Values</a:t>
          </a:r>
        </a:p>
      </xdr:txBody>
    </xdr:sp>
    <xdr:clientData/>
  </xdr:twoCellAnchor>
  <xdr:twoCellAnchor>
    <xdr:from>
      <xdr:col>12</xdr:col>
      <xdr:colOff>438150</xdr:colOff>
      <xdr:row>6</xdr:row>
      <xdr:rowOff>19050</xdr:rowOff>
    </xdr:from>
    <xdr:to>
      <xdr:col>14</xdr:col>
      <xdr:colOff>348705</xdr:colOff>
      <xdr:row>9</xdr:row>
      <xdr:rowOff>104775</xdr:rowOff>
    </xdr:to>
    <xdr:sp macro="" textlink="">
      <xdr:nvSpPr>
        <xdr:cNvPr id="7" name="Text Box 81">
          <a:extLst>
            <a:ext uri="{FF2B5EF4-FFF2-40B4-BE49-F238E27FC236}">
              <a16:creationId xmlns:a16="http://schemas.microsoft.com/office/drawing/2014/main" xmlns="" id="{571D93B9-09DE-473A-9A28-1125F95FEA61}"/>
            </a:ext>
          </a:extLst>
        </xdr:cNvPr>
        <xdr:cNvSpPr txBox="1">
          <a:spLocks noChangeArrowheads="1"/>
        </xdr:cNvSpPr>
      </xdr:nvSpPr>
      <xdr:spPr bwMode="auto">
        <a:xfrm>
          <a:off x="8239125" y="1143000"/>
          <a:ext cx="2053680" cy="5810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Green button to the left allows the user to fix the compensation network to the calculated values so that analysis can be done when the PSU parameters are varied.</a:t>
          </a:r>
        </a:p>
      </xdr:txBody>
    </xdr:sp>
    <xdr:clientData/>
  </xdr:twoCellAnchor>
  <xdr:twoCellAnchor editAs="oneCell">
    <xdr:from>
      <xdr:col>11</xdr:col>
      <xdr:colOff>152400</xdr:colOff>
      <xdr:row>9</xdr:row>
      <xdr:rowOff>123825</xdr:rowOff>
    </xdr:from>
    <xdr:to>
      <xdr:col>14</xdr:col>
      <xdr:colOff>0</xdr:colOff>
      <xdr:row>22</xdr:row>
      <xdr:rowOff>152400</xdr:rowOff>
    </xdr:to>
    <xdr:pic>
      <xdr:nvPicPr>
        <xdr:cNvPr id="8" name="Picture 117">
          <a:extLst>
            <a:ext uri="{FF2B5EF4-FFF2-40B4-BE49-F238E27FC236}">
              <a16:creationId xmlns:a16="http://schemas.microsoft.com/office/drawing/2014/main" xmlns="" id="{CC8DC5C8-3C04-491E-8B78-3F0A4C76C5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0" y="1743075"/>
          <a:ext cx="2400300" cy="2190750"/>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0232804\Documents\BSR-MV\TPS544C20\Tools\Excel\TPS546C23%20Updated%20Spreadshe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0232804\Documents\BSR-MV\TPS546C23_C20_C20A\Tools\Checklist\Copy%20of%20Calculator_Sync_Buck_MOSFET_Loss_try_v5_unprotec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PS546C23__CompensationToo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Data"/>
      <sheetName val="designCalculations"/>
      <sheetName val="partData (2)"/>
      <sheetName val="Sheet1"/>
    </sheetNames>
    <sheetDataSet>
      <sheetData sheetId="0" refreshError="1"/>
      <sheetData sheetId="1">
        <row r="4">
          <cell r="C4" t="str">
            <v>TPS544C20</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and Results"/>
      <sheetName val="TPS546C23__CompensationTool"/>
    </sheetNames>
    <definedNames>
      <definedName name="Copy_resistors"/>
    </definedNames>
    <sheetDataSet>
      <sheetData sheetId="0" refreshError="1"/>
      <sheetData sheetId="1">
        <row r="78">
          <cell r="W78" t="str">
            <v>GBWP limit</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i.com/lit/an/slva689/slva689.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44"/>
  <sheetViews>
    <sheetView tabSelected="1" zoomScale="85" zoomScaleNormal="85" workbookViewId="0">
      <pane ySplit="2" topLeftCell="A3" activePane="bottomLeft" state="frozen"/>
      <selection pane="bottomLeft" activeCell="E9" sqref="E9"/>
    </sheetView>
  </sheetViews>
  <sheetFormatPr defaultColWidth="9.140625" defaultRowHeight="14.25" x14ac:dyDescent="0.25"/>
  <cols>
    <col min="1" max="1" width="2.7109375" style="3" customWidth="1"/>
    <col min="2" max="2" width="20.85546875" style="3" bestFit="1" customWidth="1"/>
    <col min="3" max="6" width="15.7109375" style="3" customWidth="1"/>
    <col min="7" max="7" width="6.28515625" style="3" bestFit="1" customWidth="1"/>
    <col min="8" max="8" width="113.28515625" style="3" bestFit="1" customWidth="1"/>
    <col min="9" max="9" width="13.5703125" style="3" bestFit="1" customWidth="1"/>
    <col min="10" max="10" width="37.85546875" style="3" bestFit="1" customWidth="1"/>
    <col min="11" max="11" width="17.85546875" style="3" bestFit="1" customWidth="1"/>
    <col min="12" max="12" width="14.5703125" style="3" bestFit="1" customWidth="1"/>
    <col min="13" max="13" width="13.140625" style="3" bestFit="1" customWidth="1"/>
    <col min="14" max="14" width="8.28515625" style="3" bestFit="1" customWidth="1"/>
    <col min="15" max="15" width="7.85546875" style="3" bestFit="1" customWidth="1"/>
    <col min="16" max="16" width="7.42578125" style="3" bestFit="1" customWidth="1"/>
    <col min="17" max="17" width="16.28515625" style="3" bestFit="1" customWidth="1"/>
    <col min="18" max="18" width="3.85546875" style="3" bestFit="1" customWidth="1"/>
    <col min="19" max="16384" width="9.140625" style="3"/>
  </cols>
  <sheetData>
    <row r="1" spans="2:18" ht="24" thickBot="1" x14ac:dyDescent="0.3">
      <c r="B1" s="361" t="s">
        <v>75</v>
      </c>
      <c r="C1" s="361"/>
      <c r="D1" s="361"/>
      <c r="E1" s="361"/>
      <c r="F1" s="361"/>
      <c r="G1" s="361"/>
      <c r="H1" s="361"/>
    </row>
    <row r="2" spans="2:18" ht="45.75" thickBot="1" x14ac:dyDescent="0.3">
      <c r="B2" s="4" t="s">
        <v>76</v>
      </c>
      <c r="C2" s="4" t="s">
        <v>77</v>
      </c>
      <c r="D2" s="4" t="s">
        <v>78</v>
      </c>
      <c r="E2" s="4" t="s">
        <v>79</v>
      </c>
      <c r="F2" s="4" t="s">
        <v>80</v>
      </c>
      <c r="G2" s="4" t="s">
        <v>81</v>
      </c>
      <c r="H2" s="4" t="s">
        <v>82</v>
      </c>
    </row>
    <row r="3" spans="2:18" s="5" customFormat="1" ht="16.5" thickBot="1" x14ac:dyDescent="0.3">
      <c r="B3" s="362" t="s">
        <v>83</v>
      </c>
      <c r="C3" s="363"/>
      <c r="D3" s="363"/>
      <c r="E3" s="363"/>
      <c r="F3" s="363"/>
      <c r="G3" s="363"/>
      <c r="H3" s="364"/>
      <c r="J3" s="3"/>
      <c r="K3" s="3"/>
      <c r="L3" s="3"/>
      <c r="M3" s="3"/>
      <c r="N3" s="3"/>
      <c r="O3" s="3"/>
      <c r="P3" s="3"/>
      <c r="Q3" s="3"/>
      <c r="R3" s="3"/>
    </row>
    <row r="4" spans="2:18" ht="18" x14ac:dyDescent="0.25">
      <c r="B4" s="6" t="s">
        <v>84</v>
      </c>
      <c r="C4" s="7" t="s">
        <v>478</v>
      </c>
      <c r="D4" s="8"/>
      <c r="E4" s="8"/>
      <c r="F4" s="8"/>
      <c r="G4" s="9"/>
      <c r="H4" s="10" t="s">
        <v>85</v>
      </c>
      <c r="J4" s="11" t="s">
        <v>86</v>
      </c>
      <c r="K4" s="12"/>
      <c r="L4" s="12"/>
      <c r="M4" s="12"/>
      <c r="N4" s="12"/>
      <c r="O4" s="12"/>
      <c r="P4" s="5"/>
      <c r="Q4" s="5"/>
      <c r="R4" s="5"/>
    </row>
    <row r="5" spans="2:18" ht="15" hidden="1" x14ac:dyDescent="0.25">
      <c r="B5" s="6" t="s">
        <v>87</v>
      </c>
      <c r="C5" s="13">
        <f>VLOOKUP($C$4,partData!$A$3:$N$10,14,FALSE)</f>
        <v>0</v>
      </c>
      <c r="D5" s="14"/>
      <c r="E5" s="14"/>
      <c r="F5" s="14"/>
      <c r="G5" s="15" t="s">
        <v>88</v>
      </c>
      <c r="H5" s="16" t="s">
        <v>89</v>
      </c>
      <c r="J5" s="17" t="s">
        <v>90</v>
      </c>
      <c r="K5" s="12"/>
      <c r="L5" s="12"/>
      <c r="M5" s="18"/>
      <c r="N5" s="18"/>
      <c r="O5" s="19"/>
    </row>
    <row r="6" spans="2:18" ht="15" x14ac:dyDescent="0.25">
      <c r="B6" s="20" t="s">
        <v>91</v>
      </c>
      <c r="C6" s="13">
        <f>VLOOKUP($C$4,partData!$A$3:$N$10,2,FALSE)</f>
        <v>4.5</v>
      </c>
      <c r="D6" s="14"/>
      <c r="E6" s="14"/>
      <c r="F6" s="14"/>
      <c r="G6" s="15" t="s">
        <v>88</v>
      </c>
      <c r="H6" s="16" t="s">
        <v>92</v>
      </c>
      <c r="J6" s="21" t="s">
        <v>93</v>
      </c>
      <c r="K6" s="12"/>
      <c r="L6" s="12"/>
      <c r="M6" s="18"/>
      <c r="N6" s="18"/>
      <c r="O6" s="19"/>
    </row>
    <row r="7" spans="2:18" ht="15" x14ac:dyDescent="0.25">
      <c r="B7" s="20" t="s">
        <v>94</v>
      </c>
      <c r="C7" s="13">
        <f>VLOOKUP($C$4,partData!$A$3:$N$10,3,FALSE)</f>
        <v>18</v>
      </c>
      <c r="D7" s="14"/>
      <c r="E7" s="14"/>
      <c r="F7" s="14"/>
      <c r="G7" s="15" t="s">
        <v>88</v>
      </c>
      <c r="H7" s="16" t="s">
        <v>95</v>
      </c>
      <c r="J7" s="22" t="s">
        <v>96</v>
      </c>
      <c r="K7" s="12"/>
      <c r="L7" s="12"/>
      <c r="M7" s="19"/>
      <c r="N7" s="19"/>
      <c r="O7" s="19"/>
    </row>
    <row r="8" spans="2:18" ht="15" x14ac:dyDescent="0.25">
      <c r="B8" s="20" t="s">
        <v>97</v>
      </c>
      <c r="C8" s="13">
        <f>VLOOKUP($C$4,partData!$A$3:$N$10,10,FALSE)</f>
        <v>0.6</v>
      </c>
      <c r="D8" s="14"/>
      <c r="E8" s="14"/>
      <c r="F8" s="14"/>
      <c r="G8" s="15" t="s">
        <v>88</v>
      </c>
      <c r="H8" s="16" t="s">
        <v>98</v>
      </c>
      <c r="J8" s="23" t="s">
        <v>99</v>
      </c>
      <c r="K8" s="12"/>
      <c r="L8" s="12"/>
    </row>
    <row r="9" spans="2:18" ht="15" x14ac:dyDescent="0.25">
      <c r="B9" s="20" t="s">
        <v>100</v>
      </c>
      <c r="C9" s="13">
        <f>VLOOKUP($C$4,partData!$A$3:$N$10,4,FALSE)</f>
        <v>35</v>
      </c>
      <c r="D9" s="14"/>
      <c r="E9" s="14"/>
      <c r="F9" s="14"/>
      <c r="G9" s="15" t="s">
        <v>101</v>
      </c>
      <c r="H9" s="16" t="s">
        <v>102</v>
      </c>
      <c r="J9" s="24" t="s">
        <v>103</v>
      </c>
      <c r="K9" s="12"/>
      <c r="L9" s="12"/>
    </row>
    <row r="10" spans="2:18" ht="15.75" thickBot="1" x14ac:dyDescent="0.3">
      <c r="B10" s="20" t="s">
        <v>110</v>
      </c>
      <c r="C10" s="13" t="str">
        <f>VLOOKUP($C$4,partData!$A$3:$N$10,11,FALSE)</f>
        <v>Hiccup/Latch Off</v>
      </c>
      <c r="D10" s="14"/>
      <c r="E10" s="14"/>
      <c r="F10" s="14"/>
      <c r="G10" s="15"/>
      <c r="H10" s="16" t="s">
        <v>111</v>
      </c>
      <c r="J10" s="25" t="s">
        <v>104</v>
      </c>
      <c r="K10" s="12"/>
      <c r="L10" s="12"/>
    </row>
    <row r="11" spans="2:18" ht="16.5" thickBot="1" x14ac:dyDescent="0.3">
      <c r="B11" s="20" t="s">
        <v>113</v>
      </c>
      <c r="C11" s="13" t="str">
        <f>VLOOKUP($C$4,partData!$A$3:$N$10,12,FALSE)</f>
        <v>Hiccup/Latch Off</v>
      </c>
      <c r="D11" s="14"/>
      <c r="E11" s="14"/>
      <c r="F11" s="14"/>
      <c r="G11" s="15"/>
      <c r="H11" s="16" t="s">
        <v>114</v>
      </c>
      <c r="P11" s="365" t="s">
        <v>106</v>
      </c>
      <c r="Q11" s="366"/>
      <c r="R11" s="367"/>
    </row>
    <row r="12" spans="2:18" x14ac:dyDescent="0.25">
      <c r="B12" s="20" t="s">
        <v>115</v>
      </c>
      <c r="C12" s="13">
        <f>VLOOKUP($C$4,partData!$A$3:$N$10,8,FALSE)</f>
        <v>42</v>
      </c>
      <c r="D12" s="14"/>
      <c r="E12" s="14"/>
      <c r="F12" s="14"/>
      <c r="G12" s="15" t="s">
        <v>101</v>
      </c>
      <c r="H12" s="16" t="s">
        <v>116</v>
      </c>
      <c r="P12" s="20" t="s">
        <v>108</v>
      </c>
      <c r="Q12" s="26">
        <f>Lout</f>
        <v>0.3</v>
      </c>
      <c r="R12" s="16" t="s">
        <v>109</v>
      </c>
    </row>
    <row r="13" spans="2:18" x14ac:dyDescent="0.25">
      <c r="B13" s="20" t="s">
        <v>120</v>
      </c>
      <c r="C13" s="13">
        <f>VLOOKUP($C$4,partData!$A$3:$P$10,9,FALSE)</f>
        <v>100</v>
      </c>
      <c r="D13" s="14"/>
      <c r="E13" s="14"/>
      <c r="F13" s="14"/>
      <c r="G13" s="15" t="s">
        <v>121</v>
      </c>
      <c r="H13" s="16" t="s">
        <v>122</v>
      </c>
      <c r="P13" s="20" t="s">
        <v>63</v>
      </c>
      <c r="Q13" s="26">
        <f>Cout</f>
        <v>1081</v>
      </c>
      <c r="R13" s="16" t="s">
        <v>112</v>
      </c>
    </row>
    <row r="14" spans="2:18" x14ac:dyDescent="0.25">
      <c r="B14" s="20" t="s">
        <v>125</v>
      </c>
      <c r="C14" s="13">
        <f>VLOOKUP($C$4,partData!$A$3:$P$10,15,FALSE)</f>
        <v>515</v>
      </c>
      <c r="D14" s="14"/>
      <c r="E14" s="14"/>
      <c r="F14" s="14"/>
      <c r="G14" s="15" t="s">
        <v>121</v>
      </c>
      <c r="H14" s="16" t="s">
        <v>126</v>
      </c>
      <c r="P14" s="20" t="s">
        <v>62</v>
      </c>
      <c r="Q14" s="26">
        <f>Cin</f>
        <v>10</v>
      </c>
      <c r="R14" s="16" t="s">
        <v>112</v>
      </c>
    </row>
    <row r="15" spans="2:18" x14ac:dyDescent="0.25">
      <c r="B15" s="20" t="s">
        <v>129</v>
      </c>
      <c r="C15" s="13">
        <f>VLOOKUP($C$4,partData!$A$3:$Q$10,16,FALSE)</f>
        <v>3.18</v>
      </c>
      <c r="D15" s="14"/>
      <c r="E15" s="14"/>
      <c r="F15" s="14"/>
      <c r="G15" s="15" t="s">
        <v>130</v>
      </c>
      <c r="H15" s="16" t="s">
        <v>131</v>
      </c>
      <c r="P15" s="20" t="s">
        <v>117</v>
      </c>
      <c r="Q15" s="26" t="e">
        <f>Rfb_b_2</f>
        <v>#NAME?</v>
      </c>
      <c r="R15" s="16" t="s">
        <v>118</v>
      </c>
    </row>
    <row r="16" spans="2:18" ht="15" thickBot="1" x14ac:dyDescent="0.3">
      <c r="B16" s="20" t="s">
        <v>133</v>
      </c>
      <c r="C16" s="13">
        <f>VLOOKUP($C$4,partData!$A$3:$Q$10,17,FALSE)</f>
        <v>1.25</v>
      </c>
      <c r="D16" s="14"/>
      <c r="E16" s="14"/>
      <c r="F16" s="14"/>
      <c r="G16" s="15" t="s">
        <v>130</v>
      </c>
      <c r="H16" s="16" t="s">
        <v>134</v>
      </c>
      <c r="P16" s="20" t="s">
        <v>119</v>
      </c>
      <c r="Q16" s="26" t="e">
        <f>Rfb_t_2</f>
        <v>#NAME?</v>
      </c>
      <c r="R16" s="16" t="s">
        <v>118</v>
      </c>
    </row>
    <row r="17" spans="2:18" ht="16.5" thickBot="1" x14ac:dyDescent="0.3">
      <c r="B17" s="362" t="s">
        <v>136</v>
      </c>
      <c r="C17" s="363"/>
      <c r="D17" s="363"/>
      <c r="E17" s="363"/>
      <c r="F17" s="363"/>
      <c r="G17" s="363"/>
      <c r="H17" s="364"/>
      <c r="P17" s="20" t="s">
        <v>123</v>
      </c>
      <c r="Q17" s="26" t="e">
        <f>Cff</f>
        <v>#NAME?</v>
      </c>
      <c r="R17" s="16" t="s">
        <v>124</v>
      </c>
    </row>
    <row r="18" spans="2:18" x14ac:dyDescent="0.25">
      <c r="B18" s="20" t="s">
        <v>138</v>
      </c>
      <c r="C18" s="30">
        <v>8</v>
      </c>
      <c r="D18" s="14"/>
      <c r="E18" s="14"/>
      <c r="F18" s="14"/>
      <c r="G18" s="15" t="s">
        <v>88</v>
      </c>
      <c r="H18" s="16" t="s">
        <v>139</v>
      </c>
      <c r="P18" s="20" t="s">
        <v>127</v>
      </c>
      <c r="Q18" s="26" t="e">
        <f>Css</f>
        <v>#NAME?</v>
      </c>
      <c r="R18" s="16" t="s">
        <v>128</v>
      </c>
    </row>
    <row r="19" spans="2:18" x14ac:dyDescent="0.25">
      <c r="B19" s="20" t="s">
        <v>140</v>
      </c>
      <c r="C19" s="30">
        <v>12</v>
      </c>
      <c r="D19" s="14"/>
      <c r="E19" s="14"/>
      <c r="F19" s="14"/>
      <c r="G19" s="15" t="s">
        <v>88</v>
      </c>
      <c r="H19" s="16" t="s">
        <v>141</v>
      </c>
      <c r="P19" s="20" t="s">
        <v>132</v>
      </c>
      <c r="Q19" s="26">
        <f>MAX(1,Cvcc)</f>
        <v>4.7</v>
      </c>
      <c r="R19" s="16" t="s">
        <v>112</v>
      </c>
    </row>
    <row r="20" spans="2:18" x14ac:dyDescent="0.25">
      <c r="B20" s="20" t="s">
        <v>142</v>
      </c>
      <c r="C20" s="30">
        <v>14</v>
      </c>
      <c r="D20" s="14"/>
      <c r="E20" s="14"/>
      <c r="F20" s="14"/>
      <c r="G20" s="15" t="s">
        <v>88</v>
      </c>
      <c r="H20" s="16" t="s">
        <v>143</v>
      </c>
      <c r="P20" s="20" t="s">
        <v>135</v>
      </c>
      <c r="Q20" s="26">
        <f>MAX(0.1,Cboot)</f>
        <v>0.1</v>
      </c>
      <c r="R20" s="16" t="s">
        <v>112</v>
      </c>
    </row>
    <row r="21" spans="2:18" ht="15" thickBot="1" x14ac:dyDescent="0.3">
      <c r="B21" s="20" t="s">
        <v>144</v>
      </c>
      <c r="C21" s="30">
        <v>0.9</v>
      </c>
      <c r="D21" s="14"/>
      <c r="E21" s="14"/>
      <c r="F21" s="14"/>
      <c r="G21" s="15" t="s">
        <v>88</v>
      </c>
      <c r="H21" s="16" t="s">
        <v>145</v>
      </c>
      <c r="P21" s="27" t="s">
        <v>137</v>
      </c>
      <c r="Q21" s="28">
        <f>Rpg</f>
        <v>10</v>
      </c>
      <c r="R21" s="29" t="s">
        <v>118</v>
      </c>
    </row>
    <row r="22" spans="2:18" ht="15" thickBot="1" x14ac:dyDescent="0.3">
      <c r="B22" s="20" t="s">
        <v>146</v>
      </c>
      <c r="C22" s="30">
        <v>35</v>
      </c>
      <c r="D22" s="14"/>
      <c r="E22" s="14"/>
      <c r="F22" s="14"/>
      <c r="G22" s="15" t="s">
        <v>101</v>
      </c>
      <c r="H22" s="16" t="s">
        <v>147</v>
      </c>
    </row>
    <row r="23" spans="2:18" ht="16.5" thickBot="1" x14ac:dyDescent="0.3">
      <c r="B23" s="368" t="s">
        <v>148</v>
      </c>
      <c r="C23" s="369"/>
      <c r="D23" s="369"/>
      <c r="E23" s="369"/>
      <c r="F23" s="369"/>
      <c r="G23" s="369"/>
      <c r="H23" s="370"/>
    </row>
    <row r="24" spans="2:18" x14ac:dyDescent="0.25">
      <c r="B24" s="6" t="s">
        <v>149</v>
      </c>
      <c r="C24" s="32"/>
      <c r="D24" s="156">
        <f>Vout/Vin_max*1/(ton_min_max*0.000000001)*0.001</f>
        <v>642.85714285714289</v>
      </c>
      <c r="E24" s="32"/>
      <c r="F24" s="32"/>
      <c r="G24" s="33" t="s">
        <v>150</v>
      </c>
      <c r="H24" s="10" t="s">
        <v>151</v>
      </c>
    </row>
    <row r="25" spans="2:18" ht="28.5" x14ac:dyDescent="0.25">
      <c r="B25" s="36" t="s">
        <v>152</v>
      </c>
      <c r="C25" s="14"/>
      <c r="D25" s="157">
        <f>(Vin_min-Vout-Iout*2*(DCR_Ohm+Rdson_HS_Ohm))/(toff_min_max_sec*(Vin_min-Iout*2*(Rdson_HS_Ohm-Rdson_LS_Ohm)))*10^-3</f>
        <v>1646.0994757708668</v>
      </c>
      <c r="E25" s="14"/>
      <c r="F25" s="14"/>
      <c r="G25" s="37" t="s">
        <v>150</v>
      </c>
      <c r="H25" s="38" t="s">
        <v>153</v>
      </c>
    </row>
    <row r="26" spans="2:18" x14ac:dyDescent="0.25">
      <c r="B26" s="20" t="s">
        <v>154</v>
      </c>
      <c r="C26" s="30">
        <v>500</v>
      </c>
      <c r="D26" s="14"/>
      <c r="E26" s="14"/>
      <c r="F26" s="14"/>
      <c r="G26" s="15" t="s">
        <v>150</v>
      </c>
      <c r="H26" s="16" t="s">
        <v>155</v>
      </c>
    </row>
    <row r="27" spans="2:18" ht="16.5" customHeight="1" x14ac:dyDescent="0.25">
      <c r="B27" s="20" t="s">
        <v>156</v>
      </c>
      <c r="C27" s="39"/>
      <c r="D27" s="40">
        <f>(2.01*10^4)/fsw_select</f>
        <v>40.199999999999996</v>
      </c>
      <c r="E27" s="14"/>
      <c r="F27" s="14"/>
      <c r="G27" s="15" t="s">
        <v>118</v>
      </c>
      <c r="H27" s="16" t="s">
        <v>157</v>
      </c>
      <c r="P27" s="31"/>
      <c r="Q27" s="31"/>
      <c r="R27" s="31"/>
    </row>
    <row r="28" spans="2:18" x14ac:dyDescent="0.25">
      <c r="B28" s="20" t="s">
        <v>158</v>
      </c>
      <c r="C28" s="41"/>
      <c r="D28" s="14"/>
      <c r="E28" s="30">
        <v>40.200000000000003</v>
      </c>
      <c r="F28" s="14"/>
      <c r="G28" s="15" t="s">
        <v>118</v>
      </c>
      <c r="H28" s="16" t="s">
        <v>159</v>
      </c>
      <c r="I28" s="34"/>
      <c r="J28" s="35"/>
      <c r="K28" s="35"/>
      <c r="L28" s="35"/>
      <c r="P28" s="31"/>
      <c r="Q28" s="31"/>
      <c r="R28" s="31"/>
    </row>
    <row r="29" spans="2:18" ht="15" thickBot="1" x14ac:dyDescent="0.3">
      <c r="B29" s="20" t="s">
        <v>160</v>
      </c>
      <c r="C29" s="39"/>
      <c r="D29" s="42"/>
      <c r="E29" s="14"/>
      <c r="F29" s="43">
        <f>(2.01*10^4)/E28</f>
        <v>499.99999999999989</v>
      </c>
      <c r="G29" s="15" t="s">
        <v>150</v>
      </c>
      <c r="H29" s="16" t="s">
        <v>161</v>
      </c>
      <c r="I29" s="35"/>
      <c r="J29" s="35"/>
      <c r="K29" s="35"/>
      <c r="L29" s="35"/>
      <c r="P29" s="31"/>
      <c r="Q29" s="31"/>
      <c r="R29" s="31"/>
    </row>
    <row r="30" spans="2:18" ht="15.75" x14ac:dyDescent="0.25">
      <c r="B30" s="358" t="s">
        <v>162</v>
      </c>
      <c r="C30" s="359"/>
      <c r="D30" s="359"/>
      <c r="E30" s="359"/>
      <c r="F30" s="359"/>
      <c r="G30" s="359"/>
      <c r="H30" s="360"/>
    </row>
    <row r="31" spans="2:18" s="31" customFormat="1" ht="15" thickBot="1" x14ac:dyDescent="0.3">
      <c r="B31" s="374" t="s">
        <v>163</v>
      </c>
      <c r="C31" s="375"/>
      <c r="D31" s="375"/>
      <c r="E31" s="375"/>
      <c r="F31" s="375"/>
      <c r="G31" s="375"/>
      <c r="H31" s="376"/>
      <c r="J31" s="35"/>
      <c r="K31" s="35"/>
      <c r="L31" s="35"/>
      <c r="M31" s="35"/>
      <c r="P31" s="3"/>
      <c r="Q31" s="3"/>
      <c r="R31" s="3"/>
    </row>
    <row r="32" spans="2:18" s="31" customFormat="1" x14ac:dyDescent="0.25">
      <c r="B32" s="46" t="s">
        <v>164</v>
      </c>
      <c r="C32" s="7">
        <v>0.3</v>
      </c>
      <c r="D32" s="14"/>
      <c r="E32" s="14"/>
      <c r="F32" s="14"/>
      <c r="G32" s="33"/>
      <c r="H32" s="10" t="s">
        <v>165</v>
      </c>
      <c r="J32" s="35"/>
      <c r="K32" s="35"/>
      <c r="L32" s="35"/>
      <c r="M32" s="35"/>
      <c r="P32" s="3"/>
      <c r="Q32" s="3"/>
      <c r="R32" s="3"/>
    </row>
    <row r="33" spans="2:23" s="31" customFormat="1" x14ac:dyDescent="0.25">
      <c r="B33" s="46" t="s">
        <v>166</v>
      </c>
      <c r="C33" s="14"/>
      <c r="D33" s="47">
        <f>(1/(Kind*Iout*(fsw/1000))*(((Vin_max-Vout)*Vout)/Vin_max))</f>
        <v>0.16040816326530616</v>
      </c>
      <c r="E33" s="14"/>
      <c r="F33" s="14"/>
      <c r="G33" s="15" t="s">
        <v>109</v>
      </c>
      <c r="H33" s="16" t="s">
        <v>167</v>
      </c>
      <c r="J33" s="35"/>
      <c r="K33" s="35"/>
      <c r="L33" s="35"/>
      <c r="M33" s="35"/>
      <c r="P33" s="19"/>
      <c r="Q33" s="19"/>
      <c r="R33" s="19"/>
    </row>
    <row r="34" spans="2:23" s="31" customFormat="1" x14ac:dyDescent="0.25">
      <c r="B34" s="46" t="s">
        <v>168</v>
      </c>
      <c r="C34" s="14"/>
      <c r="D34" s="47">
        <f>((Vin_max-Vout)*Vout)/(Io_max_IC*0.5*Vin_max*fsw)*1000</f>
        <v>9.6244897959183687E-2</v>
      </c>
      <c r="E34" s="14"/>
      <c r="F34" s="14"/>
      <c r="G34" s="15" t="s">
        <v>109</v>
      </c>
      <c r="H34" s="16" t="s">
        <v>169</v>
      </c>
      <c r="J34" s="35"/>
      <c r="K34" s="35"/>
      <c r="L34" s="35"/>
      <c r="M34" s="35"/>
      <c r="P34" s="19"/>
      <c r="Q34" s="19"/>
      <c r="R34" s="19"/>
    </row>
    <row r="35" spans="2:23" s="31" customFormat="1" x14ac:dyDescent="0.25">
      <c r="B35" s="46" t="s">
        <v>170</v>
      </c>
      <c r="C35" s="14"/>
      <c r="D35" s="47">
        <f>((Vin_max-Vout)*Vout)/(Io_max_IC*0.1*Vin_max*fsw)*1000</f>
        <v>0.48122448979591848</v>
      </c>
      <c r="E35" s="14"/>
      <c r="F35" s="14"/>
      <c r="G35" s="15" t="s">
        <v>109</v>
      </c>
      <c r="H35" s="16" t="s">
        <v>171</v>
      </c>
      <c r="J35" s="35"/>
      <c r="K35" s="35"/>
      <c r="L35" s="35"/>
      <c r="M35" s="35"/>
      <c r="P35" s="19"/>
      <c r="Q35" s="19"/>
      <c r="R35" s="19"/>
    </row>
    <row r="36" spans="2:23" s="31" customFormat="1" x14ac:dyDescent="0.25">
      <c r="B36" s="46" t="s">
        <v>108</v>
      </c>
      <c r="C36" s="14"/>
      <c r="D36" s="14"/>
      <c r="E36" s="30">
        <v>0.3</v>
      </c>
      <c r="F36" s="14"/>
      <c r="G36" s="15" t="s">
        <v>109</v>
      </c>
      <c r="H36" s="16" t="s">
        <v>172</v>
      </c>
      <c r="J36" s="35"/>
      <c r="K36" s="35"/>
      <c r="L36" s="35"/>
      <c r="M36" s="35"/>
      <c r="P36" s="19"/>
      <c r="Q36" s="19"/>
      <c r="R36" s="19"/>
    </row>
    <row r="37" spans="2:23" x14ac:dyDescent="0.25">
      <c r="B37" s="46" t="s">
        <v>173</v>
      </c>
      <c r="C37" s="14"/>
      <c r="D37" s="14"/>
      <c r="E37" s="30">
        <v>3</v>
      </c>
      <c r="F37" s="14"/>
      <c r="G37" s="15" t="s">
        <v>130</v>
      </c>
      <c r="H37" s="16" t="s">
        <v>174</v>
      </c>
      <c r="J37" s="44"/>
      <c r="K37" s="19"/>
      <c r="L37" s="19"/>
      <c r="M37" s="44"/>
      <c r="P37" s="19"/>
      <c r="Q37" s="45"/>
      <c r="R37" s="45"/>
    </row>
    <row r="38" spans="2:23" x14ac:dyDescent="0.25">
      <c r="B38" s="46" t="s">
        <v>175</v>
      </c>
      <c r="C38" s="14"/>
      <c r="D38" s="14"/>
      <c r="E38" s="49">
        <v>0.2</v>
      </c>
      <c r="F38" s="14"/>
      <c r="G38" s="15"/>
      <c r="H38" s="16" t="s">
        <v>176</v>
      </c>
      <c r="P38" s="19"/>
      <c r="Q38" s="19"/>
      <c r="R38" s="19"/>
      <c r="S38" s="19"/>
      <c r="T38" s="19"/>
      <c r="U38" s="19"/>
      <c r="V38" s="19"/>
      <c r="W38" s="19"/>
    </row>
    <row r="39" spans="2:23" x14ac:dyDescent="0.25">
      <c r="B39" s="50" t="s">
        <v>177</v>
      </c>
      <c r="C39" s="14"/>
      <c r="D39" s="14"/>
      <c r="E39" s="14"/>
      <c r="F39" s="51">
        <f>1000*((Vin_max-Vout)*Vout)/(Lout*(1-Tol_L)*Vin_max*fsw)</f>
        <v>7.017857142857145</v>
      </c>
      <c r="G39" s="15" t="s">
        <v>101</v>
      </c>
      <c r="H39" s="16" t="s">
        <v>178</v>
      </c>
      <c r="I39" s="19"/>
      <c r="P39" s="19"/>
      <c r="Q39" s="19"/>
      <c r="R39" s="19"/>
      <c r="S39" s="19"/>
      <c r="T39" s="19"/>
      <c r="U39" s="19"/>
    </row>
    <row r="40" spans="2:23" x14ac:dyDescent="0.25">
      <c r="B40" s="50" t="s">
        <v>179</v>
      </c>
      <c r="C40" s="14"/>
      <c r="D40" s="14"/>
      <c r="E40" s="14"/>
      <c r="F40" s="51">
        <f>Iout+(Iripple_max/2)</f>
        <v>38.508928571428569</v>
      </c>
      <c r="G40" s="15" t="s">
        <v>101</v>
      </c>
      <c r="H40" s="16" t="s">
        <v>180</v>
      </c>
      <c r="P40" s="19"/>
      <c r="Q40" s="19"/>
      <c r="R40" s="19"/>
      <c r="S40" s="19"/>
      <c r="T40" s="19"/>
      <c r="U40" s="19"/>
      <c r="V40" s="19"/>
      <c r="W40" s="19"/>
    </row>
    <row r="41" spans="2:23" ht="14.25" customHeight="1" x14ac:dyDescent="0.25">
      <c r="B41" s="50" t="s">
        <v>181</v>
      </c>
      <c r="C41" s="14"/>
      <c r="D41" s="14"/>
      <c r="E41" s="14"/>
      <c r="F41" s="51">
        <f>SQRT(Iout^2+Iripple_max^2)</f>
        <v>35.696642963695496</v>
      </c>
      <c r="G41" s="15" t="s">
        <v>101</v>
      </c>
      <c r="H41" s="16" t="s">
        <v>182</v>
      </c>
      <c r="P41" s="19"/>
      <c r="Q41" s="19"/>
      <c r="R41" s="19"/>
      <c r="S41" s="19"/>
      <c r="T41" s="19"/>
      <c r="U41" s="19"/>
      <c r="V41" s="19"/>
      <c r="W41" s="19"/>
    </row>
    <row r="42" spans="2:23" ht="18" x14ac:dyDescent="0.25">
      <c r="B42" s="52" t="s">
        <v>183</v>
      </c>
      <c r="C42" s="14"/>
      <c r="D42" s="14"/>
      <c r="E42" s="14"/>
      <c r="F42" s="51">
        <f>1000*((Vin_min-Vout)*Vout)/(Lout*(1+Tol_L)*Vin_min*fsw)</f>
        <v>4.4375000000000018</v>
      </c>
      <c r="G42" s="37" t="s">
        <v>101</v>
      </c>
      <c r="H42" s="38" t="s">
        <v>184</v>
      </c>
      <c r="I42" s="48"/>
      <c r="M42" s="19"/>
      <c r="N42" s="19"/>
      <c r="O42" s="45"/>
      <c r="P42" s="19"/>
      <c r="Q42" s="19"/>
      <c r="R42" s="19"/>
      <c r="S42" s="19"/>
      <c r="T42" s="19"/>
      <c r="U42" s="19"/>
      <c r="V42" s="19"/>
      <c r="W42" s="19"/>
    </row>
    <row r="43" spans="2:23" ht="18.75" thickBot="1" x14ac:dyDescent="0.3">
      <c r="B43" s="52" t="s">
        <v>185</v>
      </c>
      <c r="C43" s="14"/>
      <c r="D43" s="14"/>
      <c r="E43" s="14"/>
      <c r="F43" s="53">
        <f>Iout-(Iripple_min/2)</f>
        <v>32.78125</v>
      </c>
      <c r="G43" s="37" t="s">
        <v>101</v>
      </c>
      <c r="H43" s="38" t="s">
        <v>186</v>
      </c>
      <c r="I43" s="48"/>
      <c r="P43" s="19"/>
      <c r="Q43" s="19"/>
      <c r="R43" s="19"/>
      <c r="S43" s="19"/>
      <c r="T43" s="19"/>
      <c r="U43" s="19"/>
      <c r="V43" s="19"/>
      <c r="W43" s="19"/>
    </row>
    <row r="44" spans="2:23" ht="18" x14ac:dyDescent="0.25">
      <c r="B44" s="358" t="s">
        <v>187</v>
      </c>
      <c r="C44" s="359"/>
      <c r="D44" s="359"/>
      <c r="E44" s="359"/>
      <c r="F44" s="359"/>
      <c r="G44" s="359"/>
      <c r="H44" s="360"/>
      <c r="I44" s="48"/>
      <c r="P44" s="19"/>
      <c r="Q44" s="19"/>
      <c r="R44" s="19"/>
      <c r="S44" s="19"/>
      <c r="T44" s="19"/>
      <c r="U44" s="19"/>
      <c r="V44" s="19"/>
      <c r="W44" s="19"/>
    </row>
    <row r="45" spans="2:23" ht="18.75" thickBot="1" x14ac:dyDescent="0.3">
      <c r="B45" s="374" t="s">
        <v>188</v>
      </c>
      <c r="C45" s="375"/>
      <c r="D45" s="375"/>
      <c r="E45" s="375"/>
      <c r="F45" s="375"/>
      <c r="G45" s="375"/>
      <c r="H45" s="376"/>
      <c r="I45" s="48"/>
      <c r="M45" s="19"/>
      <c r="N45" s="19"/>
      <c r="O45" s="45"/>
      <c r="P45" s="19"/>
      <c r="Q45" s="19"/>
      <c r="R45" s="19"/>
      <c r="S45" s="19"/>
      <c r="T45" s="19"/>
      <c r="U45" s="19"/>
      <c r="V45" s="19"/>
      <c r="W45" s="19"/>
    </row>
    <row r="46" spans="2:23" ht="18" x14ac:dyDescent="0.25">
      <c r="B46" s="50" t="s">
        <v>189</v>
      </c>
      <c r="C46" s="30">
        <f>C22/2</f>
        <v>17.5</v>
      </c>
      <c r="D46" s="14"/>
      <c r="E46" s="14"/>
      <c r="F46" s="14"/>
      <c r="G46" s="55" t="s">
        <v>101</v>
      </c>
      <c r="H46" s="56" t="s">
        <v>190</v>
      </c>
      <c r="I46" s="48"/>
      <c r="M46" s="19"/>
      <c r="N46" s="19"/>
      <c r="O46" s="45"/>
      <c r="P46" s="35"/>
      <c r="Q46" s="35"/>
      <c r="R46" s="35"/>
      <c r="S46" s="19"/>
      <c r="T46" s="19"/>
      <c r="U46" s="19"/>
      <c r="V46" s="19"/>
      <c r="W46" s="19"/>
    </row>
    <row r="47" spans="2:23" ht="18" x14ac:dyDescent="0.25">
      <c r="B47" s="50" t="s">
        <v>191</v>
      </c>
      <c r="C47" s="57">
        <f>C21*0.03</f>
        <v>2.7E-2</v>
      </c>
      <c r="D47" s="14"/>
      <c r="E47" s="14"/>
      <c r="F47" s="14"/>
      <c r="G47" s="55" t="s">
        <v>88</v>
      </c>
      <c r="H47" s="56" t="s">
        <v>192</v>
      </c>
      <c r="I47" s="48"/>
      <c r="M47" s="19"/>
      <c r="N47" s="19"/>
      <c r="O47" s="45"/>
      <c r="P47" s="19"/>
      <c r="Q47" s="19"/>
      <c r="R47" s="19"/>
      <c r="S47" s="19"/>
      <c r="T47" s="19"/>
      <c r="U47" s="19"/>
      <c r="V47" s="19"/>
      <c r="W47" s="19"/>
    </row>
    <row r="48" spans="2:23" ht="18" x14ac:dyDescent="0.25">
      <c r="B48" s="50" t="s">
        <v>193</v>
      </c>
      <c r="C48" s="58">
        <v>0.01</v>
      </c>
      <c r="D48" s="14"/>
      <c r="E48" s="14"/>
      <c r="F48" s="14"/>
      <c r="G48" s="55" t="s">
        <v>88</v>
      </c>
      <c r="H48" s="56" t="s">
        <v>194</v>
      </c>
      <c r="I48" s="48"/>
      <c r="O48" s="54"/>
      <c r="P48" s="19"/>
      <c r="Q48" s="19"/>
      <c r="R48" s="19"/>
      <c r="S48" s="35"/>
      <c r="T48" s="35"/>
      <c r="U48" s="35"/>
      <c r="V48" s="19"/>
      <c r="W48" s="19"/>
    </row>
    <row r="49" spans="2:23" ht="18" x14ac:dyDescent="0.25">
      <c r="B49" s="50" t="s">
        <v>195</v>
      </c>
      <c r="C49" s="14"/>
      <c r="D49" s="158">
        <f>Iripple_max/(8*dVo_dc*fsw_Hz)*10^6</f>
        <v>175.44642857142864</v>
      </c>
      <c r="E49" s="14"/>
      <c r="F49" s="14"/>
      <c r="G49" s="55" t="s">
        <v>112</v>
      </c>
      <c r="H49" s="56" t="s">
        <v>196</v>
      </c>
      <c r="I49" s="48"/>
      <c r="O49" s="35"/>
      <c r="P49" s="19"/>
      <c r="Q49" s="19"/>
      <c r="R49" s="19"/>
      <c r="S49" s="35"/>
      <c r="T49" s="35"/>
      <c r="U49" s="35"/>
      <c r="V49" s="19"/>
      <c r="W49" s="19"/>
    </row>
    <row r="50" spans="2:23" ht="18" x14ac:dyDescent="0.25">
      <c r="B50" s="50" t="s">
        <v>197</v>
      </c>
      <c r="C50" s="14"/>
      <c r="D50" s="61">
        <f>((Lout*Io_step^2)*(Vout/(Vin_min*fsw_Hz)+toff_min_max_sec))/(2*dVo_trans*Vout*((Vin_min-Vout)/(Vin_min*fsw_Hz)-toff_min_max_sec))</f>
        <v>1110.2537722908094</v>
      </c>
      <c r="E50" s="14"/>
      <c r="F50" s="14"/>
      <c r="G50" s="55" t="s">
        <v>112</v>
      </c>
      <c r="H50" s="56" t="s">
        <v>198</v>
      </c>
      <c r="I50" s="48"/>
      <c r="O50" s="35"/>
      <c r="S50" s="35"/>
      <c r="T50" s="35"/>
      <c r="U50" s="35"/>
      <c r="V50" s="19"/>
      <c r="W50" s="19"/>
    </row>
    <row r="51" spans="2:23" x14ac:dyDescent="0.25">
      <c r="B51" s="50" t="s">
        <v>199</v>
      </c>
      <c r="C51" s="14"/>
      <c r="D51" s="61">
        <f>Lout*Io_step^2/(2*Vout*dVo_trans)</f>
        <v>1890.4320987654321</v>
      </c>
      <c r="E51" s="14"/>
      <c r="F51" s="14"/>
      <c r="G51" s="55" t="s">
        <v>112</v>
      </c>
      <c r="H51" s="56" t="s">
        <v>200</v>
      </c>
      <c r="O51" s="35"/>
      <c r="S51" s="19"/>
      <c r="T51" s="19"/>
      <c r="U51" s="19"/>
      <c r="V51" s="19"/>
      <c r="W51" s="19"/>
    </row>
    <row r="52" spans="2:23" ht="18" x14ac:dyDescent="0.25">
      <c r="B52" s="50" t="s">
        <v>201</v>
      </c>
      <c r="C52" s="14"/>
      <c r="D52" s="61">
        <f>(15/(PI()*fsw_Hz))^2*1/Lout_H*1000000</f>
        <v>303.9635509270135</v>
      </c>
      <c r="E52" s="14"/>
      <c r="F52" s="14"/>
      <c r="G52" s="55" t="s">
        <v>112</v>
      </c>
      <c r="H52" s="56" t="s">
        <v>202</v>
      </c>
      <c r="I52" s="48"/>
      <c r="S52" s="19"/>
      <c r="T52" s="19"/>
      <c r="U52" s="19"/>
    </row>
    <row r="53" spans="2:23" ht="30" customHeight="1" x14ac:dyDescent="0.25">
      <c r="B53" s="50" t="s">
        <v>203</v>
      </c>
      <c r="C53" s="14"/>
      <c r="D53" s="61">
        <f>(MAX(D49:D52))</f>
        <v>1890.4320987654321</v>
      </c>
      <c r="E53" s="14"/>
      <c r="F53" s="14"/>
      <c r="G53" s="55" t="s">
        <v>112</v>
      </c>
      <c r="H53" s="56" t="s">
        <v>204</v>
      </c>
      <c r="I53" s="19"/>
      <c r="P53" s="19"/>
      <c r="Q53" s="45"/>
      <c r="R53" s="45"/>
      <c r="S53" s="19"/>
      <c r="T53" s="19"/>
      <c r="U53" s="19"/>
    </row>
    <row r="54" spans="2:23" x14ac:dyDescent="0.25">
      <c r="B54" s="50" t="s">
        <v>205</v>
      </c>
      <c r="C54" s="14"/>
      <c r="D54" s="61">
        <f>2500/(PI()^2*fsw_Hz^2*Lout_H)*1000000</f>
        <v>3377.3727880779275</v>
      </c>
      <c r="E54" s="14"/>
      <c r="F54" s="14"/>
      <c r="G54" s="55" t="s">
        <v>112</v>
      </c>
      <c r="H54" s="56" t="s">
        <v>206</v>
      </c>
      <c r="I54" s="35"/>
      <c r="P54" s="19"/>
      <c r="Q54" s="45"/>
      <c r="R54" s="45"/>
    </row>
    <row r="55" spans="2:23" ht="18" x14ac:dyDescent="0.25">
      <c r="B55" s="50" t="s">
        <v>207</v>
      </c>
      <c r="C55" s="14"/>
      <c r="D55" s="61">
        <f>dVo_trans/Io_step*1000</f>
        <v>1.5428571428571429</v>
      </c>
      <c r="E55" s="14"/>
      <c r="F55" s="14"/>
      <c r="G55" s="55" t="s">
        <v>130</v>
      </c>
      <c r="H55" s="56" t="s">
        <v>208</v>
      </c>
      <c r="I55" s="35"/>
      <c r="J55" s="48"/>
      <c r="P55" s="12"/>
      <c r="Q55" s="59"/>
      <c r="R55" s="59"/>
    </row>
    <row r="56" spans="2:23" ht="15" x14ac:dyDescent="0.25">
      <c r="B56" s="50" t="s">
        <v>209</v>
      </c>
      <c r="C56" s="14"/>
      <c r="D56" s="61">
        <f>dVo_dc/Iripple_max*1000</f>
        <v>1.4249363867684475</v>
      </c>
      <c r="E56" s="14"/>
      <c r="F56" s="14"/>
      <c r="G56" s="55" t="s">
        <v>130</v>
      </c>
      <c r="H56" s="56" t="s">
        <v>210</v>
      </c>
      <c r="I56" s="35"/>
      <c r="J56" s="35"/>
      <c r="K56" s="19"/>
      <c r="L56" s="19"/>
      <c r="M56" s="19"/>
      <c r="N56" s="19"/>
      <c r="O56" s="45"/>
      <c r="P56" s="12"/>
      <c r="Q56" s="59"/>
      <c r="R56" s="59"/>
    </row>
    <row r="57" spans="2:23" s="5" customFormat="1" ht="15" x14ac:dyDescent="0.25">
      <c r="B57" s="50" t="s">
        <v>211</v>
      </c>
      <c r="C57" s="14"/>
      <c r="D57" s="61">
        <f>MIN(D55:D56)</f>
        <v>1.4249363867684475</v>
      </c>
      <c r="E57" s="14"/>
      <c r="F57" s="14"/>
      <c r="G57" s="55" t="s">
        <v>130</v>
      </c>
      <c r="H57" s="56"/>
      <c r="P57" s="12"/>
      <c r="Q57" s="59"/>
      <c r="R57" s="59"/>
      <c r="S57" s="12"/>
      <c r="T57" s="12"/>
      <c r="U57" s="12"/>
    </row>
    <row r="58" spans="2:23" s="5" customFormat="1" ht="15" x14ac:dyDescent="0.25">
      <c r="B58" s="50" t="s">
        <v>212</v>
      </c>
      <c r="C58" s="14"/>
      <c r="D58" s="14"/>
      <c r="E58" s="62">
        <v>1081</v>
      </c>
      <c r="F58" s="14"/>
      <c r="G58" s="55" t="s">
        <v>112</v>
      </c>
      <c r="H58" s="56" t="s">
        <v>213</v>
      </c>
      <c r="P58" s="12"/>
      <c r="Q58" s="59"/>
      <c r="R58" s="59"/>
      <c r="S58" s="12"/>
      <c r="T58" s="12"/>
      <c r="U58" s="12"/>
    </row>
    <row r="59" spans="2:23" s="5" customFormat="1" ht="15" x14ac:dyDescent="0.25">
      <c r="B59" s="50" t="s">
        <v>214</v>
      </c>
      <c r="C59" s="14"/>
      <c r="D59" s="14"/>
      <c r="E59" s="62">
        <v>2</v>
      </c>
      <c r="F59" s="14"/>
      <c r="G59" s="55" t="s">
        <v>130</v>
      </c>
      <c r="H59" s="56" t="s">
        <v>215</v>
      </c>
      <c r="P59" s="12"/>
      <c r="Q59" s="59"/>
      <c r="R59" s="59"/>
      <c r="S59" s="12"/>
      <c r="T59" s="12"/>
      <c r="U59" s="12"/>
    </row>
    <row r="60" spans="2:23" s="5" customFormat="1" ht="15" x14ac:dyDescent="0.25">
      <c r="B60" s="50" t="s">
        <v>216</v>
      </c>
      <c r="C60" s="14"/>
      <c r="D60" s="14"/>
      <c r="E60" s="30">
        <v>1</v>
      </c>
      <c r="F60" s="14"/>
      <c r="G60" s="55"/>
      <c r="H60" s="16" t="s">
        <v>217</v>
      </c>
      <c r="P60" s="12"/>
      <c r="Q60" s="59"/>
      <c r="R60" s="59"/>
      <c r="S60" s="12"/>
      <c r="T60" s="12"/>
      <c r="U60" s="12"/>
    </row>
    <row r="61" spans="2:23" s="5" customFormat="1" ht="15" x14ac:dyDescent="0.25">
      <c r="B61" s="50" t="s">
        <v>218</v>
      </c>
      <c r="C61" s="14"/>
      <c r="D61" s="14"/>
      <c r="E61" s="64">
        <v>1</v>
      </c>
      <c r="F61" s="14"/>
      <c r="G61" s="55"/>
      <c r="H61" s="16" t="s">
        <v>219</v>
      </c>
      <c r="P61" s="19"/>
      <c r="Q61" s="45"/>
      <c r="R61" s="45"/>
      <c r="S61" s="12"/>
      <c r="T61" s="12"/>
      <c r="U61" s="12"/>
    </row>
    <row r="62" spans="2:23" s="5" customFormat="1" ht="15" x14ac:dyDescent="0.25">
      <c r="B62" s="50" t="s">
        <v>63</v>
      </c>
      <c r="C62" s="14"/>
      <c r="D62" s="14"/>
      <c r="E62" s="14"/>
      <c r="F62" s="65">
        <f>Cout_nominal*N_Cout*Cout_derating</f>
        <v>1081</v>
      </c>
      <c r="G62" s="55" t="s">
        <v>112</v>
      </c>
      <c r="H62" s="16" t="s">
        <v>220</v>
      </c>
      <c r="P62" s="19"/>
      <c r="Q62" s="45"/>
      <c r="R62" s="45"/>
      <c r="S62" s="12"/>
      <c r="T62" s="12"/>
      <c r="U62" s="12"/>
    </row>
    <row r="63" spans="2:23" x14ac:dyDescent="0.25">
      <c r="B63" s="50" t="s">
        <v>221</v>
      </c>
      <c r="C63" s="14"/>
      <c r="D63" s="14"/>
      <c r="E63" s="14"/>
      <c r="F63" s="60">
        <f>ESR_nominal/N_Cout</f>
        <v>2</v>
      </c>
      <c r="G63" s="55" t="s">
        <v>130</v>
      </c>
      <c r="H63" s="16" t="s">
        <v>222</v>
      </c>
      <c r="J63" s="63"/>
      <c r="L63" s="34"/>
      <c r="P63" s="19"/>
      <c r="Q63" s="45"/>
      <c r="R63" s="45"/>
      <c r="S63" s="19"/>
      <c r="T63" s="19"/>
      <c r="U63" s="19"/>
    </row>
    <row r="64" spans="2:23" x14ac:dyDescent="0.25">
      <c r="B64" s="50" t="s">
        <v>223</v>
      </c>
      <c r="C64" s="14"/>
      <c r="D64" s="14"/>
      <c r="E64" s="14"/>
      <c r="F64" s="60">
        <f>SQRT((Io_step*ESR*0.001)^2+(((Lout*Io_step^2)*(Vout/(Vin_min*fsw_Hz)+toff_min_max_sec))/(2*Cout*Vout*((Vin_min-Vout)/(Vin_min*fsw_Hz)-toff_min_max_sec)))^2)*1000</f>
        <v>44.654114419439495</v>
      </c>
      <c r="G64" s="55" t="s">
        <v>224</v>
      </c>
      <c r="H64" s="16" t="s">
        <v>225</v>
      </c>
      <c r="J64" s="63"/>
      <c r="L64" s="34"/>
      <c r="P64" s="19"/>
      <c r="Q64" s="45"/>
      <c r="R64" s="45"/>
      <c r="S64" s="19"/>
      <c r="T64" s="19"/>
      <c r="U64" s="19"/>
    </row>
    <row r="65" spans="2:23" x14ac:dyDescent="0.25">
      <c r="B65" s="50" t="s">
        <v>226</v>
      </c>
      <c r="C65" s="14"/>
      <c r="D65" s="14"/>
      <c r="E65" s="14"/>
      <c r="F65" s="60">
        <f>SQRT((Io_step*ESR*0.001)^2+(Lout*Io_step^2/(2*Vout*Cout))^2)*1000</f>
        <v>58.774594189221872</v>
      </c>
      <c r="G65" s="55" t="s">
        <v>224</v>
      </c>
      <c r="H65" s="16" t="s">
        <v>227</v>
      </c>
      <c r="J65" s="63"/>
      <c r="L65" s="34"/>
      <c r="P65" s="19"/>
      <c r="Q65" s="45"/>
      <c r="R65" s="45"/>
      <c r="S65" s="19"/>
      <c r="T65" s="19"/>
      <c r="U65" s="19"/>
    </row>
    <row r="66" spans="2:23" x14ac:dyDescent="0.25">
      <c r="B66" s="50" t="s">
        <v>228</v>
      </c>
      <c r="C66" s="14"/>
      <c r="D66" s="14"/>
      <c r="E66" s="14"/>
      <c r="F66" s="60">
        <f>SQRT((ESR_Ohm*Iripple_max)^2+(Iripple_max/(8*Cout_F*0.000001*fsw_Hz))^2)*10^-3</f>
        <v>1.6230011894356089</v>
      </c>
      <c r="G66" s="55" t="s">
        <v>224</v>
      </c>
      <c r="H66" s="16" t="s">
        <v>229</v>
      </c>
      <c r="I66" s="34"/>
      <c r="P66" s="19"/>
      <c r="Q66" s="45"/>
      <c r="R66" s="45"/>
      <c r="S66" s="19"/>
      <c r="T66" s="19"/>
      <c r="U66" s="19"/>
    </row>
    <row r="67" spans="2:23" ht="28.5" x14ac:dyDescent="0.25">
      <c r="B67" s="50" t="s">
        <v>230</v>
      </c>
      <c r="C67" s="14"/>
      <c r="D67" s="14"/>
      <c r="E67" s="14"/>
      <c r="F67" s="60">
        <f>1/(2*PI()*SQRT(Lout*0.000001*Cout*0.000001))*0.001</f>
        <v>8.8378506320590553</v>
      </c>
      <c r="G67" s="55" t="s">
        <v>150</v>
      </c>
      <c r="H67" s="16" t="s">
        <v>231</v>
      </c>
      <c r="I67" s="34"/>
      <c r="P67" s="19"/>
      <c r="Q67" s="45"/>
      <c r="R67" s="45"/>
      <c r="S67" s="19"/>
      <c r="T67" s="19"/>
      <c r="U67" s="19"/>
    </row>
    <row r="68" spans="2:23" ht="29.25" thickBot="1" x14ac:dyDescent="0.3">
      <c r="B68" s="50" t="s">
        <v>232</v>
      </c>
      <c r="C68" s="14"/>
      <c r="D68" s="14"/>
      <c r="E68" s="14"/>
      <c r="F68" s="60">
        <f>1/(2*PI()*Cout*0.000001*ESR*0.001)*0.001</f>
        <v>73.614682281172676</v>
      </c>
      <c r="G68" s="55" t="s">
        <v>150</v>
      </c>
      <c r="H68" s="16" t="s">
        <v>233</v>
      </c>
      <c r="J68" s="63"/>
      <c r="L68" s="34"/>
      <c r="P68" s="19"/>
      <c r="Q68" s="45"/>
      <c r="R68" s="45"/>
      <c r="S68" s="19"/>
      <c r="T68" s="19"/>
      <c r="U68" s="19"/>
    </row>
    <row r="69" spans="2:23" ht="15.75" x14ac:dyDescent="0.25">
      <c r="B69" s="358" t="s">
        <v>234</v>
      </c>
      <c r="C69" s="359"/>
      <c r="D69" s="359"/>
      <c r="E69" s="359"/>
      <c r="F69" s="359"/>
      <c r="G69" s="359"/>
      <c r="H69" s="360"/>
      <c r="I69" s="34"/>
      <c r="J69" s="34"/>
      <c r="P69" s="19"/>
      <c r="Q69" s="45"/>
      <c r="R69" s="45"/>
      <c r="S69" s="19"/>
      <c r="T69" s="19"/>
      <c r="U69" s="19"/>
    </row>
    <row r="70" spans="2:23" ht="15" thickBot="1" x14ac:dyDescent="0.3">
      <c r="B70" s="374" t="s">
        <v>235</v>
      </c>
      <c r="C70" s="375"/>
      <c r="D70" s="375"/>
      <c r="E70" s="375"/>
      <c r="F70" s="375"/>
      <c r="G70" s="375"/>
      <c r="H70" s="376"/>
      <c r="I70" s="34"/>
      <c r="J70" s="34"/>
      <c r="P70" s="19"/>
      <c r="Q70" s="45"/>
      <c r="R70" s="45"/>
      <c r="S70" s="19"/>
      <c r="T70" s="19"/>
      <c r="U70" s="19"/>
    </row>
    <row r="71" spans="2:23" x14ac:dyDescent="0.25">
      <c r="B71" s="50" t="s">
        <v>236</v>
      </c>
      <c r="C71" s="14"/>
      <c r="D71" s="159">
        <f>Vin_min*0.02*1000</f>
        <v>160</v>
      </c>
      <c r="E71" s="14"/>
      <c r="F71" s="14"/>
      <c r="G71" s="55" t="s">
        <v>224</v>
      </c>
      <c r="H71" s="16" t="s">
        <v>237</v>
      </c>
      <c r="I71" s="34"/>
      <c r="J71" s="34"/>
      <c r="P71" s="19"/>
      <c r="Q71" s="45"/>
      <c r="R71" s="45"/>
      <c r="S71" s="19"/>
      <c r="T71" s="19"/>
      <c r="U71" s="19"/>
    </row>
    <row r="72" spans="2:23" x14ac:dyDescent="0.25">
      <c r="B72" s="50" t="s">
        <v>238</v>
      </c>
      <c r="C72" s="66">
        <v>200</v>
      </c>
      <c r="D72" s="14"/>
      <c r="E72" s="14"/>
      <c r="F72" s="14"/>
      <c r="G72" s="55" t="s">
        <v>224</v>
      </c>
      <c r="H72" s="16" t="s">
        <v>239</v>
      </c>
      <c r="I72" s="34"/>
      <c r="J72" s="34"/>
      <c r="P72" s="19"/>
      <c r="Q72" s="45"/>
      <c r="R72" s="45"/>
      <c r="S72" s="19"/>
      <c r="T72" s="19"/>
      <c r="U72" s="19"/>
    </row>
    <row r="73" spans="2:23" x14ac:dyDescent="0.25">
      <c r="B73" s="50" t="s">
        <v>240</v>
      </c>
      <c r="C73" s="14"/>
      <c r="D73" s="73">
        <f>(Iout*Vout)/(fsw_select*Vin_min*10^3)*10^6</f>
        <v>7.875</v>
      </c>
      <c r="E73" s="14"/>
      <c r="F73" s="14"/>
      <c r="G73" s="55" t="s">
        <v>241</v>
      </c>
      <c r="H73" s="16" t="s">
        <v>242</v>
      </c>
      <c r="I73" s="34"/>
      <c r="J73" s="34"/>
      <c r="P73" s="19"/>
      <c r="Q73" s="45"/>
      <c r="R73" s="45"/>
      <c r="S73" s="19"/>
      <c r="T73" s="19"/>
      <c r="U73" s="19"/>
    </row>
    <row r="74" spans="2:23" ht="15" x14ac:dyDescent="0.25">
      <c r="B74" s="50" t="s">
        <v>243</v>
      </c>
      <c r="C74" s="14"/>
      <c r="D74" s="67">
        <f>MAX(Q_input/Vi_ripple_target*10^3,10)</f>
        <v>39.375</v>
      </c>
      <c r="E74" s="14"/>
      <c r="F74" s="14"/>
      <c r="G74" s="55" t="s">
        <v>112</v>
      </c>
      <c r="H74" s="16" t="s">
        <v>244</v>
      </c>
      <c r="I74" s="34"/>
      <c r="J74" s="34"/>
      <c r="P74" s="19"/>
      <c r="Q74" s="19"/>
      <c r="R74" s="19"/>
      <c r="S74" s="19"/>
      <c r="T74" s="19"/>
      <c r="U74" s="19"/>
    </row>
    <row r="75" spans="2:23" ht="15" x14ac:dyDescent="0.25">
      <c r="B75" s="50" t="s">
        <v>62</v>
      </c>
      <c r="C75" s="14"/>
      <c r="D75" s="14"/>
      <c r="E75" s="66">
        <v>10</v>
      </c>
      <c r="F75" s="14"/>
      <c r="G75" s="55" t="s">
        <v>112</v>
      </c>
      <c r="H75" s="16" t="s">
        <v>245</v>
      </c>
      <c r="I75" s="34"/>
      <c r="J75" s="34"/>
      <c r="P75" s="19"/>
      <c r="Q75" s="19"/>
      <c r="R75" s="19"/>
      <c r="S75" s="19"/>
      <c r="T75" s="19"/>
      <c r="U75" s="19"/>
    </row>
    <row r="76" spans="2:23" x14ac:dyDescent="0.25">
      <c r="B76" s="50" t="s">
        <v>246</v>
      </c>
      <c r="C76" s="14"/>
      <c r="D76" s="14"/>
      <c r="E76" s="14"/>
      <c r="F76" s="68">
        <f>D73*1000/E75</f>
        <v>787.5</v>
      </c>
      <c r="G76" s="55" t="s">
        <v>224</v>
      </c>
      <c r="H76" s="16" t="s">
        <v>247</v>
      </c>
      <c r="O76" s="35"/>
      <c r="P76" s="19"/>
      <c r="Q76" s="45"/>
      <c r="R76" s="45"/>
      <c r="S76" s="19"/>
      <c r="T76" s="19"/>
      <c r="U76" s="19"/>
      <c r="V76" s="19"/>
      <c r="W76" s="19"/>
    </row>
    <row r="77" spans="2:23" ht="15" thickBot="1" x14ac:dyDescent="0.3">
      <c r="B77" s="50" t="s">
        <v>248</v>
      </c>
      <c r="C77" s="14"/>
      <c r="D77" s="14"/>
      <c r="E77" s="14"/>
      <c r="F77" s="70">
        <f>Iout*SQRT(Vout/Vin_min*(Vin_min-Vout)/Vin_min)</f>
        <v>11.059321577293971</v>
      </c>
      <c r="G77" s="55" t="s">
        <v>101</v>
      </c>
      <c r="H77" s="16" t="s">
        <v>249</v>
      </c>
      <c r="I77" s="34"/>
      <c r="O77" s="35"/>
      <c r="S77" s="19"/>
      <c r="T77" s="19"/>
      <c r="U77" s="19"/>
    </row>
    <row r="78" spans="2:23" ht="16.5" thickBot="1" x14ac:dyDescent="0.3">
      <c r="B78" s="371" t="s">
        <v>250</v>
      </c>
      <c r="C78" s="372"/>
      <c r="D78" s="372"/>
      <c r="E78" s="372"/>
      <c r="F78" s="372"/>
      <c r="G78" s="372"/>
      <c r="H78" s="373"/>
      <c r="J78" s="34"/>
    </row>
    <row r="79" spans="2:23" x14ac:dyDescent="0.25">
      <c r="B79" s="50" t="s">
        <v>251</v>
      </c>
      <c r="C79" s="71"/>
      <c r="D79" s="67">
        <v>4.7</v>
      </c>
      <c r="E79" s="71"/>
      <c r="F79" s="71"/>
      <c r="G79" s="55" t="s">
        <v>112</v>
      </c>
      <c r="H79" s="16" t="s">
        <v>510</v>
      </c>
    </row>
    <row r="80" spans="2:23" x14ac:dyDescent="0.25">
      <c r="B80" s="50" t="s">
        <v>252</v>
      </c>
      <c r="C80" s="71"/>
      <c r="D80" s="71"/>
      <c r="E80" s="72">
        <v>4.7</v>
      </c>
      <c r="F80" s="71"/>
      <c r="G80" s="55" t="s">
        <v>112</v>
      </c>
      <c r="H80" s="16" t="s">
        <v>253</v>
      </c>
    </row>
    <row r="81" spans="2:15" x14ac:dyDescent="0.25">
      <c r="B81" s="50" t="s">
        <v>254</v>
      </c>
      <c r="C81" s="71"/>
      <c r="D81" s="67">
        <v>2.2000000000000002</v>
      </c>
      <c r="E81" s="71"/>
      <c r="F81" s="71"/>
      <c r="G81" s="55" t="s">
        <v>112</v>
      </c>
      <c r="H81" s="16" t="s">
        <v>510</v>
      </c>
    </row>
    <row r="82" spans="2:15" x14ac:dyDescent="0.25">
      <c r="B82" s="50" t="s">
        <v>255</v>
      </c>
      <c r="C82" s="71"/>
      <c r="D82" s="71"/>
      <c r="E82" s="72">
        <v>2.2000000000000002</v>
      </c>
      <c r="F82" s="71"/>
      <c r="G82" s="55" t="s">
        <v>112</v>
      </c>
      <c r="H82" s="16" t="s">
        <v>256</v>
      </c>
    </row>
    <row r="83" spans="2:15" x14ac:dyDescent="0.25">
      <c r="B83" s="50" t="s">
        <v>257</v>
      </c>
      <c r="C83" s="71"/>
      <c r="D83" s="67">
        <v>0.1</v>
      </c>
      <c r="E83" s="71"/>
      <c r="F83" s="71"/>
      <c r="G83" s="55" t="s">
        <v>112</v>
      </c>
      <c r="H83" s="56" t="s">
        <v>258</v>
      </c>
      <c r="I83" s="69"/>
      <c r="J83" s="69"/>
    </row>
    <row r="84" spans="2:15" x14ac:dyDescent="0.25">
      <c r="B84" s="50" t="s">
        <v>259</v>
      </c>
      <c r="C84" s="71"/>
      <c r="D84" s="71"/>
      <c r="E84" s="72">
        <v>0.1</v>
      </c>
      <c r="F84" s="71"/>
      <c r="G84" s="55" t="s">
        <v>112</v>
      </c>
      <c r="H84" s="56" t="s">
        <v>260</v>
      </c>
      <c r="I84" s="69"/>
      <c r="J84" s="69"/>
      <c r="O84" s="54"/>
    </row>
    <row r="85" spans="2:15" ht="16.5" customHeight="1" x14ac:dyDescent="0.25">
      <c r="B85" s="52" t="s">
        <v>261</v>
      </c>
      <c r="C85" s="71"/>
      <c r="D85" s="67">
        <v>10</v>
      </c>
      <c r="E85" s="71"/>
      <c r="F85" s="71"/>
      <c r="G85" s="55" t="s">
        <v>118</v>
      </c>
      <c r="H85" s="56" t="s">
        <v>262</v>
      </c>
      <c r="I85" s="19"/>
    </row>
    <row r="86" spans="2:15" ht="15" thickBot="1" x14ac:dyDescent="0.3">
      <c r="B86" s="74" t="s">
        <v>137</v>
      </c>
      <c r="C86" s="75"/>
      <c r="D86" s="75"/>
      <c r="E86" s="76">
        <v>10</v>
      </c>
      <c r="F86" s="75"/>
      <c r="G86" s="77" t="s">
        <v>118</v>
      </c>
      <c r="H86" s="78" t="s">
        <v>263</v>
      </c>
      <c r="I86" s="19"/>
    </row>
    <row r="87" spans="2:15" ht="16.5" thickBot="1" x14ac:dyDescent="0.3">
      <c r="B87" s="371" t="s">
        <v>325</v>
      </c>
      <c r="C87" s="372"/>
      <c r="D87" s="372"/>
      <c r="E87" s="372"/>
      <c r="F87" s="372"/>
      <c r="G87" s="372"/>
      <c r="H87" s="373"/>
      <c r="I87" s="19"/>
    </row>
    <row r="88" spans="2:15" x14ac:dyDescent="0.25">
      <c r="B88" s="175" t="s">
        <v>326</v>
      </c>
      <c r="C88" s="170">
        <v>60</v>
      </c>
      <c r="D88" s="177"/>
      <c r="E88" s="176"/>
      <c r="F88" s="176"/>
      <c r="G88" s="173" t="s">
        <v>150</v>
      </c>
      <c r="H88" s="163" t="s">
        <v>434</v>
      </c>
      <c r="I88" s="19"/>
    </row>
    <row r="89" spans="2:15" x14ac:dyDescent="0.25">
      <c r="B89" s="165" t="s">
        <v>327</v>
      </c>
      <c r="C89" s="170">
        <v>60</v>
      </c>
      <c r="D89" s="168"/>
      <c r="E89" s="168"/>
      <c r="F89" s="174"/>
      <c r="G89" s="173" t="s">
        <v>359</v>
      </c>
      <c r="H89" s="161" t="s">
        <v>435</v>
      </c>
      <c r="I89" s="19"/>
    </row>
    <row r="90" spans="2:15" x14ac:dyDescent="0.25">
      <c r="B90" s="166" t="s">
        <v>463</v>
      </c>
      <c r="C90" s="178" t="s">
        <v>462</v>
      </c>
      <c r="D90" s="168"/>
      <c r="E90" s="168"/>
      <c r="F90" s="191"/>
      <c r="G90" s="173"/>
      <c r="H90" s="164" t="s">
        <v>475</v>
      </c>
      <c r="O90" s="54"/>
    </row>
    <row r="91" spans="2:15" x14ac:dyDescent="0.25">
      <c r="B91" s="166" t="s">
        <v>436</v>
      </c>
      <c r="C91" s="172"/>
      <c r="D91" s="169">
        <v>10000</v>
      </c>
      <c r="E91" s="168"/>
      <c r="F91" s="172"/>
      <c r="G91" s="167" t="s">
        <v>444</v>
      </c>
      <c r="H91" s="164" t="s">
        <v>445</v>
      </c>
      <c r="I91" s="19"/>
      <c r="J91" s="19"/>
      <c r="K91" s="19"/>
      <c r="L91" s="19"/>
      <c r="M91" s="19"/>
      <c r="N91" s="19"/>
      <c r="O91" s="19"/>
    </row>
    <row r="92" spans="2:15" ht="18" x14ac:dyDescent="0.25">
      <c r="B92" s="166" t="s">
        <v>437</v>
      </c>
      <c r="C92" s="172"/>
      <c r="D92" s="169">
        <f>compensation!I6</f>
        <v>1381.9026384429728</v>
      </c>
      <c r="E92" s="168"/>
      <c r="F92" s="168"/>
      <c r="G92" s="167" t="s">
        <v>444</v>
      </c>
      <c r="H92" s="164" t="s">
        <v>446</v>
      </c>
      <c r="I92" s="48"/>
    </row>
    <row r="93" spans="2:15" x14ac:dyDescent="0.25">
      <c r="B93" s="166" t="s">
        <v>438</v>
      </c>
      <c r="C93" s="172"/>
      <c r="D93" s="169">
        <f>compensation!I7</f>
        <v>22150.159215399792</v>
      </c>
      <c r="E93" s="168"/>
      <c r="F93" s="168"/>
      <c r="G93" s="167" t="s">
        <v>444</v>
      </c>
      <c r="H93" s="164" t="s">
        <v>447</v>
      </c>
      <c r="J93" s="19"/>
      <c r="K93" s="19"/>
      <c r="L93" s="19"/>
      <c r="M93" s="19"/>
      <c r="N93" s="19"/>
      <c r="O93" s="19"/>
    </row>
    <row r="94" spans="2:15" x14ac:dyDescent="0.25">
      <c r="B94" s="165" t="s">
        <v>439</v>
      </c>
      <c r="C94" s="168"/>
      <c r="D94" s="169">
        <f>compensation!I8</f>
        <v>19999.999999999996</v>
      </c>
      <c r="E94" s="168"/>
      <c r="F94" s="168"/>
      <c r="G94" s="167" t="s">
        <v>444</v>
      </c>
      <c r="H94" s="164" t="s">
        <v>448</v>
      </c>
      <c r="J94" s="162"/>
      <c r="K94" s="162"/>
      <c r="L94" s="162"/>
      <c r="M94" s="162"/>
      <c r="N94" s="162"/>
      <c r="O94" s="162"/>
    </row>
    <row r="95" spans="2:15" ht="16.5" customHeight="1" x14ac:dyDescent="0.25">
      <c r="B95" s="165" t="s">
        <v>440</v>
      </c>
      <c r="C95" s="168"/>
      <c r="D95" s="169">
        <f>compensation!I9</f>
        <v>668.8407498416891</v>
      </c>
      <c r="E95" s="168"/>
      <c r="F95" s="168"/>
      <c r="G95" s="167" t="s">
        <v>124</v>
      </c>
      <c r="H95" s="161" t="s">
        <v>449</v>
      </c>
      <c r="I95" s="19"/>
      <c r="J95" s="19"/>
      <c r="K95" s="19"/>
      <c r="L95" s="19"/>
      <c r="M95" s="19"/>
      <c r="N95" s="19"/>
      <c r="O95" s="19"/>
    </row>
    <row r="96" spans="2:15" x14ac:dyDescent="0.25">
      <c r="B96" s="165" t="s">
        <v>441</v>
      </c>
      <c r="C96" s="168"/>
      <c r="D96" s="169">
        <f>compensation!I10</f>
        <v>343.68512755558964</v>
      </c>
      <c r="E96" s="168"/>
      <c r="F96" s="168"/>
      <c r="G96" s="167" t="s">
        <v>124</v>
      </c>
      <c r="H96" s="161" t="s">
        <v>450</v>
      </c>
      <c r="I96" s="19"/>
      <c r="J96" s="19"/>
      <c r="K96" s="19"/>
      <c r="L96" s="19"/>
      <c r="M96" s="19"/>
      <c r="N96" s="19"/>
      <c r="O96" s="19"/>
    </row>
    <row r="97" spans="2:18" x14ac:dyDescent="0.25">
      <c r="B97" s="165" t="s">
        <v>442</v>
      </c>
      <c r="C97" s="168"/>
      <c r="D97" s="169">
        <f>compensation!I11</f>
        <v>47.493938456267912</v>
      </c>
      <c r="E97" s="168"/>
      <c r="F97" s="168"/>
      <c r="G97" s="167" t="s">
        <v>124</v>
      </c>
      <c r="H97" s="161" t="s">
        <v>451</v>
      </c>
      <c r="I97" s="19"/>
      <c r="J97" s="19"/>
      <c r="K97" s="19"/>
      <c r="L97" s="19"/>
      <c r="M97" s="19"/>
      <c r="N97" s="19"/>
      <c r="O97" s="19"/>
    </row>
    <row r="98" spans="2:18" x14ac:dyDescent="0.25">
      <c r="B98" s="165" t="s">
        <v>431</v>
      </c>
      <c r="C98" s="168"/>
      <c r="D98" s="168"/>
      <c r="E98" s="170">
        <v>10000</v>
      </c>
      <c r="F98" s="168"/>
      <c r="G98" s="167" t="s">
        <v>444</v>
      </c>
      <c r="H98" s="164" t="s">
        <v>452</v>
      </c>
      <c r="I98" s="19"/>
      <c r="J98" s="19"/>
      <c r="K98" s="19"/>
      <c r="L98" s="19"/>
      <c r="M98" s="19"/>
      <c r="N98" s="19"/>
      <c r="O98" s="19"/>
    </row>
    <row r="99" spans="2:18" x14ac:dyDescent="0.25">
      <c r="B99" s="165" t="s">
        <v>432</v>
      </c>
      <c r="C99" s="168"/>
      <c r="D99" s="168"/>
      <c r="E99" s="336">
        <v>1381.9026384429728</v>
      </c>
      <c r="F99" s="168"/>
      <c r="G99" s="167" t="s">
        <v>444</v>
      </c>
      <c r="H99" s="164" t="s">
        <v>453</v>
      </c>
      <c r="I99" s="19"/>
      <c r="J99" s="19"/>
      <c r="K99" s="19"/>
      <c r="L99" s="19"/>
      <c r="M99" s="19"/>
      <c r="N99" s="19"/>
      <c r="O99" s="19"/>
    </row>
    <row r="100" spans="2:18" x14ac:dyDescent="0.25">
      <c r="B100" s="165" t="s">
        <v>433</v>
      </c>
      <c r="C100" s="168"/>
      <c r="D100" s="168"/>
      <c r="E100" s="336">
        <v>22150.159215399792</v>
      </c>
      <c r="F100" s="168"/>
      <c r="G100" s="167" t="s">
        <v>444</v>
      </c>
      <c r="H100" s="164" t="s">
        <v>454</v>
      </c>
      <c r="I100" s="19"/>
      <c r="J100" s="19"/>
      <c r="K100" s="19"/>
      <c r="L100" s="19"/>
      <c r="M100" s="19"/>
      <c r="N100" s="19"/>
      <c r="O100" s="19"/>
    </row>
    <row r="101" spans="2:18" x14ac:dyDescent="0.25">
      <c r="B101" s="165" t="s">
        <v>443</v>
      </c>
      <c r="C101" s="168"/>
      <c r="D101" s="168"/>
      <c r="E101" s="170">
        <v>19999.999999999996</v>
      </c>
      <c r="F101" s="168"/>
      <c r="G101" s="167" t="s">
        <v>444</v>
      </c>
      <c r="H101" s="164" t="s">
        <v>455</v>
      </c>
      <c r="I101" s="19"/>
      <c r="J101" s="19"/>
      <c r="K101" s="19"/>
      <c r="L101" s="19"/>
      <c r="M101" s="19"/>
      <c r="N101" s="19"/>
      <c r="O101" s="19"/>
    </row>
    <row r="102" spans="2:18" x14ac:dyDescent="0.25">
      <c r="B102" s="165" t="s">
        <v>428</v>
      </c>
      <c r="C102" s="168"/>
      <c r="D102" s="168"/>
      <c r="E102" s="336">
        <v>668.8407498416891</v>
      </c>
      <c r="F102" s="168"/>
      <c r="G102" s="167" t="s">
        <v>124</v>
      </c>
      <c r="H102" s="161" t="s">
        <v>456</v>
      </c>
      <c r="I102" s="19"/>
      <c r="J102" s="19"/>
      <c r="K102" s="19"/>
      <c r="L102" s="19"/>
      <c r="M102" s="19"/>
      <c r="N102" s="19"/>
      <c r="O102" s="19"/>
    </row>
    <row r="103" spans="2:18" x14ac:dyDescent="0.25">
      <c r="B103" s="165" t="s">
        <v>429</v>
      </c>
      <c r="C103" s="168"/>
      <c r="D103" s="168"/>
      <c r="E103" s="336">
        <v>343.68512755558964</v>
      </c>
      <c r="F103" s="168"/>
      <c r="G103" s="167" t="s">
        <v>124</v>
      </c>
      <c r="H103" s="161" t="s">
        <v>457</v>
      </c>
      <c r="I103" s="19"/>
      <c r="J103" s="19"/>
      <c r="K103" s="19"/>
      <c r="L103" s="19"/>
      <c r="M103" s="19"/>
      <c r="N103" s="19"/>
      <c r="O103" s="19"/>
      <c r="P103" s="83"/>
      <c r="Q103" s="83"/>
      <c r="R103" s="83"/>
    </row>
    <row r="104" spans="2:18" x14ac:dyDescent="0.25">
      <c r="B104" s="165" t="s">
        <v>430</v>
      </c>
      <c r="C104" s="168"/>
      <c r="D104" s="168"/>
      <c r="E104" s="336">
        <v>47.493938456267912</v>
      </c>
      <c r="F104" s="168"/>
      <c r="G104" s="167" t="s">
        <v>124</v>
      </c>
      <c r="H104" s="161" t="s">
        <v>458</v>
      </c>
      <c r="I104" s="19"/>
      <c r="J104" s="19"/>
      <c r="K104" s="19"/>
      <c r="L104" s="19"/>
      <c r="M104" s="19"/>
      <c r="N104" s="19"/>
      <c r="O104" s="19"/>
    </row>
    <row r="105" spans="2:18" s="83" customFormat="1" ht="16.5" customHeight="1" x14ac:dyDescent="0.25">
      <c r="B105" s="166" t="s">
        <v>346</v>
      </c>
      <c r="C105" s="168"/>
      <c r="D105" s="168"/>
      <c r="E105" s="170">
        <v>1001</v>
      </c>
      <c r="F105" s="168"/>
      <c r="G105" s="167" t="s">
        <v>375</v>
      </c>
      <c r="H105" s="164" t="s">
        <v>471</v>
      </c>
      <c r="I105" s="84"/>
      <c r="J105" s="84"/>
      <c r="K105" s="84"/>
      <c r="L105" s="84"/>
      <c r="M105" s="84"/>
      <c r="N105" s="84"/>
      <c r="O105" s="84"/>
      <c r="P105" s="3"/>
      <c r="Q105" s="3"/>
      <c r="R105" s="3"/>
    </row>
    <row r="106" spans="2:18" x14ac:dyDescent="0.25">
      <c r="B106" s="166" t="s">
        <v>351</v>
      </c>
      <c r="C106" s="168"/>
      <c r="D106" s="168"/>
      <c r="E106" s="170">
        <v>10000</v>
      </c>
      <c r="F106" s="168"/>
      <c r="G106" s="167" t="s">
        <v>375</v>
      </c>
      <c r="H106" s="164" t="s">
        <v>472</v>
      </c>
      <c r="I106" s="19"/>
      <c r="J106" s="19"/>
      <c r="K106" s="19"/>
      <c r="L106" s="19"/>
      <c r="M106" s="19"/>
      <c r="N106" s="19"/>
      <c r="O106" s="19"/>
    </row>
    <row r="107" spans="2:18" x14ac:dyDescent="0.25">
      <c r="B107" s="166" t="s">
        <v>355</v>
      </c>
      <c r="C107" s="168"/>
      <c r="D107" s="168"/>
      <c r="E107" s="170">
        <v>1002</v>
      </c>
      <c r="F107" s="168"/>
      <c r="G107" s="167" t="s">
        <v>375</v>
      </c>
      <c r="H107" s="164" t="s">
        <v>474</v>
      </c>
      <c r="I107" s="19"/>
      <c r="J107" s="19"/>
      <c r="K107" s="19"/>
      <c r="L107" s="19"/>
      <c r="M107" s="19"/>
      <c r="N107" s="19"/>
      <c r="O107" s="19"/>
    </row>
    <row r="108" spans="2:18" x14ac:dyDescent="0.25">
      <c r="B108" s="165" t="s">
        <v>360</v>
      </c>
      <c r="C108" s="168"/>
      <c r="D108" s="168"/>
      <c r="E108" s="170">
        <v>10200</v>
      </c>
      <c r="F108" s="168"/>
      <c r="G108" s="167" t="s">
        <v>375</v>
      </c>
      <c r="H108" s="164" t="s">
        <v>473</v>
      </c>
      <c r="I108" s="19"/>
      <c r="J108" s="19"/>
      <c r="K108" s="19"/>
      <c r="L108" s="19"/>
      <c r="M108" s="19"/>
      <c r="N108" s="19"/>
      <c r="O108" s="19"/>
    </row>
    <row r="109" spans="2:18" x14ac:dyDescent="0.25">
      <c r="B109" s="165" t="s">
        <v>431</v>
      </c>
      <c r="C109" s="168"/>
      <c r="D109" s="168"/>
      <c r="E109" s="168"/>
      <c r="F109" s="169">
        <f>compensation!R_1</f>
        <v>10000</v>
      </c>
      <c r="G109" s="167" t="s">
        <v>444</v>
      </c>
      <c r="H109" s="164" t="s">
        <v>464</v>
      </c>
      <c r="I109" s="19"/>
      <c r="J109" s="19"/>
      <c r="K109" s="19"/>
      <c r="L109" s="19"/>
      <c r="M109" s="19"/>
      <c r="N109" s="19"/>
      <c r="O109" s="19"/>
    </row>
    <row r="110" spans="2:18" x14ac:dyDescent="0.25">
      <c r="B110" s="165" t="s">
        <v>432</v>
      </c>
      <c r="C110" s="168"/>
      <c r="D110" s="168"/>
      <c r="E110" s="168"/>
      <c r="F110" s="169">
        <f>compensation!R_2</f>
        <v>1381.9026384429728</v>
      </c>
      <c r="G110" s="167" t="s">
        <v>444</v>
      </c>
      <c r="H110" s="164" t="s">
        <v>465</v>
      </c>
      <c r="I110" s="19"/>
      <c r="J110" s="19"/>
      <c r="K110" s="19"/>
      <c r="L110" s="19"/>
      <c r="M110" s="19"/>
      <c r="N110" s="19"/>
      <c r="O110" s="19"/>
    </row>
    <row r="111" spans="2:18" x14ac:dyDescent="0.25">
      <c r="B111" s="165" t="s">
        <v>433</v>
      </c>
      <c r="C111" s="168"/>
      <c r="D111" s="168"/>
      <c r="E111" s="168"/>
      <c r="F111" s="169">
        <f>compensation!R_3</f>
        <v>22150.159215399792</v>
      </c>
      <c r="G111" s="167" t="s">
        <v>444</v>
      </c>
      <c r="H111" s="164" t="s">
        <v>466</v>
      </c>
      <c r="I111" s="19"/>
      <c r="J111" s="19"/>
      <c r="K111" s="19"/>
      <c r="L111" s="19"/>
      <c r="M111" s="19"/>
      <c r="N111" s="19"/>
      <c r="O111" s="19"/>
    </row>
    <row r="112" spans="2:18" ht="16.149999999999999" customHeight="1" x14ac:dyDescent="0.25">
      <c r="B112" s="165" t="s">
        <v>443</v>
      </c>
      <c r="C112" s="168"/>
      <c r="D112" s="168"/>
      <c r="E112" s="168"/>
      <c r="F112" s="169">
        <f>compensation!R_4</f>
        <v>19999.999999999996</v>
      </c>
      <c r="G112" s="167" t="s">
        <v>444</v>
      </c>
      <c r="H112" s="164" t="s">
        <v>467</v>
      </c>
      <c r="I112" s="19"/>
      <c r="J112" s="19"/>
      <c r="K112" s="19"/>
      <c r="L112" s="19"/>
      <c r="M112" s="19"/>
      <c r="N112" s="19"/>
      <c r="O112" s="19"/>
    </row>
    <row r="113" spans="2:15" x14ac:dyDescent="0.25">
      <c r="B113" s="165" t="s">
        <v>428</v>
      </c>
      <c r="C113" s="168"/>
      <c r="D113" s="168"/>
      <c r="E113" s="168"/>
      <c r="F113" s="169">
        <f>compensation!C_1</f>
        <v>668.8407498416891</v>
      </c>
      <c r="G113" s="167" t="s">
        <v>124</v>
      </c>
      <c r="H113" s="161" t="s">
        <v>468</v>
      </c>
      <c r="I113" s="19"/>
      <c r="J113" s="19"/>
      <c r="K113" s="19"/>
      <c r="L113" s="19"/>
      <c r="M113" s="19"/>
      <c r="N113" s="19"/>
      <c r="O113" s="19"/>
    </row>
    <row r="114" spans="2:15" x14ac:dyDescent="0.25">
      <c r="B114" s="165" t="s">
        <v>429</v>
      </c>
      <c r="C114" s="168"/>
      <c r="D114" s="168"/>
      <c r="E114" s="168"/>
      <c r="F114" s="169">
        <f>compensation!C_2</f>
        <v>343.68512755558964</v>
      </c>
      <c r="G114" s="167" t="s">
        <v>124</v>
      </c>
      <c r="H114" s="161" t="s">
        <v>469</v>
      </c>
      <c r="I114" s="19"/>
      <c r="J114" s="19"/>
      <c r="K114" s="19"/>
      <c r="L114" s="19"/>
      <c r="M114" s="19"/>
      <c r="N114" s="19"/>
      <c r="O114" s="19"/>
    </row>
    <row r="115" spans="2:15" x14ac:dyDescent="0.25">
      <c r="B115" s="165" t="s">
        <v>430</v>
      </c>
      <c r="C115" s="168"/>
      <c r="D115" s="168"/>
      <c r="E115" s="168"/>
      <c r="F115" s="169">
        <f>compensation!C_3</f>
        <v>47.493938456267912</v>
      </c>
      <c r="G115" s="167" t="s">
        <v>124</v>
      </c>
      <c r="H115" s="161" t="s">
        <v>470</v>
      </c>
      <c r="I115" s="19"/>
      <c r="J115" s="19"/>
      <c r="K115" s="19"/>
      <c r="L115" s="19"/>
      <c r="M115" s="19"/>
      <c r="N115" s="19"/>
      <c r="O115" s="19"/>
    </row>
    <row r="116" spans="2:15" x14ac:dyDescent="0.25">
      <c r="B116" s="165" t="s">
        <v>380</v>
      </c>
      <c r="C116" s="168"/>
      <c r="D116" s="168"/>
      <c r="E116" s="168"/>
      <c r="F116" s="68">
        <f>compensation!J19/1000</f>
        <v>59.735019132053722</v>
      </c>
      <c r="G116" s="173" t="s">
        <v>150</v>
      </c>
      <c r="H116" s="161" t="s">
        <v>459</v>
      </c>
      <c r="I116" s="19"/>
      <c r="J116" s="19"/>
      <c r="K116" s="19"/>
      <c r="L116" s="19"/>
      <c r="M116" s="19"/>
      <c r="N116" s="19"/>
      <c r="O116" s="19"/>
    </row>
    <row r="117" spans="2:15" ht="15" thickBot="1" x14ac:dyDescent="0.3">
      <c r="B117" s="165" t="s">
        <v>382</v>
      </c>
      <c r="C117" s="168"/>
      <c r="D117" s="168"/>
      <c r="E117" s="168"/>
      <c r="F117" s="68">
        <f>compensation!J20</f>
        <v>58.238621034570883</v>
      </c>
      <c r="G117" s="173" t="s">
        <v>359</v>
      </c>
      <c r="H117" s="161" t="s">
        <v>460</v>
      </c>
      <c r="I117" s="19"/>
      <c r="J117" s="19"/>
      <c r="K117" s="19"/>
      <c r="L117" s="19"/>
      <c r="M117" s="19"/>
      <c r="N117" s="19"/>
      <c r="O117" s="19"/>
    </row>
    <row r="118" spans="2:15" ht="16.5" thickBot="1" x14ac:dyDescent="0.3">
      <c r="B118" s="371" t="s">
        <v>264</v>
      </c>
      <c r="C118" s="372"/>
      <c r="D118" s="372"/>
      <c r="E118" s="372"/>
      <c r="F118" s="372"/>
      <c r="G118" s="372"/>
      <c r="H118" s="373"/>
      <c r="I118" s="19"/>
      <c r="J118" s="19"/>
      <c r="K118" s="19"/>
      <c r="L118" s="19"/>
      <c r="M118" s="19"/>
      <c r="N118" s="19"/>
      <c r="O118" s="19"/>
    </row>
    <row r="119" spans="2:15" x14ac:dyDescent="0.25">
      <c r="B119" s="50" t="s">
        <v>265</v>
      </c>
      <c r="C119" s="72">
        <v>22</v>
      </c>
      <c r="D119" s="71"/>
      <c r="E119" s="14"/>
      <c r="F119" s="14"/>
      <c r="G119" s="55"/>
      <c r="H119" s="16" t="s">
        <v>319</v>
      </c>
      <c r="I119" s="19"/>
      <c r="J119" s="19"/>
      <c r="K119" s="19"/>
      <c r="L119" s="19"/>
      <c r="M119" s="19"/>
      <c r="N119" s="19"/>
      <c r="O119" s="19"/>
    </row>
    <row r="120" spans="2:15" x14ac:dyDescent="0.25">
      <c r="B120" s="50" t="s">
        <v>316</v>
      </c>
      <c r="C120" s="71"/>
      <c r="D120" s="171">
        <f>VLOOKUP(ADDR,partData!C16:E79,2,0)</f>
        <v>22.6</v>
      </c>
      <c r="E120" s="14"/>
      <c r="F120" s="14"/>
      <c r="G120" s="55" t="s">
        <v>118</v>
      </c>
      <c r="H120" s="56" t="s">
        <v>320</v>
      </c>
      <c r="I120" s="19"/>
      <c r="J120" s="19"/>
      <c r="K120" s="19"/>
      <c r="L120" s="19"/>
      <c r="M120" s="19"/>
      <c r="N120" s="19"/>
      <c r="O120" s="19"/>
    </row>
    <row r="121" spans="2:15" ht="16.5" customHeight="1" x14ac:dyDescent="0.25">
      <c r="B121" s="50" t="s">
        <v>317</v>
      </c>
      <c r="C121" s="80"/>
      <c r="D121" s="171">
        <f>VLOOKUP(ADDR,partData!C17:E80,3,0)</f>
        <v>22.6</v>
      </c>
      <c r="E121" s="14"/>
      <c r="F121" s="14"/>
      <c r="G121" s="55" t="s">
        <v>118</v>
      </c>
      <c r="H121" s="56" t="s">
        <v>321</v>
      </c>
      <c r="I121" s="19"/>
      <c r="J121" s="19"/>
      <c r="K121" s="19"/>
      <c r="L121" s="19"/>
      <c r="M121" s="19"/>
      <c r="N121" s="19"/>
      <c r="O121" s="19"/>
    </row>
    <row r="122" spans="2:15" x14ac:dyDescent="0.25">
      <c r="B122" s="165" t="s">
        <v>266</v>
      </c>
      <c r="C122" s="71"/>
      <c r="D122" s="79"/>
      <c r="E122" s="180">
        <v>22.6</v>
      </c>
      <c r="F122" s="71"/>
      <c r="G122" s="167" t="s">
        <v>118</v>
      </c>
      <c r="H122" s="56" t="s">
        <v>324</v>
      </c>
      <c r="I122" s="19"/>
      <c r="J122" s="19"/>
      <c r="K122" s="19"/>
      <c r="L122" s="19"/>
      <c r="M122" s="19"/>
      <c r="N122" s="19"/>
      <c r="O122" s="19"/>
    </row>
    <row r="123" spans="2:15" x14ac:dyDescent="0.25">
      <c r="B123" s="165" t="s">
        <v>267</v>
      </c>
      <c r="C123" s="172"/>
      <c r="D123" s="179"/>
      <c r="E123" s="180">
        <v>22.6</v>
      </c>
      <c r="F123" s="172"/>
      <c r="G123" s="167" t="s">
        <v>118</v>
      </c>
      <c r="H123" s="56" t="s">
        <v>323</v>
      </c>
      <c r="I123" s="19"/>
      <c r="J123" s="19"/>
      <c r="K123" s="19"/>
      <c r="L123" s="19"/>
      <c r="M123" s="19"/>
      <c r="N123" s="19"/>
      <c r="O123" s="19"/>
    </row>
    <row r="124" spans="2:15" ht="15" thickBot="1" x14ac:dyDescent="0.3">
      <c r="B124" s="74" t="s">
        <v>318</v>
      </c>
      <c r="C124" s="75"/>
      <c r="D124" s="75"/>
      <c r="E124" s="81"/>
      <c r="F124" s="181">
        <f>VLOOKUP(E122&amp;E123,partData!B16:E79,2,0)</f>
        <v>22</v>
      </c>
      <c r="G124" s="77"/>
      <c r="H124" s="78" t="s">
        <v>322</v>
      </c>
      <c r="I124" s="19"/>
      <c r="J124" s="19"/>
      <c r="K124" s="19"/>
      <c r="L124" s="19"/>
      <c r="M124" s="19"/>
      <c r="N124" s="19"/>
      <c r="O124" s="19"/>
    </row>
    <row r="125" spans="2:15" x14ac:dyDescent="0.25">
      <c r="B125" s="82"/>
      <c r="C125" s="82"/>
      <c r="D125" s="82"/>
      <c r="E125" s="82"/>
      <c r="F125" s="82"/>
      <c r="G125" s="82"/>
      <c r="H125" s="82"/>
      <c r="I125" s="19"/>
      <c r="J125" s="19"/>
      <c r="K125" s="19"/>
      <c r="L125" s="19"/>
      <c r="M125" s="19"/>
      <c r="N125" s="19"/>
      <c r="O125" s="19"/>
    </row>
    <row r="126" spans="2:15" x14ac:dyDescent="0.25">
      <c r="B126" s="82"/>
      <c r="C126" s="82"/>
      <c r="D126" s="82"/>
      <c r="E126" s="82"/>
      <c r="F126" s="82"/>
      <c r="G126" s="82"/>
      <c r="H126" s="82"/>
      <c r="I126" s="162"/>
      <c r="J126" s="162"/>
      <c r="K126" s="162"/>
      <c r="L126" s="162"/>
      <c r="M126" s="162"/>
      <c r="N126" s="162"/>
      <c r="O126" s="162"/>
    </row>
    <row r="127" spans="2:15" x14ac:dyDescent="0.25">
      <c r="B127" s="82"/>
      <c r="C127" s="82"/>
      <c r="D127" s="82"/>
      <c r="E127" s="82"/>
      <c r="F127" s="82"/>
      <c r="G127" s="82"/>
      <c r="H127" s="82"/>
      <c r="I127" s="19"/>
      <c r="J127" s="19"/>
      <c r="K127" s="19"/>
      <c r="L127" s="19"/>
      <c r="M127" s="19"/>
      <c r="N127" s="19"/>
      <c r="O127" s="19"/>
    </row>
    <row r="128" spans="2:15" x14ac:dyDescent="0.25">
      <c r="B128" s="82"/>
      <c r="C128" s="82"/>
      <c r="D128" s="82"/>
      <c r="E128" s="82"/>
      <c r="F128" s="82"/>
      <c r="G128" s="82"/>
      <c r="H128" s="82"/>
      <c r="I128" s="19"/>
      <c r="J128" s="19"/>
      <c r="K128" s="19"/>
      <c r="L128" s="19"/>
      <c r="M128" s="19"/>
      <c r="N128" s="19"/>
      <c r="O128" s="19"/>
    </row>
    <row r="129" spans="2:8" x14ac:dyDescent="0.25">
      <c r="B129" s="82"/>
      <c r="C129" s="82"/>
      <c r="D129" s="82"/>
      <c r="E129" s="82"/>
      <c r="F129" s="82"/>
      <c r="G129" s="82"/>
      <c r="H129" s="82"/>
    </row>
    <row r="130" spans="2:8" x14ac:dyDescent="0.25">
      <c r="B130" s="82"/>
      <c r="C130" s="82"/>
      <c r="D130" s="82"/>
      <c r="E130" s="82"/>
      <c r="F130" s="82"/>
      <c r="G130" s="82"/>
      <c r="H130" s="82"/>
    </row>
    <row r="131" spans="2:8" x14ac:dyDescent="0.25">
      <c r="B131" s="82"/>
      <c r="C131" s="82"/>
      <c r="D131" s="82"/>
      <c r="E131" s="82"/>
      <c r="F131" s="82"/>
      <c r="G131" s="82"/>
      <c r="H131" s="82"/>
    </row>
    <row r="132" spans="2:8" x14ac:dyDescent="0.25">
      <c r="B132" s="82"/>
      <c r="C132" s="82"/>
      <c r="D132" s="82"/>
      <c r="E132" s="82"/>
      <c r="F132" s="82"/>
      <c r="G132" s="82"/>
      <c r="H132" s="82"/>
    </row>
    <row r="133" spans="2:8" x14ac:dyDescent="0.25">
      <c r="B133" s="82"/>
      <c r="C133" s="82"/>
      <c r="D133" s="82"/>
      <c r="E133" s="82"/>
      <c r="F133" s="82"/>
      <c r="G133" s="82"/>
      <c r="H133" s="82"/>
    </row>
    <row r="134" spans="2:8" x14ac:dyDescent="0.25">
      <c r="B134" s="82"/>
      <c r="C134" s="82"/>
      <c r="D134" s="82"/>
      <c r="E134" s="82"/>
      <c r="F134" s="82"/>
      <c r="G134" s="82"/>
      <c r="H134" s="82"/>
    </row>
    <row r="135" spans="2:8" x14ac:dyDescent="0.25">
      <c r="B135" s="82"/>
      <c r="C135" s="82"/>
      <c r="D135" s="82"/>
      <c r="E135" s="82"/>
      <c r="F135" s="82"/>
      <c r="G135" s="82"/>
      <c r="H135" s="82"/>
    </row>
    <row r="136" spans="2:8" x14ac:dyDescent="0.25">
      <c r="B136" s="82"/>
      <c r="C136" s="82"/>
      <c r="D136" s="82"/>
      <c r="E136" s="82"/>
      <c r="F136" s="82"/>
      <c r="G136" s="82"/>
      <c r="H136" s="82"/>
    </row>
    <row r="137" spans="2:8" x14ac:dyDescent="0.25">
      <c r="B137" s="82"/>
      <c r="C137" s="82"/>
      <c r="D137" s="82"/>
      <c r="E137" s="82"/>
      <c r="F137" s="82"/>
      <c r="G137" s="82"/>
      <c r="H137" s="82"/>
    </row>
    <row r="138" spans="2:8" x14ac:dyDescent="0.25">
      <c r="B138" s="82"/>
      <c r="C138" s="82"/>
      <c r="D138" s="82"/>
      <c r="E138" s="82"/>
      <c r="F138" s="82"/>
      <c r="G138" s="82"/>
      <c r="H138" s="82"/>
    </row>
    <row r="139" spans="2:8" x14ac:dyDescent="0.25">
      <c r="B139" s="82"/>
      <c r="C139" s="82"/>
      <c r="D139" s="82"/>
      <c r="E139" s="82"/>
      <c r="F139" s="82"/>
      <c r="G139" s="82"/>
      <c r="H139" s="82"/>
    </row>
    <row r="140" spans="2:8" x14ac:dyDescent="0.25">
      <c r="B140" s="82"/>
      <c r="C140" s="82"/>
      <c r="D140" s="82"/>
      <c r="E140" s="82"/>
      <c r="F140" s="82"/>
      <c r="G140" s="82"/>
      <c r="H140" s="82"/>
    </row>
    <row r="141" spans="2:8" x14ac:dyDescent="0.25">
      <c r="B141" s="82"/>
      <c r="C141" s="82"/>
      <c r="D141" s="82"/>
      <c r="E141" s="82"/>
      <c r="F141" s="82"/>
      <c r="G141" s="82"/>
      <c r="H141" s="82"/>
    </row>
    <row r="142" spans="2:8" x14ac:dyDescent="0.25">
      <c r="B142" s="82"/>
      <c r="C142" s="82"/>
      <c r="D142" s="82"/>
      <c r="E142" s="82"/>
      <c r="F142" s="82"/>
      <c r="G142" s="82"/>
      <c r="H142" s="82"/>
    </row>
    <row r="143" spans="2:8" x14ac:dyDescent="0.25">
      <c r="B143" s="19"/>
      <c r="C143" s="19"/>
      <c r="D143" s="19"/>
      <c r="E143" s="19"/>
      <c r="F143" s="19"/>
      <c r="G143" s="19"/>
      <c r="H143" s="19"/>
    </row>
    <row r="144" spans="2:8" x14ac:dyDescent="0.25">
      <c r="B144" s="19"/>
      <c r="C144" s="19"/>
      <c r="D144" s="19"/>
      <c r="E144" s="19"/>
      <c r="F144" s="19"/>
      <c r="G144" s="19"/>
      <c r="H144" s="19"/>
    </row>
  </sheetData>
  <sheetProtection algorithmName="SHA-512" hashValue="PIGGZKluLjz5mF89/v9+jtPwkt8GXdYcQtEPVHQGiiojElkTeQiFFWUBsCFZK2Mt5wwliwhUdtxR7N+6muxAjg==" saltValue="t30nG3ymUFGlDhOQ+6b0VA==" spinCount="100000" sheet="1" objects="1" scenarios="1"/>
  <protectedRanges>
    <protectedRange password="CD94" sqref="P103:R103 S105:XFD105 A105 I105:O105" name="Range1"/>
  </protectedRanges>
  <mergeCells count="14">
    <mergeCell ref="B78:H78"/>
    <mergeCell ref="B118:H118"/>
    <mergeCell ref="B31:H31"/>
    <mergeCell ref="B44:H44"/>
    <mergeCell ref="B45:H45"/>
    <mergeCell ref="B69:H69"/>
    <mergeCell ref="B70:H70"/>
    <mergeCell ref="B87:H87"/>
    <mergeCell ref="B30:H30"/>
    <mergeCell ref="B1:H1"/>
    <mergeCell ref="B3:H3"/>
    <mergeCell ref="P11:R11"/>
    <mergeCell ref="B17:H17"/>
    <mergeCell ref="B23:H23"/>
  </mergeCells>
  <conditionalFormatting sqref="C132:F132">
    <cfRule type="cellIs" dxfId="26" priority="47" operator="greaterThan">
      <formula>$C$131</formula>
    </cfRule>
  </conditionalFormatting>
  <conditionalFormatting sqref="M37">
    <cfRule type="cellIs" dxfId="25" priority="44" operator="lessThan">
      <formula>#REF!</formula>
    </cfRule>
    <cfRule type="cellIs" dxfId="24" priority="45" operator="greaterThan">
      <formula>$J$37</formula>
    </cfRule>
  </conditionalFormatting>
  <conditionalFormatting sqref="F68">
    <cfRule type="cellIs" dxfId="23" priority="43" operator="lessThan">
      <formula>fsw_select/10</formula>
    </cfRule>
  </conditionalFormatting>
  <conditionalFormatting sqref="F67">
    <cfRule type="cellIs" dxfId="22" priority="42" operator="lessThan">
      <formula>fsw_select/60</formula>
    </cfRule>
  </conditionalFormatting>
  <conditionalFormatting sqref="E86">
    <cfRule type="cellIs" dxfId="21" priority="39" operator="notBetween">
      <formula>1</formula>
      <formula>100</formula>
    </cfRule>
  </conditionalFormatting>
  <conditionalFormatting sqref="E80">
    <cfRule type="cellIs" dxfId="20" priority="37" operator="lessThan">
      <formula>2.2</formula>
    </cfRule>
  </conditionalFormatting>
  <conditionalFormatting sqref="E84">
    <cfRule type="cellIs" dxfId="19" priority="38" operator="lessThan">
      <formula>0.1</formula>
    </cfRule>
  </conditionalFormatting>
  <conditionalFormatting sqref="F64:F65">
    <cfRule type="cellIs" dxfId="18" priority="50" operator="greaterThan">
      <formula>$C$47*1000</formula>
    </cfRule>
  </conditionalFormatting>
  <conditionalFormatting sqref="D34">
    <cfRule type="cellIs" dxfId="17" priority="51" operator="greaterThan">
      <formula>$E$36</formula>
    </cfRule>
  </conditionalFormatting>
  <conditionalFormatting sqref="D35">
    <cfRule type="cellIs" dxfId="16" priority="52" operator="lessThan">
      <formula>$E$36</formula>
    </cfRule>
  </conditionalFormatting>
  <conditionalFormatting sqref="F62">
    <cfRule type="cellIs" dxfId="15" priority="53" operator="greaterThan">
      <formula>$D$54</formula>
    </cfRule>
    <cfRule type="cellIs" dxfId="14" priority="54" operator="lessThan">
      <formula>$D$53</formula>
    </cfRule>
  </conditionalFormatting>
  <conditionalFormatting sqref="F63">
    <cfRule type="cellIs" dxfId="13" priority="55" operator="greaterThan">
      <formula>$D$57</formula>
    </cfRule>
  </conditionalFormatting>
  <conditionalFormatting sqref="D24:D25">
    <cfRule type="cellIs" dxfId="12" priority="32" operator="lessThan">
      <formula>fsw_select</formula>
    </cfRule>
  </conditionalFormatting>
  <conditionalFormatting sqref="D27">
    <cfRule type="containsErrors" dxfId="11" priority="33">
      <formula>ISERROR(D27)</formula>
    </cfRule>
  </conditionalFormatting>
  <conditionalFormatting sqref="C26">
    <cfRule type="cellIs" dxfId="10" priority="34" operator="notBetween">
      <formula>200</formula>
      <formula>1000</formula>
    </cfRule>
  </conditionalFormatting>
  <conditionalFormatting sqref="D29">
    <cfRule type="containsErrors" dxfId="9" priority="31">
      <formula>ISERROR(D29)</formula>
    </cfRule>
  </conditionalFormatting>
  <conditionalFormatting sqref="F29">
    <cfRule type="cellIs" dxfId="8" priority="30" operator="notBetween">
      <formula>200</formula>
      <formula>1000</formula>
    </cfRule>
  </conditionalFormatting>
  <conditionalFormatting sqref="C119">
    <cfRule type="cellIs" dxfId="7" priority="29" operator="lessThan">
      <formula>1</formula>
    </cfRule>
  </conditionalFormatting>
  <conditionalFormatting sqref="E82">
    <cfRule type="cellIs" dxfId="6" priority="28" operator="lessThan">
      <formula>0.1</formula>
    </cfRule>
  </conditionalFormatting>
  <conditionalFormatting sqref="B91:H104">
    <cfRule type="expression" dxfId="5" priority="2">
      <formula>$C$90&lt;&gt;"Component"</formula>
    </cfRule>
  </conditionalFormatting>
  <conditionalFormatting sqref="B105:H115">
    <cfRule type="expression" dxfId="4" priority="1">
      <formula>$C$90="Component"</formula>
    </cfRule>
  </conditionalFormatting>
  <dataValidations count="3">
    <dataValidation type="decimal" errorStyle="warning" allowBlank="1" showInputMessage="1" showErrorMessage="1" error="Re-adjust Divider Ratio" sqref="M37">
      <formula1>#REF!</formula1>
      <formula2>J37</formula2>
    </dataValidation>
    <dataValidation type="list" allowBlank="1" showInputMessage="1" showErrorMessage="1" sqref="C78:F78 C118:F118">
      <formula1>$L$4:$L$37</formula1>
    </dataValidation>
    <dataValidation type="list" allowBlank="1" showInputMessage="1" showErrorMessage="1" sqref="C140:F141">
      <formula1>$K$41:$K$92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decimal" operator="lessThanOrEqual" allowBlank="1" showErrorMessage="1" error="Minimum Input Voltage" promptTitle="Minimum Input Voltage" prompt="Minimum Input Voltage">
          <x14:formula1>
            <xm:f>VLOOKUP(C3,[2]partData!#REF!,2,FALSE)</xm:f>
          </x14:formula1>
          <xm:sqref>C5:F6</xm:sqref>
        </x14:dataValidation>
        <x14:dataValidation type="list" allowBlank="1" showInputMessage="1" showErrorMessage="1">
          <x14:formula1>
            <xm:f>partData!$H$16:$H$23</xm:f>
          </x14:formula1>
          <xm:sqref>C26</xm:sqref>
        </x14:dataValidation>
        <x14:dataValidation type="list" allowBlank="1" showInputMessage="1" showErrorMessage="1">
          <x14:formula1>
            <xm:f>partData!$A$3:$A$5</xm:f>
          </x14:formula1>
          <xm:sqref>C4</xm:sqref>
        </x14:dataValidation>
        <x14:dataValidation type="list" allowBlank="1" showInputMessage="1" showErrorMessage="1">
          <x14:formula1>
            <xm:f>partData!$D$16:$D$23</xm:f>
          </x14:formula1>
          <xm:sqref>E122:E123</xm:sqref>
        </x14:dataValidation>
        <x14:dataValidation type="list" allowBlank="1" showInputMessage="1" showErrorMessage="1">
          <x14:formula1>
            <xm:f>partData!$A$14:$A$15</xm:f>
          </x14:formula1>
          <xm:sqref>C90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zoomScale="85" zoomScaleNormal="85" workbookViewId="0">
      <pane ySplit="1" topLeftCell="A2" activePane="bottomLeft" state="frozen"/>
      <selection activeCell="F18" sqref="F18"/>
      <selection pane="bottomLeft" activeCell="F15" sqref="F15"/>
    </sheetView>
  </sheetViews>
  <sheetFormatPr defaultColWidth="9.140625" defaultRowHeight="15" x14ac:dyDescent="0.25"/>
  <cols>
    <col min="1" max="2" width="15.28515625" style="342" customWidth="1"/>
    <col min="3" max="3" width="20.28515625" style="342" customWidth="1"/>
    <col min="4" max="4" width="50.140625" style="342" customWidth="1"/>
    <col min="5" max="5" width="39.140625" style="342" customWidth="1"/>
    <col min="6" max="6" width="24.42578125" style="343" customWidth="1"/>
    <col min="7" max="7" width="16.5703125" style="343" customWidth="1"/>
    <col min="8" max="8" width="11" customWidth="1"/>
  </cols>
  <sheetData>
    <row r="1" spans="1:8" ht="45.75" thickBot="1" x14ac:dyDescent="0.3">
      <c r="A1" s="148" t="s">
        <v>3</v>
      </c>
      <c r="B1" s="148" t="s">
        <v>0</v>
      </c>
      <c r="C1" s="148" t="s">
        <v>4</v>
      </c>
      <c r="D1" s="148" t="s">
        <v>7</v>
      </c>
      <c r="E1" s="148" t="s">
        <v>33</v>
      </c>
      <c r="F1" s="149" t="s">
        <v>314</v>
      </c>
      <c r="G1" s="149" t="s">
        <v>315</v>
      </c>
      <c r="H1" s="148" t="s">
        <v>70</v>
      </c>
    </row>
    <row r="2" spans="1:8" ht="13.9" customHeight="1" x14ac:dyDescent="0.25">
      <c r="A2" s="379" t="s">
        <v>34</v>
      </c>
      <c r="B2" s="380"/>
      <c r="C2" s="380"/>
      <c r="D2" s="380"/>
      <c r="E2" s="380"/>
      <c r="F2" s="380"/>
      <c r="G2" s="380"/>
      <c r="H2" s="381"/>
    </row>
    <row r="3" spans="1:8" ht="90" x14ac:dyDescent="0.25">
      <c r="A3" s="338">
        <v>35</v>
      </c>
      <c r="B3" s="338" t="s">
        <v>25</v>
      </c>
      <c r="C3" s="339" t="s">
        <v>28</v>
      </c>
      <c r="D3" s="339" t="s">
        <v>42</v>
      </c>
      <c r="E3" s="339"/>
      <c r="F3" s="339"/>
      <c r="G3" s="339"/>
      <c r="H3" s="339" t="s">
        <v>6</v>
      </c>
    </row>
    <row r="4" spans="1:8" ht="45" x14ac:dyDescent="0.25">
      <c r="A4" s="340">
        <v>36</v>
      </c>
      <c r="B4" s="340" t="s">
        <v>26</v>
      </c>
      <c r="C4" s="341" t="s">
        <v>514</v>
      </c>
      <c r="D4" s="339" t="s">
        <v>41</v>
      </c>
      <c r="E4" s="339" t="s">
        <v>40</v>
      </c>
      <c r="F4" s="339" t="s">
        <v>596</v>
      </c>
      <c r="G4" s="339"/>
      <c r="H4" s="339" t="s">
        <v>6</v>
      </c>
    </row>
    <row r="5" spans="1:8" ht="240" customHeight="1" x14ac:dyDescent="0.25">
      <c r="A5" s="338">
        <v>3</v>
      </c>
      <c r="B5" s="338" t="s">
        <v>24</v>
      </c>
      <c r="C5" s="339" t="s">
        <v>515</v>
      </c>
      <c r="D5" s="339" t="s">
        <v>516</v>
      </c>
      <c r="E5" s="339"/>
      <c r="F5" s="339" t="s">
        <v>596</v>
      </c>
      <c r="G5" s="339"/>
      <c r="H5" s="339" t="s">
        <v>6</v>
      </c>
    </row>
    <row r="6" spans="1:8" ht="150" x14ac:dyDescent="0.25">
      <c r="A6" s="338">
        <v>33</v>
      </c>
      <c r="B6" s="338" t="s">
        <v>517</v>
      </c>
      <c r="C6" s="339" t="s">
        <v>518</v>
      </c>
      <c r="D6" s="339" t="s">
        <v>519</v>
      </c>
      <c r="E6" s="339" t="s">
        <v>520</v>
      </c>
      <c r="F6" s="339"/>
      <c r="G6" s="353"/>
      <c r="H6" s="339" t="s">
        <v>6</v>
      </c>
    </row>
    <row r="7" spans="1:8" ht="90.75" customHeight="1" x14ac:dyDescent="0.25">
      <c r="A7" s="338">
        <v>34</v>
      </c>
      <c r="B7" s="338" t="s">
        <v>521</v>
      </c>
      <c r="C7" s="339" t="s">
        <v>522</v>
      </c>
      <c r="D7" s="339" t="s">
        <v>523</v>
      </c>
      <c r="E7" s="339"/>
      <c r="F7" s="339"/>
      <c r="G7" s="353"/>
      <c r="H7" s="339" t="s">
        <v>6</v>
      </c>
    </row>
    <row r="8" spans="1:8" ht="165" x14ac:dyDescent="0.25">
      <c r="A8" s="338" t="s">
        <v>524</v>
      </c>
      <c r="B8" s="339" t="s">
        <v>525</v>
      </c>
      <c r="C8" s="339"/>
      <c r="D8" s="339" t="s">
        <v>526</v>
      </c>
      <c r="E8" s="339" t="s">
        <v>61</v>
      </c>
      <c r="F8" s="339"/>
      <c r="G8" s="353"/>
      <c r="H8" s="339" t="s">
        <v>6</v>
      </c>
    </row>
    <row r="9" spans="1:8" ht="90" x14ac:dyDescent="0.25">
      <c r="A9" s="338" t="s">
        <v>524</v>
      </c>
      <c r="B9" s="339" t="s">
        <v>525</v>
      </c>
      <c r="C9" s="339"/>
      <c r="D9" s="339" t="s">
        <v>527</v>
      </c>
      <c r="E9" s="339"/>
      <c r="F9" s="339"/>
      <c r="G9" s="339"/>
      <c r="H9" s="339" t="s">
        <v>6</v>
      </c>
    </row>
    <row r="10" spans="1:8" ht="75" x14ac:dyDescent="0.25">
      <c r="A10" s="338">
        <v>30</v>
      </c>
      <c r="B10" s="339" t="s">
        <v>528</v>
      </c>
      <c r="C10" s="339" t="s">
        <v>529</v>
      </c>
      <c r="D10" s="339" t="s">
        <v>530</v>
      </c>
      <c r="E10" s="339"/>
      <c r="F10" s="339"/>
      <c r="G10" s="339"/>
      <c r="H10" s="339" t="s">
        <v>6</v>
      </c>
    </row>
    <row r="11" spans="1:8" x14ac:dyDescent="0.25">
      <c r="C11" s="343"/>
      <c r="D11" s="343"/>
      <c r="E11" s="343"/>
    </row>
    <row r="12" spans="1:8" x14ac:dyDescent="0.25">
      <c r="C12" s="343"/>
      <c r="D12" s="343"/>
      <c r="E12" s="343"/>
    </row>
    <row r="13" spans="1:8" x14ac:dyDescent="0.25">
      <c r="A13" s="377" t="s">
        <v>35</v>
      </c>
      <c r="B13" s="378"/>
      <c r="C13" s="378"/>
      <c r="D13" s="378"/>
      <c r="E13" s="378"/>
      <c r="F13" s="378"/>
      <c r="G13" s="378"/>
      <c r="H13" s="378"/>
    </row>
    <row r="14" spans="1:8" ht="81.75" x14ac:dyDescent="0.25">
      <c r="A14" s="338">
        <v>1</v>
      </c>
      <c r="B14" s="338" t="s">
        <v>27</v>
      </c>
      <c r="C14" s="339" t="s">
        <v>29</v>
      </c>
      <c r="D14" s="339" t="s">
        <v>531</v>
      </c>
      <c r="E14" s="352"/>
      <c r="F14" s="339">
        <f>'Device Calculator'!D27</f>
        <v>40.199999999999996</v>
      </c>
      <c r="G14" s="354" t="s">
        <v>118</v>
      </c>
      <c r="H14" s="345" t="s">
        <v>6</v>
      </c>
    </row>
    <row r="15" spans="1:8" ht="75" x14ac:dyDescent="0.25">
      <c r="A15" s="338">
        <v>39</v>
      </c>
      <c r="B15" s="338" t="s">
        <v>328</v>
      </c>
      <c r="C15" s="339" t="s">
        <v>532</v>
      </c>
      <c r="D15" s="339" t="s">
        <v>533</v>
      </c>
      <c r="E15" s="352"/>
      <c r="F15" s="339"/>
      <c r="G15" s="339"/>
      <c r="H15" s="345" t="s">
        <v>6</v>
      </c>
    </row>
    <row r="16" spans="1:8" ht="45" x14ac:dyDescent="0.25">
      <c r="A16" s="338">
        <v>39</v>
      </c>
      <c r="B16" s="338" t="s">
        <v>328</v>
      </c>
      <c r="C16" s="339" t="s">
        <v>532</v>
      </c>
      <c r="D16" s="339" t="s">
        <v>534</v>
      </c>
      <c r="E16"/>
      <c r="F16" s="339"/>
      <c r="G16" s="353"/>
      <c r="H16" s="345" t="s">
        <v>6</v>
      </c>
    </row>
    <row r="17" spans="1:8" ht="30" x14ac:dyDescent="0.25">
      <c r="A17" s="338">
        <v>39</v>
      </c>
      <c r="B17" s="338" t="s">
        <v>328</v>
      </c>
      <c r="C17" s="339" t="s">
        <v>532</v>
      </c>
      <c r="D17" s="339" t="s">
        <v>535</v>
      </c>
      <c r="E17" s="352"/>
      <c r="F17" s="339"/>
      <c r="G17" s="353"/>
      <c r="H17" s="345" t="s">
        <v>6</v>
      </c>
    </row>
    <row r="18" spans="1:8" ht="75" x14ac:dyDescent="0.25">
      <c r="A18" s="338">
        <v>31</v>
      </c>
      <c r="B18" s="338" t="s">
        <v>536</v>
      </c>
      <c r="C18" s="339" t="s">
        <v>537</v>
      </c>
      <c r="D18" s="339" t="s">
        <v>538</v>
      </c>
      <c r="E18" s="352"/>
      <c r="F18" s="339"/>
      <c r="G18" s="353"/>
      <c r="H18" s="345" t="s">
        <v>6</v>
      </c>
    </row>
    <row r="19" spans="1:8" ht="45" x14ac:dyDescent="0.25">
      <c r="A19" s="338">
        <v>32</v>
      </c>
      <c r="B19" s="338" t="s">
        <v>539</v>
      </c>
      <c r="C19" s="339" t="s">
        <v>540</v>
      </c>
      <c r="D19" s="339" t="s">
        <v>541</v>
      </c>
      <c r="E19" s="352"/>
      <c r="F19" s="339"/>
      <c r="G19" s="339"/>
      <c r="H19" s="345" t="s">
        <v>6</v>
      </c>
    </row>
    <row r="20" spans="1:8" x14ac:dyDescent="0.25">
      <c r="C20" s="343"/>
      <c r="D20" s="343"/>
      <c r="E20" s="343"/>
    </row>
    <row r="21" spans="1:8" x14ac:dyDescent="0.25">
      <c r="C21" s="343"/>
      <c r="D21" s="343"/>
      <c r="E21" s="343"/>
    </row>
    <row r="22" spans="1:8" x14ac:dyDescent="0.25">
      <c r="A22" s="377" t="s">
        <v>9</v>
      </c>
      <c r="B22" s="378"/>
      <c r="C22" s="378"/>
      <c r="D22" s="378"/>
      <c r="E22" s="378"/>
      <c r="F22" s="378"/>
      <c r="G22" s="378"/>
      <c r="H22" s="378"/>
    </row>
    <row r="23" spans="1:8" ht="30" x14ac:dyDescent="0.25">
      <c r="A23" s="339" t="s">
        <v>47</v>
      </c>
      <c r="B23" s="339" t="s">
        <v>10</v>
      </c>
      <c r="C23" s="339" t="s">
        <v>542</v>
      </c>
      <c r="D23" s="339" t="s">
        <v>543</v>
      </c>
      <c r="E23" s="339"/>
      <c r="F23" s="339"/>
      <c r="G23" s="339"/>
      <c r="H23" s="345" t="s">
        <v>6</v>
      </c>
    </row>
    <row r="24" spans="1:8" ht="62.25" x14ac:dyDescent="0.25">
      <c r="A24" s="339" t="s">
        <v>47</v>
      </c>
      <c r="B24" s="339" t="s">
        <v>10</v>
      </c>
      <c r="C24" s="339" t="s">
        <v>542</v>
      </c>
      <c r="D24" s="339" t="s">
        <v>544</v>
      </c>
      <c r="E24" s="339"/>
      <c r="F24" s="339"/>
      <c r="G24" s="339"/>
      <c r="H24" s="345" t="s">
        <v>6</v>
      </c>
    </row>
    <row r="25" spans="1:8" ht="45" x14ac:dyDescent="0.25">
      <c r="A25" s="339">
        <v>7</v>
      </c>
      <c r="B25" s="339" t="s">
        <v>13</v>
      </c>
      <c r="C25" s="339" t="s">
        <v>14</v>
      </c>
      <c r="D25" s="339" t="s">
        <v>545</v>
      </c>
      <c r="E25" s="339"/>
      <c r="F25" s="339">
        <f>'Device Calculator'!D83</f>
        <v>0.1</v>
      </c>
      <c r="G25" s="355" t="s">
        <v>597</v>
      </c>
      <c r="H25" s="345" t="s">
        <v>6</v>
      </c>
    </row>
    <row r="26" spans="1:8" ht="60" x14ac:dyDescent="0.25">
      <c r="A26" s="339">
        <v>7</v>
      </c>
      <c r="B26" s="339" t="s">
        <v>13</v>
      </c>
      <c r="C26" s="339" t="s">
        <v>14</v>
      </c>
      <c r="D26" s="339" t="s">
        <v>546</v>
      </c>
      <c r="E26" s="339"/>
      <c r="F26" s="339"/>
      <c r="G26" s="339"/>
      <c r="H26" s="345" t="s">
        <v>6</v>
      </c>
    </row>
    <row r="27" spans="1:8" ht="45" x14ac:dyDescent="0.25">
      <c r="A27" s="339" t="s">
        <v>50</v>
      </c>
      <c r="B27" s="339" t="s">
        <v>547</v>
      </c>
      <c r="C27" s="339" t="s">
        <v>18</v>
      </c>
      <c r="D27" s="339" t="s">
        <v>48</v>
      </c>
      <c r="E27" s="339"/>
      <c r="F27" s="339"/>
      <c r="G27" s="339"/>
      <c r="H27" s="345" t="s">
        <v>6</v>
      </c>
    </row>
    <row r="28" spans="1:8" ht="30" x14ac:dyDescent="0.25">
      <c r="A28" s="339" t="s">
        <v>50</v>
      </c>
      <c r="B28" s="339" t="s">
        <v>547</v>
      </c>
      <c r="C28" s="339" t="s">
        <v>18</v>
      </c>
      <c r="D28" s="339" t="s">
        <v>548</v>
      </c>
      <c r="E28" s="339"/>
      <c r="F28" s="339"/>
      <c r="G28" s="339"/>
      <c r="H28" s="345" t="s">
        <v>6</v>
      </c>
    </row>
    <row r="29" spans="1:8" ht="60" x14ac:dyDescent="0.25">
      <c r="A29" s="339" t="s">
        <v>49</v>
      </c>
      <c r="B29" s="339" t="s">
        <v>62</v>
      </c>
      <c r="C29" s="339" t="s">
        <v>549</v>
      </c>
      <c r="D29" s="339" t="s">
        <v>550</v>
      </c>
      <c r="E29" s="339"/>
      <c r="F29" s="356">
        <f>'Device Calculator'!D74</f>
        <v>39.375</v>
      </c>
      <c r="G29" s="339" t="s">
        <v>597</v>
      </c>
      <c r="H29" s="345" t="s">
        <v>6</v>
      </c>
    </row>
    <row r="30" spans="1:8" ht="60" x14ac:dyDescent="0.25">
      <c r="A30" s="339" t="s">
        <v>49</v>
      </c>
      <c r="B30" s="339" t="s">
        <v>63</v>
      </c>
      <c r="C30" s="339" t="s">
        <v>551</v>
      </c>
      <c r="D30" s="339" t="s">
        <v>552</v>
      </c>
      <c r="E30" s="339"/>
      <c r="F30" s="339"/>
      <c r="G30" s="339"/>
      <c r="H30" s="345" t="s">
        <v>6</v>
      </c>
    </row>
    <row r="31" spans="1:8" ht="60" x14ac:dyDescent="0.25">
      <c r="A31" s="339" t="s">
        <v>49</v>
      </c>
      <c r="B31" s="339" t="s">
        <v>553</v>
      </c>
      <c r="C31" s="339" t="s">
        <v>64</v>
      </c>
      <c r="D31" s="339" t="s">
        <v>554</v>
      </c>
      <c r="E31" s="339"/>
      <c r="F31" s="357">
        <f>'Device Calculator'!D33</f>
        <v>0.16040816326530616</v>
      </c>
      <c r="G31" s="355" t="s">
        <v>598</v>
      </c>
      <c r="H31" s="345" t="s">
        <v>6</v>
      </c>
    </row>
    <row r="32" spans="1:8" ht="12.75" customHeight="1" x14ac:dyDescent="0.25">
      <c r="C32" s="343"/>
      <c r="D32" s="343"/>
      <c r="E32" s="343"/>
    </row>
    <row r="33" spans="1:8" x14ac:dyDescent="0.25">
      <c r="C33" s="343"/>
      <c r="D33" s="343"/>
      <c r="E33" s="343"/>
    </row>
    <row r="34" spans="1:8" x14ac:dyDescent="0.25">
      <c r="A34" s="377" t="s">
        <v>36</v>
      </c>
      <c r="B34" s="378"/>
      <c r="C34" s="378"/>
      <c r="D34" s="378"/>
      <c r="E34" s="378"/>
      <c r="F34" s="378"/>
      <c r="G34" s="378"/>
      <c r="H34" s="378"/>
    </row>
    <row r="35" spans="1:8" ht="60.75" customHeight="1" x14ac:dyDescent="0.25">
      <c r="A35" s="339">
        <v>27</v>
      </c>
      <c r="B35" s="339" t="s">
        <v>12</v>
      </c>
      <c r="C35" s="339" t="s">
        <v>15</v>
      </c>
      <c r="D35" s="339" t="s">
        <v>555</v>
      </c>
      <c r="E35" s="339"/>
      <c r="F35" s="339"/>
      <c r="G35" s="339"/>
      <c r="H35" s="345" t="s">
        <v>6</v>
      </c>
    </row>
    <row r="36" spans="1:8" ht="90" x14ac:dyDescent="0.25">
      <c r="A36" s="339">
        <v>28</v>
      </c>
      <c r="B36" s="339" t="s">
        <v>11</v>
      </c>
      <c r="C36" s="339" t="s">
        <v>16</v>
      </c>
      <c r="D36" s="339" t="s">
        <v>556</v>
      </c>
      <c r="E36" s="339"/>
      <c r="F36" s="339"/>
      <c r="G36" s="339"/>
      <c r="H36" s="345" t="s">
        <v>6</v>
      </c>
    </row>
    <row r="37" spans="1:8" ht="30" x14ac:dyDescent="0.25">
      <c r="A37" s="338">
        <v>38</v>
      </c>
      <c r="B37" s="338" t="s">
        <v>2</v>
      </c>
      <c r="C37" s="339" t="s">
        <v>557</v>
      </c>
      <c r="D37" s="339" t="s">
        <v>558</v>
      </c>
      <c r="E37" s="339"/>
      <c r="F37" s="339"/>
      <c r="G37" s="339"/>
      <c r="H37" s="345" t="s">
        <v>6</v>
      </c>
    </row>
    <row r="38" spans="1:8" ht="30" x14ac:dyDescent="0.25">
      <c r="A38" s="339" t="s">
        <v>559</v>
      </c>
      <c r="B38" s="339" t="s">
        <v>56</v>
      </c>
      <c r="C38" s="339" t="s">
        <v>17</v>
      </c>
      <c r="D38" s="339" t="s">
        <v>560</v>
      </c>
      <c r="E38" s="339"/>
      <c r="F38" s="339"/>
      <c r="G38" s="339"/>
      <c r="H38" s="345" t="s">
        <v>6</v>
      </c>
    </row>
    <row r="39" spans="1:8" ht="30" x14ac:dyDescent="0.25">
      <c r="A39" s="338">
        <v>26</v>
      </c>
      <c r="B39" s="338" t="s">
        <v>561</v>
      </c>
      <c r="C39" s="339" t="s">
        <v>57</v>
      </c>
      <c r="D39" s="339" t="s">
        <v>562</v>
      </c>
      <c r="E39" s="339"/>
      <c r="F39" s="339"/>
      <c r="G39" s="339"/>
      <c r="H39" s="345" t="s">
        <v>6</v>
      </c>
    </row>
    <row r="40" spans="1:8" ht="75" customHeight="1" x14ac:dyDescent="0.25">
      <c r="A40" s="338">
        <v>29</v>
      </c>
      <c r="B40" s="339" t="s">
        <v>563</v>
      </c>
      <c r="C40" s="339" t="s">
        <v>564</v>
      </c>
      <c r="D40" s="339" t="s">
        <v>565</v>
      </c>
      <c r="E40" s="339"/>
      <c r="F40" s="339"/>
      <c r="G40" s="339"/>
      <c r="H40" s="345" t="s">
        <v>6</v>
      </c>
    </row>
    <row r="41" spans="1:8" x14ac:dyDescent="0.25">
      <c r="A41" s="343"/>
      <c r="B41" s="343"/>
      <c r="C41" s="343"/>
      <c r="D41" s="343"/>
      <c r="E41" s="343"/>
    </row>
    <row r="42" spans="1:8" x14ac:dyDescent="0.25">
      <c r="A42" s="343"/>
      <c r="B42" s="343"/>
      <c r="C42" s="343"/>
      <c r="D42" s="343"/>
      <c r="E42" s="343"/>
    </row>
    <row r="43" spans="1:8" x14ac:dyDescent="0.25">
      <c r="A43" s="377" t="s">
        <v>37</v>
      </c>
      <c r="B43" s="378"/>
      <c r="C43" s="378"/>
      <c r="D43" s="378"/>
      <c r="E43" s="378"/>
      <c r="F43" s="378"/>
      <c r="G43" s="378"/>
      <c r="H43" s="378"/>
    </row>
    <row r="44" spans="1:8" ht="30" customHeight="1" x14ac:dyDescent="0.25">
      <c r="A44" s="338" t="s">
        <v>566</v>
      </c>
      <c r="B44" s="339" t="s">
        <v>567</v>
      </c>
      <c r="C44" s="339"/>
      <c r="D44" s="346" t="s">
        <v>568</v>
      </c>
      <c r="E44" s="339"/>
      <c r="F44" s="339"/>
      <c r="G44" s="339"/>
      <c r="H44" s="345" t="s">
        <v>6</v>
      </c>
    </row>
    <row r="45" spans="1:8" ht="30" x14ac:dyDescent="0.25">
      <c r="A45" s="338">
        <v>40</v>
      </c>
      <c r="B45" s="338" t="s">
        <v>23</v>
      </c>
      <c r="C45" s="339" t="s">
        <v>569</v>
      </c>
      <c r="D45" s="339" t="s">
        <v>570</v>
      </c>
      <c r="E45" s="339"/>
      <c r="F45" s="339"/>
      <c r="G45" s="339"/>
      <c r="H45" s="345" t="s">
        <v>6</v>
      </c>
    </row>
    <row r="46" spans="1:8" ht="171.75" customHeight="1" x14ac:dyDescent="0.25">
      <c r="A46" s="339" t="s">
        <v>44</v>
      </c>
      <c r="B46" s="338" t="s">
        <v>43</v>
      </c>
      <c r="C46" s="339" t="s">
        <v>46</v>
      </c>
      <c r="D46" s="339" t="s">
        <v>571</v>
      </c>
      <c r="E46" s="339" t="s">
        <v>65</v>
      </c>
      <c r="F46" s="339"/>
      <c r="G46" s="339"/>
      <c r="H46" s="345" t="s">
        <v>6</v>
      </c>
    </row>
    <row r="47" spans="1:8" ht="30" x14ac:dyDescent="0.25">
      <c r="A47" s="339" t="s">
        <v>44</v>
      </c>
      <c r="B47" s="338" t="s">
        <v>43</v>
      </c>
      <c r="C47" s="339" t="s">
        <v>46</v>
      </c>
      <c r="D47" s="339" t="s">
        <v>45</v>
      </c>
      <c r="E47" s="339"/>
      <c r="F47" s="339"/>
      <c r="G47" s="339"/>
      <c r="H47" s="345" t="s">
        <v>6</v>
      </c>
    </row>
    <row r="50" spans="1:8" x14ac:dyDescent="0.25">
      <c r="A50" s="377" t="s">
        <v>38</v>
      </c>
      <c r="B50" s="378"/>
      <c r="C50" s="378"/>
      <c r="D50" s="378"/>
      <c r="E50" s="378"/>
      <c r="F50" s="378"/>
      <c r="G50" s="378"/>
      <c r="H50" s="378"/>
    </row>
    <row r="51" spans="1:8" x14ac:dyDescent="0.25">
      <c r="A51" s="338"/>
      <c r="B51" s="338"/>
      <c r="C51" s="338"/>
      <c r="D51" s="339"/>
      <c r="E51" s="338"/>
      <c r="F51" s="339"/>
      <c r="G51" s="339"/>
      <c r="H51" s="345" t="s">
        <v>6</v>
      </c>
    </row>
    <row r="52" spans="1:8" x14ac:dyDescent="0.25">
      <c r="A52" s="338"/>
      <c r="B52" s="339"/>
      <c r="C52" s="338"/>
      <c r="D52" s="339"/>
      <c r="E52" s="338"/>
      <c r="F52" s="339"/>
      <c r="G52" s="339"/>
      <c r="H52" s="345" t="s">
        <v>6</v>
      </c>
    </row>
    <row r="57" spans="1:8" ht="12.75" customHeight="1" x14ac:dyDescent="0.25"/>
    <row r="58" spans="1:8" ht="12.75" customHeight="1" x14ac:dyDescent="0.25"/>
  </sheetData>
  <autoFilter ref="A1:G1"/>
  <mergeCells count="6">
    <mergeCell ref="A13:H13"/>
    <mergeCell ref="A34:H34"/>
    <mergeCell ref="A2:H2"/>
    <mergeCell ref="A50:H50"/>
    <mergeCell ref="A43:H43"/>
    <mergeCell ref="A22:H22"/>
  </mergeCells>
  <hyperlinks>
    <hyperlink ref="D44" r:id="rId1"/>
  </hyperlinks>
  <pageMargins left="0.7" right="0.7" top="0.75" bottom="0.75" header="0.3" footer="0.3"/>
  <pageSetup scale="64" fitToHeight="0"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11" operator="equal" id="{3DF76ADB-BFAF-4FA9-BF00-3702E0EA8F93}">
            <xm:f>Extra!$B$5</xm:f>
            <x14:dxf>
              <fill>
                <patternFill>
                  <bgColor theme="0" tint="-0.14996795556505021"/>
                </patternFill>
              </fill>
            </x14:dxf>
          </x14:cfRule>
          <x14:cfRule type="cellIs" priority="12" operator="equal" id="{FFB45FF6-50E1-431B-9E12-37E01570EA94}">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Extra!$B$3:$B$5</xm:f>
          </x14:formula1>
          <xm:sqref>H14 H51:H52 H44:H47 H35:H40 H23:H31 H14:H19 H6:H10 H3:H5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zoomScale="80" zoomScaleNormal="80" workbookViewId="0">
      <pane ySplit="1" topLeftCell="A2" activePane="bottomLeft" state="frozen"/>
      <selection activeCell="F18" sqref="F18"/>
      <selection pane="bottomLeft" activeCell="C18" sqref="C18"/>
    </sheetView>
  </sheetViews>
  <sheetFormatPr defaultColWidth="9.140625" defaultRowHeight="15" x14ac:dyDescent="0.25"/>
  <cols>
    <col min="1" max="1" width="15.28515625" style="342" customWidth="1"/>
    <col min="2" max="2" width="16.5703125" style="342" bestFit="1" customWidth="1"/>
    <col min="3" max="4" width="19.28515625" style="342" customWidth="1"/>
    <col min="5" max="5" width="57.140625" style="342" customWidth="1"/>
    <col min="6" max="6" width="44" style="342" customWidth="1"/>
    <col min="7" max="7" width="10.7109375" style="344" customWidth="1"/>
    <col min="8" max="8" width="24.28515625" style="337" customWidth="1"/>
  </cols>
  <sheetData>
    <row r="1" spans="1:8" ht="28.5" customHeight="1" thickBot="1" x14ac:dyDescent="0.3">
      <c r="A1" s="1" t="s">
        <v>3</v>
      </c>
      <c r="B1" s="1" t="s">
        <v>0</v>
      </c>
      <c r="C1" s="1" t="s">
        <v>4</v>
      </c>
      <c r="D1" s="1" t="s">
        <v>51</v>
      </c>
      <c r="E1" s="1" t="s">
        <v>1</v>
      </c>
      <c r="F1" s="1" t="s">
        <v>33</v>
      </c>
      <c r="G1" s="2" t="s">
        <v>70</v>
      </c>
      <c r="H1" s="347" t="s">
        <v>8</v>
      </c>
    </row>
    <row r="2" spans="1:8" ht="12.75" customHeight="1" x14ac:dyDescent="0.25">
      <c r="A2" s="382" t="s">
        <v>34</v>
      </c>
      <c r="B2" s="383"/>
      <c r="C2" s="383"/>
      <c r="D2" s="383"/>
      <c r="E2" s="383"/>
      <c r="F2" s="383"/>
      <c r="G2" s="384"/>
    </row>
    <row r="3" spans="1:8" ht="45" x14ac:dyDescent="0.25">
      <c r="A3" s="338">
        <v>35</v>
      </c>
      <c r="B3" s="338" t="s">
        <v>25</v>
      </c>
      <c r="C3" s="339" t="s">
        <v>28</v>
      </c>
      <c r="D3" s="339" t="s">
        <v>54</v>
      </c>
      <c r="E3" s="339" t="s">
        <v>572</v>
      </c>
      <c r="F3" s="339"/>
      <c r="G3" s="345" t="s">
        <v>6</v>
      </c>
    </row>
    <row r="4" spans="1:8" ht="30" x14ac:dyDescent="0.25">
      <c r="A4" s="340">
        <v>36</v>
      </c>
      <c r="B4" s="340" t="s">
        <v>26</v>
      </c>
      <c r="C4" s="341" t="s">
        <v>39</v>
      </c>
      <c r="D4" s="339" t="s">
        <v>53</v>
      </c>
      <c r="E4" s="339" t="s">
        <v>573</v>
      </c>
      <c r="F4" s="339"/>
      <c r="G4" s="345" t="s">
        <v>6</v>
      </c>
    </row>
    <row r="5" spans="1:8" ht="93.75" customHeight="1" x14ac:dyDescent="0.25">
      <c r="A5" s="338">
        <v>3</v>
      </c>
      <c r="B5" s="338" t="s">
        <v>24</v>
      </c>
      <c r="C5" s="339" t="s">
        <v>574</v>
      </c>
      <c r="D5" s="339" t="s">
        <v>54</v>
      </c>
      <c r="E5" s="339" t="s">
        <v>30</v>
      </c>
      <c r="F5" s="339"/>
      <c r="G5" s="345" t="s">
        <v>6</v>
      </c>
    </row>
    <row r="6" spans="1:8" ht="78" customHeight="1" x14ac:dyDescent="0.25">
      <c r="A6" s="338" t="s">
        <v>575</v>
      </c>
      <c r="B6" s="339" t="s">
        <v>525</v>
      </c>
      <c r="C6" s="339"/>
      <c r="D6" s="339" t="s">
        <v>53</v>
      </c>
      <c r="E6" s="339" t="s">
        <v>576</v>
      </c>
      <c r="F6" s="339"/>
      <c r="G6" s="345" t="s">
        <v>6</v>
      </c>
    </row>
    <row r="7" spans="1:8" ht="60" x14ac:dyDescent="0.25">
      <c r="A7" s="338">
        <v>30</v>
      </c>
      <c r="B7" s="339" t="s">
        <v>528</v>
      </c>
      <c r="C7" s="339" t="s">
        <v>577</v>
      </c>
      <c r="D7" s="339" t="s">
        <v>54</v>
      </c>
      <c r="E7" s="339" t="s">
        <v>578</v>
      </c>
      <c r="F7" s="339"/>
      <c r="G7" s="345" t="s">
        <v>6</v>
      </c>
    </row>
    <row r="8" spans="1:8" x14ac:dyDescent="0.25">
      <c r="G8" s="348"/>
      <c r="H8"/>
    </row>
    <row r="9" spans="1:8" x14ac:dyDescent="0.25">
      <c r="G9" s="348"/>
      <c r="H9"/>
    </row>
    <row r="10" spans="1:8" ht="14.45" customHeight="1" x14ac:dyDescent="0.25">
      <c r="A10" s="385" t="s">
        <v>35</v>
      </c>
      <c r="B10" s="386"/>
      <c r="C10" s="386"/>
      <c r="D10" s="386"/>
      <c r="E10" s="386"/>
      <c r="F10" s="386"/>
      <c r="G10" s="387"/>
      <c r="H10"/>
    </row>
    <row r="11" spans="1:8" ht="77.25" customHeight="1" x14ac:dyDescent="0.25">
      <c r="A11" s="338">
        <v>1</v>
      </c>
      <c r="B11" s="338" t="s">
        <v>27</v>
      </c>
      <c r="C11" s="339" t="s">
        <v>29</v>
      </c>
      <c r="D11" s="339" t="s">
        <v>54</v>
      </c>
      <c r="E11" s="339" t="s">
        <v>73</v>
      </c>
      <c r="F11" s="339"/>
      <c r="G11" s="345" t="s">
        <v>6</v>
      </c>
    </row>
    <row r="12" spans="1:8" ht="30" x14ac:dyDescent="0.25">
      <c r="A12" s="338">
        <v>39</v>
      </c>
      <c r="B12" s="338" t="s">
        <v>328</v>
      </c>
      <c r="C12" s="343" t="s">
        <v>579</v>
      </c>
      <c r="D12" s="339" t="s">
        <v>53</v>
      </c>
      <c r="E12" s="339" t="s">
        <v>580</v>
      </c>
      <c r="F12" s="339"/>
      <c r="G12" s="345" t="s">
        <v>6</v>
      </c>
    </row>
    <row r="13" spans="1:8" ht="45" x14ac:dyDescent="0.25">
      <c r="A13" s="338">
        <v>31</v>
      </c>
      <c r="B13" s="338" t="s">
        <v>536</v>
      </c>
      <c r="C13" s="339" t="s">
        <v>537</v>
      </c>
      <c r="D13" s="339" t="s">
        <v>53</v>
      </c>
      <c r="E13" s="339" t="s">
        <v>580</v>
      </c>
      <c r="F13" s="339"/>
      <c r="G13" s="345" t="s">
        <v>6</v>
      </c>
    </row>
    <row r="14" spans="1:8" ht="45" x14ac:dyDescent="0.25">
      <c r="A14" s="338">
        <v>32</v>
      </c>
      <c r="B14" s="338" t="s">
        <v>539</v>
      </c>
      <c r="C14" s="339" t="s">
        <v>540</v>
      </c>
      <c r="D14" s="339" t="s">
        <v>53</v>
      </c>
      <c r="E14" s="339" t="s">
        <v>580</v>
      </c>
      <c r="F14" s="339"/>
      <c r="G14" s="345" t="s">
        <v>6</v>
      </c>
    </row>
    <row r="15" spans="1:8" s="103" customFormat="1" x14ac:dyDescent="0.25">
      <c r="A15" s="349"/>
      <c r="B15" s="349"/>
      <c r="C15" s="350"/>
      <c r="D15" s="350"/>
      <c r="E15" s="349"/>
      <c r="F15" s="350"/>
      <c r="G15" s="351"/>
      <c r="H15" s="347"/>
    </row>
    <row r="17" spans="1:8" ht="12.75" customHeight="1" x14ac:dyDescent="0.25">
      <c r="A17" s="388" t="s">
        <v>9</v>
      </c>
      <c r="B17" s="388"/>
      <c r="C17" s="388"/>
      <c r="D17" s="388"/>
      <c r="E17" s="388"/>
      <c r="F17" s="388"/>
      <c r="G17" s="388"/>
    </row>
    <row r="18" spans="1:8" ht="312.75" customHeight="1" x14ac:dyDescent="0.25">
      <c r="A18" s="339" t="s">
        <v>47</v>
      </c>
      <c r="B18" s="339" t="s">
        <v>10</v>
      </c>
      <c r="C18" s="339" t="s">
        <v>542</v>
      </c>
      <c r="D18" s="339" t="s">
        <v>53</v>
      </c>
      <c r="E18" s="339" t="s">
        <v>581</v>
      </c>
      <c r="F18" s="338"/>
      <c r="G18" s="345" t="s">
        <v>6</v>
      </c>
    </row>
    <row r="19" spans="1:8" ht="319.5" customHeight="1" x14ac:dyDescent="0.25">
      <c r="A19" s="339" t="s">
        <v>47</v>
      </c>
      <c r="B19" s="339" t="s">
        <v>10</v>
      </c>
      <c r="C19" s="339" t="s">
        <v>542</v>
      </c>
      <c r="D19" s="339" t="s">
        <v>53</v>
      </c>
      <c r="E19" s="339" t="s">
        <v>52</v>
      </c>
      <c r="F19" s="338"/>
      <c r="G19" s="345" t="s">
        <v>6</v>
      </c>
    </row>
    <row r="20" spans="1:8" ht="60" x14ac:dyDescent="0.25">
      <c r="A20" s="339" t="s">
        <v>47</v>
      </c>
      <c r="B20" s="339" t="s">
        <v>10</v>
      </c>
      <c r="C20" s="339" t="s">
        <v>542</v>
      </c>
      <c r="D20" s="339" t="s">
        <v>53</v>
      </c>
      <c r="E20" s="339" t="s">
        <v>60</v>
      </c>
      <c r="F20" s="338"/>
      <c r="G20" s="345" t="s">
        <v>6</v>
      </c>
    </row>
    <row r="21" spans="1:8" ht="293.25" customHeight="1" x14ac:dyDescent="0.25">
      <c r="A21" s="339" t="s">
        <v>47</v>
      </c>
      <c r="B21" s="339" t="s">
        <v>10</v>
      </c>
      <c r="C21" s="339" t="s">
        <v>542</v>
      </c>
      <c r="D21" s="339" t="s">
        <v>53</v>
      </c>
      <c r="E21" s="339" t="s">
        <v>582</v>
      </c>
      <c r="F21" s="338"/>
      <c r="G21" s="345" t="s">
        <v>6</v>
      </c>
    </row>
    <row r="22" spans="1:8" ht="306" customHeight="1" x14ac:dyDescent="0.25">
      <c r="A22" s="339">
        <v>7</v>
      </c>
      <c r="B22" s="339" t="s">
        <v>13</v>
      </c>
      <c r="C22" s="339" t="s">
        <v>14</v>
      </c>
      <c r="D22" s="339" t="s">
        <v>54</v>
      </c>
      <c r="E22" s="339" t="s">
        <v>71</v>
      </c>
      <c r="F22" s="338"/>
      <c r="G22" s="345" t="s">
        <v>6</v>
      </c>
    </row>
    <row r="23" spans="1:8" ht="272.25" customHeight="1" x14ac:dyDescent="0.25">
      <c r="A23" s="339" t="s">
        <v>50</v>
      </c>
      <c r="B23" s="339" t="s">
        <v>547</v>
      </c>
      <c r="C23" s="339" t="s">
        <v>583</v>
      </c>
      <c r="D23" s="339" t="s">
        <v>54</v>
      </c>
      <c r="E23" s="339" t="s">
        <v>58</v>
      </c>
      <c r="F23" s="338"/>
      <c r="G23" s="345" t="s">
        <v>6</v>
      </c>
    </row>
    <row r="24" spans="1:8" ht="60" x14ac:dyDescent="0.25">
      <c r="A24" s="339" t="s">
        <v>50</v>
      </c>
      <c r="B24" s="339" t="s">
        <v>547</v>
      </c>
      <c r="C24" s="339" t="s">
        <v>583</v>
      </c>
      <c r="D24" s="339" t="s">
        <v>54</v>
      </c>
      <c r="E24" s="339" t="s">
        <v>59</v>
      </c>
      <c r="F24" s="338"/>
      <c r="G24" s="345" t="s">
        <v>6</v>
      </c>
    </row>
    <row r="25" spans="1:8" x14ac:dyDescent="0.25">
      <c r="A25"/>
      <c r="B25"/>
      <c r="C25"/>
      <c r="D25"/>
      <c r="E25"/>
      <c r="F25"/>
      <c r="G25"/>
      <c r="H25"/>
    </row>
    <row r="26" spans="1:8" ht="15.75" thickBot="1" x14ac:dyDescent="0.3">
      <c r="A26"/>
      <c r="B26"/>
      <c r="C26"/>
      <c r="D26" s="343"/>
      <c r="E26" s="343"/>
      <c r="F26" s="343"/>
    </row>
    <row r="27" spans="1:8" ht="12.75" customHeight="1" x14ac:dyDescent="0.25">
      <c r="A27" s="389" t="s">
        <v>36</v>
      </c>
      <c r="B27" s="390"/>
      <c r="C27" s="390"/>
      <c r="D27" s="390"/>
      <c r="E27" s="390"/>
      <c r="F27" s="390"/>
      <c r="G27" s="391"/>
    </row>
    <row r="28" spans="1:8" ht="291" customHeight="1" x14ac:dyDescent="0.25">
      <c r="A28" s="339">
        <v>27</v>
      </c>
      <c r="B28" s="339" t="s">
        <v>12</v>
      </c>
      <c r="C28" s="339" t="s">
        <v>15</v>
      </c>
      <c r="D28" s="339" t="s">
        <v>54</v>
      </c>
      <c r="E28" s="339" t="s">
        <v>72</v>
      </c>
      <c r="F28" s="339" t="s">
        <v>31</v>
      </c>
      <c r="G28" s="345" t="s">
        <v>6</v>
      </c>
    </row>
    <row r="29" spans="1:8" ht="275.25" customHeight="1" x14ac:dyDescent="0.25">
      <c r="A29" s="339">
        <v>28</v>
      </c>
      <c r="B29" s="339" t="s">
        <v>11</v>
      </c>
      <c r="C29" s="339" t="s">
        <v>16</v>
      </c>
      <c r="D29" s="339" t="s">
        <v>54</v>
      </c>
      <c r="E29" s="339" t="s">
        <v>584</v>
      </c>
      <c r="F29" s="339" t="s">
        <v>32</v>
      </c>
      <c r="G29" s="345" t="s">
        <v>6</v>
      </c>
    </row>
    <row r="30" spans="1:8" ht="117.75" customHeight="1" x14ac:dyDescent="0.25">
      <c r="A30" s="338">
        <v>38</v>
      </c>
      <c r="B30" s="338" t="s">
        <v>2</v>
      </c>
      <c r="C30" s="339" t="s">
        <v>585</v>
      </c>
      <c r="D30" s="339" t="s">
        <v>53</v>
      </c>
      <c r="E30" s="339" t="s">
        <v>586</v>
      </c>
      <c r="F30" s="339"/>
      <c r="G30" s="345" t="s">
        <v>6</v>
      </c>
    </row>
    <row r="31" spans="1:8" ht="274.5" customHeight="1" x14ac:dyDescent="0.25">
      <c r="A31" s="338">
        <v>38</v>
      </c>
      <c r="B31" s="338" t="s">
        <v>2</v>
      </c>
      <c r="C31" s="339" t="s">
        <v>585</v>
      </c>
      <c r="D31" s="339" t="s">
        <v>53</v>
      </c>
      <c r="E31" s="339" t="s">
        <v>55</v>
      </c>
      <c r="F31" s="339"/>
      <c r="G31" s="345"/>
    </row>
    <row r="32" spans="1:8" ht="257.25" customHeight="1" x14ac:dyDescent="0.25">
      <c r="A32" s="339" t="s">
        <v>559</v>
      </c>
      <c r="B32" s="339" t="s">
        <v>56</v>
      </c>
      <c r="C32" s="339" t="s">
        <v>17</v>
      </c>
      <c r="D32" s="339" t="s">
        <v>53</v>
      </c>
      <c r="E32" s="338" t="s">
        <v>587</v>
      </c>
      <c r="F32" s="338"/>
      <c r="G32" s="345" t="s">
        <v>6</v>
      </c>
    </row>
    <row r="33" spans="1:8" ht="291" customHeight="1" x14ac:dyDescent="0.25">
      <c r="A33" s="339" t="s">
        <v>559</v>
      </c>
      <c r="B33" s="339" t="s">
        <v>56</v>
      </c>
      <c r="C33" s="339" t="s">
        <v>17</v>
      </c>
      <c r="D33" s="339" t="s">
        <v>53</v>
      </c>
      <c r="E33" s="339" t="s">
        <v>588</v>
      </c>
      <c r="F33" s="338"/>
      <c r="G33" s="345" t="s">
        <v>6</v>
      </c>
    </row>
    <row r="34" spans="1:8" ht="156" customHeight="1" x14ac:dyDescent="0.25">
      <c r="A34" s="338">
        <v>26</v>
      </c>
      <c r="B34" s="338" t="s">
        <v>561</v>
      </c>
      <c r="C34" s="339" t="s">
        <v>589</v>
      </c>
      <c r="D34" s="339"/>
      <c r="E34" s="339" t="s">
        <v>590</v>
      </c>
      <c r="F34" s="339"/>
      <c r="G34" s="345" t="s">
        <v>6</v>
      </c>
    </row>
    <row r="35" spans="1:8" ht="271.5" customHeight="1" x14ac:dyDescent="0.25">
      <c r="A35" s="338">
        <v>29</v>
      </c>
      <c r="B35" s="339" t="s">
        <v>563</v>
      </c>
      <c r="C35" s="339" t="s">
        <v>564</v>
      </c>
      <c r="D35" s="339" t="s">
        <v>53</v>
      </c>
      <c r="E35" s="339" t="s">
        <v>591</v>
      </c>
      <c r="F35" s="339"/>
      <c r="G35" s="345" t="s">
        <v>6</v>
      </c>
    </row>
    <row r="36" spans="1:8" ht="270" customHeight="1" x14ac:dyDescent="0.25">
      <c r="A36" s="338">
        <v>29</v>
      </c>
      <c r="B36" s="339" t="s">
        <v>563</v>
      </c>
      <c r="C36" s="339" t="s">
        <v>564</v>
      </c>
      <c r="D36" s="339" t="s">
        <v>53</v>
      </c>
      <c r="E36" s="339" t="s">
        <v>592</v>
      </c>
      <c r="F36" s="338"/>
      <c r="G36" s="345" t="s">
        <v>6</v>
      </c>
      <c r="H36"/>
    </row>
    <row r="37" spans="1:8" x14ac:dyDescent="0.25">
      <c r="A37" s="343"/>
      <c r="G37" s="348"/>
      <c r="H37"/>
    </row>
    <row r="38" spans="1:8" ht="15.75" thickBot="1" x14ac:dyDescent="0.3">
      <c r="A38" s="343"/>
      <c r="G38" s="348"/>
      <c r="H38"/>
    </row>
    <row r="39" spans="1:8" x14ac:dyDescent="0.25">
      <c r="A39" s="389" t="s">
        <v>37</v>
      </c>
      <c r="B39" s="390"/>
      <c r="C39" s="390"/>
      <c r="D39" s="390"/>
      <c r="E39" s="390"/>
      <c r="F39" s="390"/>
      <c r="G39" s="391"/>
    </row>
    <row r="40" spans="1:8" ht="45" x14ac:dyDescent="0.25">
      <c r="A40" s="338" t="s">
        <v>593</v>
      </c>
      <c r="B40" s="339" t="s">
        <v>594</v>
      </c>
      <c r="C40" s="339"/>
      <c r="D40" s="339" t="s">
        <v>54</v>
      </c>
      <c r="E40" s="339" t="s">
        <v>595</v>
      </c>
      <c r="F40" s="339"/>
      <c r="G40" s="345" t="s">
        <v>6</v>
      </c>
    </row>
    <row r="41" spans="1:8" ht="45" x14ac:dyDescent="0.25">
      <c r="A41" s="339">
        <v>3</v>
      </c>
      <c r="B41" s="338" t="s">
        <v>19</v>
      </c>
      <c r="C41" s="339" t="s">
        <v>21</v>
      </c>
      <c r="D41" s="339" t="s">
        <v>54</v>
      </c>
      <c r="E41" s="339" t="s">
        <v>66</v>
      </c>
      <c r="F41" s="338"/>
      <c r="G41" s="345" t="s">
        <v>6</v>
      </c>
      <c r="H41"/>
    </row>
    <row r="42" spans="1:8" ht="45" x14ac:dyDescent="0.25">
      <c r="A42" s="339">
        <v>2</v>
      </c>
      <c r="B42" s="338" t="s">
        <v>20</v>
      </c>
      <c r="C42" s="339" t="s">
        <v>22</v>
      </c>
      <c r="D42" s="339" t="s">
        <v>54</v>
      </c>
      <c r="E42" s="339" t="s">
        <v>67</v>
      </c>
      <c r="F42" s="338"/>
      <c r="G42" s="345" t="s">
        <v>6</v>
      </c>
      <c r="H42"/>
    </row>
    <row r="43" spans="1:8" x14ac:dyDescent="0.25">
      <c r="A43" s="343"/>
      <c r="C43" s="343"/>
      <c r="D43" s="343"/>
      <c r="E43" s="343"/>
    </row>
    <row r="44" spans="1:8" ht="15.75" thickBot="1" x14ac:dyDescent="0.3"/>
    <row r="45" spans="1:8" x14ac:dyDescent="0.25">
      <c r="A45" s="389" t="s">
        <v>38</v>
      </c>
      <c r="B45" s="390"/>
      <c r="C45" s="390"/>
      <c r="D45" s="390"/>
      <c r="E45" s="390"/>
      <c r="F45" s="390"/>
      <c r="G45" s="391"/>
    </row>
    <row r="46" spans="1:8" x14ac:dyDescent="0.25">
      <c r="A46" s="339"/>
      <c r="B46" s="338"/>
      <c r="C46" s="339"/>
      <c r="D46" s="339"/>
      <c r="E46" s="339"/>
      <c r="F46" s="339"/>
      <c r="G46" s="345" t="s">
        <v>6</v>
      </c>
    </row>
    <row r="47" spans="1:8" x14ac:dyDescent="0.25">
      <c r="A47" s="338"/>
      <c r="B47" s="339"/>
      <c r="C47" s="338"/>
      <c r="D47" s="338"/>
      <c r="E47" s="339"/>
      <c r="F47" s="338"/>
      <c r="G47" s="345" t="s">
        <v>6</v>
      </c>
    </row>
    <row r="48" spans="1:8" x14ac:dyDescent="0.25">
      <c r="A48" s="338"/>
      <c r="B48" s="339"/>
      <c r="C48" s="338"/>
      <c r="D48" s="338"/>
      <c r="E48" s="339"/>
      <c r="F48" s="339"/>
      <c r="G48" s="345" t="s">
        <v>6</v>
      </c>
    </row>
  </sheetData>
  <autoFilter ref="A1:H1"/>
  <mergeCells count="6">
    <mergeCell ref="A45:G45"/>
    <mergeCell ref="A2:G2"/>
    <mergeCell ref="A10:G10"/>
    <mergeCell ref="A17:G17"/>
    <mergeCell ref="A27:G27"/>
    <mergeCell ref="A39:G39"/>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 operator="equal" id="{90C318CD-403B-4A2A-BD38-497723040453}">
            <xm:f>Extra!$B$5</xm:f>
            <x14:dxf>
              <fill>
                <patternFill>
                  <bgColor theme="0" tint="-0.14996795556505021"/>
                </patternFill>
              </fill>
            </x14:dxf>
          </x14:cfRule>
          <x14:cfRule type="cellIs" priority="2" operator="equal" id="{82E4E5AB-B2C0-4A51-B4C4-3DD186F6AF54}">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[3]Extra!#REF!</xm:f>
          </x14:formula1>
          <xm:sqref>G11:G15 G46:G48 G3:G9 G28:G36 G26 G18:G24 G40:G43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
  <sheetViews>
    <sheetView topLeftCell="A4" workbookViewId="0">
      <selection activeCell="B9" sqref="B9"/>
    </sheetView>
  </sheetViews>
  <sheetFormatPr defaultRowHeight="15" x14ac:dyDescent="0.25"/>
  <cols>
    <col min="1" max="1" width="15.140625" bestFit="1" customWidth="1"/>
    <col min="2" max="2" width="9.85546875" bestFit="1" customWidth="1"/>
    <col min="3" max="3" width="16.42578125" bestFit="1" customWidth="1"/>
    <col min="4" max="4" width="10" bestFit="1" customWidth="1"/>
    <col min="5" max="5" width="9.42578125" bestFit="1" customWidth="1"/>
    <col min="6" max="6" width="6.42578125" bestFit="1" customWidth="1"/>
    <col min="7" max="7" width="16.42578125" bestFit="1" customWidth="1"/>
    <col min="8" max="8" width="9.28515625" bestFit="1" customWidth="1"/>
    <col min="9" max="9" width="9.5703125" bestFit="1" customWidth="1"/>
    <col min="10" max="10" width="12" customWidth="1"/>
    <col min="11" max="12" width="8.85546875" bestFit="1" customWidth="1"/>
    <col min="13" max="13" width="29" bestFit="1" customWidth="1"/>
    <col min="14" max="14" width="12.42578125" bestFit="1" customWidth="1"/>
    <col min="15" max="15" width="6.42578125" bestFit="1" customWidth="1"/>
    <col min="16" max="16" width="5.85546875" bestFit="1" customWidth="1"/>
    <col min="17" max="17" width="12.140625" customWidth="1"/>
    <col min="18" max="18" width="7.7109375" bestFit="1" customWidth="1"/>
    <col min="19" max="19" width="4.42578125" bestFit="1" customWidth="1"/>
    <col min="20" max="20" width="7.5703125" bestFit="1" customWidth="1"/>
    <col min="21" max="21" width="6.85546875" bestFit="1" customWidth="1"/>
    <col min="22" max="22" width="11" style="103" bestFit="1" customWidth="1"/>
  </cols>
  <sheetData>
    <row r="1" spans="1:22" x14ac:dyDescent="0.25">
      <c r="A1" s="85">
        <v>1</v>
      </c>
      <c r="B1" s="85">
        <v>2</v>
      </c>
      <c r="C1" s="85">
        <v>3</v>
      </c>
      <c r="D1" s="85">
        <v>4</v>
      </c>
      <c r="E1" s="85">
        <v>5</v>
      </c>
      <c r="F1" s="85">
        <v>6</v>
      </c>
      <c r="G1" s="85">
        <v>7</v>
      </c>
      <c r="H1" s="85">
        <v>8</v>
      </c>
      <c r="I1" s="85">
        <v>9</v>
      </c>
      <c r="J1" s="85">
        <v>10</v>
      </c>
      <c r="K1" s="85">
        <v>11</v>
      </c>
      <c r="L1" s="85">
        <v>12</v>
      </c>
      <c r="M1" s="85">
        <v>13</v>
      </c>
      <c r="N1" s="85">
        <v>14</v>
      </c>
      <c r="O1" s="85">
        <v>15</v>
      </c>
      <c r="P1" s="85">
        <v>16</v>
      </c>
      <c r="Q1" s="85">
        <v>17</v>
      </c>
      <c r="R1" s="85">
        <v>18</v>
      </c>
      <c r="S1" s="85">
        <v>19</v>
      </c>
      <c r="T1" s="85">
        <v>20</v>
      </c>
      <c r="U1" s="85">
        <v>21</v>
      </c>
      <c r="V1" s="86"/>
    </row>
    <row r="2" spans="1:22" x14ac:dyDescent="0.25">
      <c r="A2" s="87" t="s">
        <v>268</v>
      </c>
      <c r="B2" s="87" t="s">
        <v>269</v>
      </c>
      <c r="C2" s="87" t="s">
        <v>270</v>
      </c>
      <c r="D2" s="87" t="s">
        <v>271</v>
      </c>
      <c r="E2" s="87" t="s">
        <v>272</v>
      </c>
      <c r="F2" s="87" t="s">
        <v>273</v>
      </c>
      <c r="G2" s="87" t="s">
        <v>274</v>
      </c>
      <c r="H2" s="87" t="s">
        <v>275</v>
      </c>
      <c r="I2" s="87" t="s">
        <v>276</v>
      </c>
      <c r="J2" s="87" t="s">
        <v>97</v>
      </c>
      <c r="K2" s="87" t="s">
        <v>277</v>
      </c>
      <c r="L2" s="87" t="s">
        <v>278</v>
      </c>
      <c r="M2" s="87" t="s">
        <v>279</v>
      </c>
      <c r="N2" s="87" t="s">
        <v>280</v>
      </c>
      <c r="O2" s="87" t="s">
        <v>281</v>
      </c>
      <c r="P2" s="88" t="s">
        <v>282</v>
      </c>
      <c r="Q2" s="87" t="s">
        <v>283</v>
      </c>
      <c r="R2" s="88" t="s">
        <v>284</v>
      </c>
      <c r="S2" s="88" t="s">
        <v>285</v>
      </c>
      <c r="T2" s="88" t="s">
        <v>105</v>
      </c>
      <c r="U2" s="88" t="s">
        <v>107</v>
      </c>
      <c r="V2" s="89"/>
    </row>
    <row r="3" spans="1:22" x14ac:dyDescent="0.25">
      <c r="A3" s="90" t="s">
        <v>476</v>
      </c>
      <c r="B3" s="90"/>
      <c r="C3" s="90"/>
      <c r="D3" s="90"/>
      <c r="E3" s="90"/>
      <c r="F3" s="90"/>
      <c r="G3" s="90"/>
      <c r="H3" s="90"/>
      <c r="I3" s="90">
        <v>100</v>
      </c>
      <c r="J3" s="90">
        <v>0.6</v>
      </c>
      <c r="K3" s="90"/>
      <c r="L3" s="90"/>
      <c r="M3" s="90"/>
      <c r="N3" s="90">
        <v>50</v>
      </c>
      <c r="O3" s="90">
        <v>515</v>
      </c>
      <c r="P3" s="90">
        <v>3.18</v>
      </c>
      <c r="Q3" s="90">
        <v>1.35</v>
      </c>
      <c r="R3" s="90"/>
      <c r="S3" s="90"/>
      <c r="T3" s="90">
        <v>1.2</v>
      </c>
      <c r="U3" s="90" t="s">
        <v>49</v>
      </c>
      <c r="V3" s="91"/>
    </row>
    <row r="4" spans="1:22" x14ac:dyDescent="0.25">
      <c r="A4" s="90" t="s">
        <v>477</v>
      </c>
      <c r="B4" s="90">
        <v>4.5</v>
      </c>
      <c r="C4" s="90">
        <v>18</v>
      </c>
      <c r="D4" s="90">
        <v>35</v>
      </c>
      <c r="E4" s="90">
        <v>200</v>
      </c>
      <c r="F4" s="90">
        <v>500</v>
      </c>
      <c r="G4" s="90">
        <v>1000</v>
      </c>
      <c r="H4" s="90">
        <v>42</v>
      </c>
      <c r="I4" s="90">
        <v>100</v>
      </c>
      <c r="J4" s="90">
        <v>0.6</v>
      </c>
      <c r="K4" s="90" t="s">
        <v>286</v>
      </c>
      <c r="L4" s="90" t="s">
        <v>286</v>
      </c>
      <c r="M4" s="90"/>
      <c r="N4" s="90"/>
      <c r="O4" s="90">
        <v>515</v>
      </c>
      <c r="P4" s="90">
        <v>3.18</v>
      </c>
      <c r="Q4" s="90">
        <v>1.35</v>
      </c>
      <c r="R4" s="90"/>
      <c r="S4" s="90"/>
      <c r="T4" s="90">
        <v>1.2</v>
      </c>
      <c r="U4" s="90" t="s">
        <v>49</v>
      </c>
      <c r="V4" s="91"/>
    </row>
    <row r="5" spans="1:22" x14ac:dyDescent="0.25">
      <c r="A5" s="90" t="s">
        <v>478</v>
      </c>
      <c r="B5" s="90">
        <v>4.5</v>
      </c>
      <c r="C5" s="90">
        <v>18</v>
      </c>
      <c r="D5" s="90">
        <v>35</v>
      </c>
      <c r="E5" s="90">
        <v>200</v>
      </c>
      <c r="F5" s="90">
        <v>500</v>
      </c>
      <c r="G5" s="90">
        <v>1000</v>
      </c>
      <c r="H5" s="90">
        <v>42</v>
      </c>
      <c r="I5" s="90">
        <v>100</v>
      </c>
      <c r="J5" s="90">
        <v>0.6</v>
      </c>
      <c r="K5" s="90" t="s">
        <v>286</v>
      </c>
      <c r="L5" s="90" t="s">
        <v>286</v>
      </c>
      <c r="M5" s="90"/>
      <c r="N5" s="90"/>
      <c r="O5" s="90">
        <v>515</v>
      </c>
      <c r="P5" s="90">
        <v>3.18</v>
      </c>
      <c r="Q5" s="90">
        <v>1.25</v>
      </c>
      <c r="R5" s="90"/>
      <c r="S5" s="90"/>
      <c r="T5" s="90">
        <v>1.3</v>
      </c>
      <c r="U5" s="92"/>
      <c r="V5" s="91"/>
    </row>
    <row r="6" spans="1:22" x14ac:dyDescent="0.25">
      <c r="A6" s="92"/>
      <c r="B6" s="92"/>
      <c r="C6" s="92"/>
      <c r="D6" s="92"/>
      <c r="E6" s="92"/>
      <c r="F6" s="92"/>
      <c r="G6" s="92"/>
      <c r="H6" s="92"/>
      <c r="I6" s="92"/>
      <c r="J6" s="92"/>
      <c r="K6" s="92"/>
      <c r="L6" s="92"/>
      <c r="M6" s="92"/>
      <c r="N6" s="92"/>
      <c r="O6" s="92"/>
      <c r="P6" s="92"/>
      <c r="Q6" s="92"/>
      <c r="R6" s="93"/>
      <c r="S6" s="92"/>
      <c r="T6" s="92"/>
      <c r="U6" s="92"/>
      <c r="V6" s="91"/>
    </row>
    <row r="7" spans="1:22" x14ac:dyDescent="0.25">
      <c r="A7" s="94"/>
      <c r="B7" s="95"/>
      <c r="C7" s="95"/>
      <c r="D7" s="95"/>
      <c r="E7" s="95"/>
      <c r="F7" s="95"/>
      <c r="G7" s="95"/>
      <c r="H7" s="95"/>
      <c r="I7" s="95"/>
      <c r="J7" s="96"/>
      <c r="K7" s="97"/>
      <c r="L7" s="97"/>
      <c r="M7" s="95"/>
      <c r="N7" s="95"/>
      <c r="O7" s="95"/>
      <c r="P7" s="95"/>
      <c r="Q7" s="95"/>
      <c r="R7" s="95"/>
      <c r="S7" s="95"/>
      <c r="T7" s="95"/>
      <c r="U7" s="95"/>
      <c r="V7" s="91"/>
    </row>
    <row r="8" spans="1:22" x14ac:dyDescent="0.25">
      <c r="A8" s="94"/>
      <c r="B8" s="95"/>
      <c r="C8" s="95"/>
      <c r="D8" s="95"/>
      <c r="E8" s="95"/>
      <c r="F8" s="95"/>
      <c r="G8" s="95"/>
      <c r="H8" s="95"/>
      <c r="I8" s="95"/>
      <c r="J8" s="96"/>
      <c r="K8" s="97"/>
      <c r="L8" s="97"/>
      <c r="M8" s="95"/>
      <c r="N8" s="95"/>
      <c r="O8" s="95"/>
      <c r="P8" s="95"/>
      <c r="Q8" s="95"/>
      <c r="R8" s="95"/>
      <c r="S8" s="95"/>
      <c r="T8" s="95"/>
      <c r="U8" s="95"/>
      <c r="V8" s="91"/>
    </row>
    <row r="9" spans="1:22" x14ac:dyDescent="0.25">
      <c r="A9" s="94"/>
      <c r="B9" s="94"/>
      <c r="C9" s="94"/>
      <c r="D9" s="94"/>
      <c r="E9" s="94"/>
      <c r="F9" s="94"/>
      <c r="G9" s="94"/>
      <c r="H9" s="94"/>
      <c r="I9" s="97"/>
      <c r="J9" s="96"/>
      <c r="K9" s="97"/>
      <c r="L9" s="97"/>
      <c r="M9" s="98"/>
      <c r="N9" s="94"/>
      <c r="O9" s="97"/>
      <c r="P9" s="97"/>
      <c r="Q9" s="97"/>
      <c r="R9" s="95"/>
      <c r="S9" s="96"/>
      <c r="T9" s="95"/>
      <c r="U9" s="95"/>
      <c r="V9" s="91"/>
    </row>
    <row r="10" spans="1:22" x14ac:dyDescent="0.25">
      <c r="A10" s="94"/>
      <c r="B10" s="94"/>
      <c r="C10" s="94"/>
      <c r="D10" s="94"/>
      <c r="E10" s="94"/>
      <c r="F10" s="94"/>
      <c r="G10" s="94"/>
      <c r="H10" s="94"/>
      <c r="I10" s="97"/>
      <c r="J10" s="96"/>
      <c r="K10" s="97"/>
      <c r="L10" s="97"/>
      <c r="M10" s="98"/>
      <c r="N10" s="94"/>
      <c r="O10" s="97"/>
      <c r="P10" s="97"/>
      <c r="Q10" s="97"/>
      <c r="R10" s="95"/>
      <c r="S10" s="96"/>
      <c r="T10" s="95"/>
      <c r="U10" s="95"/>
      <c r="V10" s="91"/>
    </row>
    <row r="11" spans="1:22" x14ac:dyDescent="0.25">
      <c r="A11" s="99"/>
      <c r="B11" s="99"/>
      <c r="C11" s="99"/>
      <c r="D11" s="99"/>
      <c r="E11" s="99"/>
      <c r="F11" s="99"/>
      <c r="G11" s="99"/>
      <c r="H11" s="99"/>
      <c r="I11" s="100"/>
      <c r="J11" s="100"/>
      <c r="K11" s="100"/>
      <c r="L11" s="100"/>
      <c r="M11" s="100"/>
      <c r="N11" s="100"/>
      <c r="O11" s="100"/>
      <c r="P11" s="100"/>
      <c r="Q11" s="100"/>
      <c r="R11" s="101"/>
      <c r="S11" s="101"/>
      <c r="V11" s="91"/>
    </row>
    <row r="12" spans="1:22" x14ac:dyDescent="0.25">
      <c r="A12" s="99"/>
      <c r="B12" s="102"/>
      <c r="C12" s="99"/>
      <c r="D12" s="99"/>
      <c r="E12" s="99"/>
      <c r="F12" s="99"/>
      <c r="G12" s="99"/>
      <c r="H12" s="99"/>
      <c r="I12" s="100"/>
      <c r="J12" s="100"/>
      <c r="K12" s="100"/>
      <c r="L12" s="100"/>
      <c r="M12" s="100"/>
      <c r="N12" s="100"/>
      <c r="O12" s="100"/>
      <c r="P12" s="100"/>
      <c r="Q12" s="100"/>
      <c r="R12" s="101"/>
      <c r="S12" s="101"/>
      <c r="V12" s="91"/>
    </row>
    <row r="13" spans="1:22" x14ac:dyDescent="0.25">
      <c r="A13" s="99"/>
      <c r="B13" s="99"/>
      <c r="C13" s="99"/>
      <c r="D13" s="99"/>
      <c r="E13" s="99"/>
      <c r="F13" s="99"/>
      <c r="G13" s="99"/>
      <c r="H13" s="99"/>
      <c r="I13" s="100"/>
      <c r="J13" s="100"/>
      <c r="K13" s="100"/>
      <c r="L13" s="100"/>
      <c r="M13" s="100"/>
      <c r="N13" s="100"/>
      <c r="O13" s="100"/>
      <c r="P13" s="100"/>
      <c r="Q13" s="100"/>
      <c r="R13" s="101"/>
      <c r="S13" s="101"/>
    </row>
    <row r="14" spans="1:22" ht="15.75" thickBot="1" x14ac:dyDescent="0.3">
      <c r="A14" s="92" t="s">
        <v>462</v>
      </c>
      <c r="B14" s="92"/>
      <c r="C14" s="104" t="s">
        <v>287</v>
      </c>
      <c r="D14" s="90"/>
      <c r="E14" s="92"/>
      <c r="F14" s="92"/>
      <c r="G14" s="92"/>
      <c r="H14" s="105" t="s">
        <v>288</v>
      </c>
      <c r="I14" s="92"/>
      <c r="J14" s="92"/>
      <c r="K14" s="92"/>
      <c r="L14" s="92"/>
      <c r="M14" s="100"/>
      <c r="N14" s="100"/>
      <c r="O14" s="100"/>
      <c r="P14" s="100"/>
      <c r="Q14" s="100"/>
      <c r="R14" s="92"/>
      <c r="S14" s="92"/>
      <c r="T14" s="92"/>
      <c r="U14" s="92"/>
    </row>
    <row r="15" spans="1:22" ht="15.75" thickBot="1" x14ac:dyDescent="0.3">
      <c r="A15" s="160" t="s">
        <v>461</v>
      </c>
      <c r="B15" s="92"/>
      <c r="C15" s="106" t="s">
        <v>289</v>
      </c>
      <c r="D15" s="107" t="s">
        <v>19</v>
      </c>
      <c r="E15" s="108" t="s">
        <v>20</v>
      </c>
      <c r="F15" s="92"/>
      <c r="G15" s="92"/>
      <c r="H15" s="109" t="s">
        <v>290</v>
      </c>
      <c r="I15" s="110" t="s">
        <v>291</v>
      </c>
      <c r="K15" s="92"/>
      <c r="L15" s="92"/>
      <c r="M15" s="155"/>
      <c r="N15" s="100"/>
      <c r="O15" s="100"/>
      <c r="P15" s="100"/>
      <c r="Q15" s="100"/>
      <c r="R15" s="92"/>
      <c r="S15" s="92"/>
      <c r="T15" s="92"/>
      <c r="U15" s="92"/>
    </row>
    <row r="16" spans="1:22" x14ac:dyDescent="0.25">
      <c r="A16" s="151"/>
      <c r="B16" s="100" t="str">
        <f>D16&amp;E16</f>
        <v>7.157.15</v>
      </c>
      <c r="C16" s="112">
        <v>0</v>
      </c>
      <c r="D16" s="113">
        <v>7.15</v>
      </c>
      <c r="E16" s="114">
        <v>7.15</v>
      </c>
      <c r="G16" s="92"/>
      <c r="H16" s="115">
        <v>250</v>
      </c>
      <c r="I16" s="116">
        <v>10</v>
      </c>
      <c r="K16" s="92"/>
      <c r="L16" s="92"/>
      <c r="M16" s="151"/>
      <c r="N16" s="150"/>
      <c r="O16" s="154"/>
      <c r="P16" s="100"/>
      <c r="Q16" s="100"/>
      <c r="S16" s="101"/>
    </row>
    <row r="17" spans="1:19" x14ac:dyDescent="0.25">
      <c r="A17" s="111"/>
      <c r="B17" s="150" t="str">
        <f>D17&amp;E17</f>
        <v>147.15</v>
      </c>
      <c r="C17" s="117">
        <v>1</v>
      </c>
      <c r="D17" s="118">
        <v>14</v>
      </c>
      <c r="E17" s="119">
        <v>7.15</v>
      </c>
      <c r="G17" s="92"/>
      <c r="H17" s="120">
        <v>300</v>
      </c>
      <c r="I17" s="121">
        <v>17.8</v>
      </c>
      <c r="K17" s="92"/>
      <c r="L17" s="92"/>
      <c r="M17" s="153"/>
      <c r="N17" s="150"/>
      <c r="O17" s="154"/>
      <c r="P17" s="100"/>
      <c r="Q17" s="100"/>
      <c r="S17" s="101"/>
    </row>
    <row r="18" spans="1:19" x14ac:dyDescent="0.25">
      <c r="A18" s="100"/>
      <c r="B18" s="150" t="str">
        <f t="shared" ref="B18:B79" si="0">D18&amp;E18</f>
        <v>22.67.15</v>
      </c>
      <c r="C18" s="117">
        <v>2</v>
      </c>
      <c r="D18" s="118">
        <v>22.6</v>
      </c>
      <c r="E18" s="119">
        <v>7.15</v>
      </c>
      <c r="G18" s="92"/>
      <c r="H18" s="120">
        <v>400</v>
      </c>
      <c r="I18" s="121">
        <v>27.4</v>
      </c>
      <c r="K18" s="92"/>
      <c r="L18" s="92"/>
      <c r="M18" s="147"/>
      <c r="N18" s="150"/>
      <c r="O18" s="154"/>
      <c r="S18" s="101"/>
    </row>
    <row r="19" spans="1:19" x14ac:dyDescent="0.25">
      <c r="A19" s="100"/>
      <c r="B19" s="150" t="str">
        <f t="shared" si="0"/>
        <v>34.87.15</v>
      </c>
      <c r="C19" s="117">
        <v>3</v>
      </c>
      <c r="D19" s="118">
        <v>34.799999999999997</v>
      </c>
      <c r="E19" s="119">
        <v>7.15</v>
      </c>
      <c r="G19" s="92"/>
      <c r="H19" s="120">
        <v>500</v>
      </c>
      <c r="I19" s="121">
        <v>38.299999999999997</v>
      </c>
      <c r="K19" s="92"/>
      <c r="L19" s="92"/>
      <c r="M19" s="152"/>
      <c r="N19" s="150"/>
      <c r="O19" s="154"/>
      <c r="S19" s="101"/>
    </row>
    <row r="20" spans="1:19" x14ac:dyDescent="0.25">
      <c r="A20" s="100"/>
      <c r="B20" s="150" t="str">
        <f t="shared" si="0"/>
        <v>51.17.15</v>
      </c>
      <c r="C20" s="117">
        <v>4</v>
      </c>
      <c r="D20" s="118">
        <v>51.1</v>
      </c>
      <c r="E20" s="119">
        <v>7.15</v>
      </c>
      <c r="G20" s="92"/>
      <c r="H20" s="120">
        <v>650</v>
      </c>
      <c r="I20" s="121">
        <v>56.2</v>
      </c>
      <c r="K20" s="92"/>
      <c r="L20" s="92"/>
      <c r="S20" s="101"/>
    </row>
    <row r="21" spans="1:19" x14ac:dyDescent="0.25">
      <c r="A21" s="122"/>
      <c r="B21" s="150" t="str">
        <f t="shared" si="0"/>
        <v>78.77.15</v>
      </c>
      <c r="C21" s="117">
        <v>5</v>
      </c>
      <c r="D21" s="118">
        <v>78.7</v>
      </c>
      <c r="E21" s="119">
        <v>7.15</v>
      </c>
      <c r="G21" s="92"/>
      <c r="H21" s="120">
        <v>750</v>
      </c>
      <c r="I21" s="121">
        <v>86.6</v>
      </c>
      <c r="K21" s="92"/>
      <c r="L21" s="92"/>
      <c r="R21" s="101"/>
      <c r="S21" s="101"/>
    </row>
    <row r="22" spans="1:19" x14ac:dyDescent="0.25">
      <c r="A22" s="99"/>
      <c r="B22" s="150" t="str">
        <f t="shared" si="0"/>
        <v>1217.15</v>
      </c>
      <c r="C22" s="117">
        <v>6</v>
      </c>
      <c r="D22" s="118">
        <v>121</v>
      </c>
      <c r="E22" s="119">
        <v>7.15</v>
      </c>
      <c r="G22" s="92"/>
      <c r="H22" s="120">
        <v>850</v>
      </c>
      <c r="I22" s="121">
        <v>133</v>
      </c>
      <c r="K22" s="92"/>
      <c r="L22" s="92"/>
      <c r="R22" s="101"/>
      <c r="S22" s="101"/>
    </row>
    <row r="23" spans="1:19" ht="15.75" thickBot="1" x14ac:dyDescent="0.3">
      <c r="A23" s="99"/>
      <c r="B23" s="150" t="str">
        <f t="shared" si="0"/>
        <v>1877.15</v>
      </c>
      <c r="C23" s="123">
        <v>7</v>
      </c>
      <c r="D23" s="124">
        <v>187</v>
      </c>
      <c r="E23" s="125">
        <v>7.15</v>
      </c>
      <c r="G23" s="92"/>
      <c r="H23" s="126">
        <v>1000</v>
      </c>
      <c r="I23" s="127">
        <v>205</v>
      </c>
      <c r="K23" s="92"/>
      <c r="L23" s="92"/>
      <c r="R23" s="101"/>
      <c r="S23" s="101"/>
    </row>
    <row r="24" spans="1:19" x14ac:dyDescent="0.25">
      <c r="A24" s="128"/>
      <c r="B24" s="150" t="str">
        <f t="shared" si="0"/>
        <v>7.1514</v>
      </c>
      <c r="C24" s="112">
        <v>10</v>
      </c>
      <c r="D24" s="113">
        <v>7.15</v>
      </c>
      <c r="E24" s="114">
        <v>14</v>
      </c>
      <c r="F24" s="99"/>
      <c r="G24" s="99"/>
      <c r="H24" s="99"/>
      <c r="I24" s="100"/>
      <c r="J24" s="100"/>
      <c r="K24" s="100"/>
      <c r="L24" s="100"/>
      <c r="R24" s="101"/>
      <c r="S24" s="101"/>
    </row>
    <row r="25" spans="1:19" ht="15.75" thickBot="1" x14ac:dyDescent="0.3">
      <c r="A25" s="99"/>
      <c r="B25" s="150" t="str">
        <f t="shared" si="0"/>
        <v>1414</v>
      </c>
      <c r="C25" s="117">
        <v>11</v>
      </c>
      <c r="D25" s="118">
        <v>14</v>
      </c>
      <c r="E25" s="119">
        <v>14</v>
      </c>
      <c r="F25" s="99"/>
      <c r="G25" s="99"/>
      <c r="H25" s="99"/>
      <c r="I25" s="100"/>
      <c r="J25" s="100"/>
      <c r="K25" s="100"/>
      <c r="L25" s="100"/>
      <c r="R25" s="101"/>
      <c r="S25" s="101"/>
    </row>
    <row r="26" spans="1:19" ht="15.75" thickBot="1" x14ac:dyDescent="0.3">
      <c r="A26" s="99"/>
      <c r="B26" s="150" t="str">
        <f t="shared" si="0"/>
        <v>22.614</v>
      </c>
      <c r="C26" s="117">
        <v>12</v>
      </c>
      <c r="D26" s="118">
        <v>22.6</v>
      </c>
      <c r="E26" s="119">
        <v>14</v>
      </c>
      <c r="F26" s="99"/>
      <c r="G26" s="99"/>
      <c r="H26" s="109" t="s">
        <v>291</v>
      </c>
      <c r="I26" s="109" t="s">
        <v>290</v>
      </c>
      <c r="J26" s="100"/>
      <c r="K26" s="100"/>
      <c r="L26" s="100"/>
      <c r="R26" s="101"/>
      <c r="S26" s="101"/>
    </row>
    <row r="27" spans="1:19" x14ac:dyDescent="0.25">
      <c r="A27" s="99"/>
      <c r="B27" s="150" t="str">
        <f t="shared" si="0"/>
        <v>34.814</v>
      </c>
      <c r="C27" s="117">
        <v>13</v>
      </c>
      <c r="D27" s="118">
        <v>34.799999999999997</v>
      </c>
      <c r="E27" s="119">
        <v>14</v>
      </c>
      <c r="F27" s="99"/>
      <c r="G27" s="99"/>
      <c r="H27" s="129">
        <v>10</v>
      </c>
      <c r="I27" s="115">
        <v>250</v>
      </c>
      <c r="J27" s="100"/>
      <c r="K27" s="100"/>
      <c r="L27" s="100"/>
      <c r="R27" s="101"/>
      <c r="S27" s="101"/>
    </row>
    <row r="28" spans="1:19" x14ac:dyDescent="0.25">
      <c r="B28" s="150" t="str">
        <f t="shared" si="0"/>
        <v>51.114</v>
      </c>
      <c r="C28" s="117">
        <v>14</v>
      </c>
      <c r="D28" s="118">
        <v>51.1</v>
      </c>
      <c r="E28" s="119">
        <v>14</v>
      </c>
      <c r="H28" s="130">
        <v>17.8</v>
      </c>
      <c r="I28" s="120">
        <v>300</v>
      </c>
    </row>
    <row r="29" spans="1:19" x14ac:dyDescent="0.25">
      <c r="A29" s="99"/>
      <c r="B29" s="150" t="str">
        <f t="shared" si="0"/>
        <v>78.714</v>
      </c>
      <c r="C29" s="117">
        <v>15</v>
      </c>
      <c r="D29" s="118">
        <v>78.7</v>
      </c>
      <c r="E29" s="119">
        <v>14</v>
      </c>
      <c r="F29" s="99"/>
      <c r="G29" s="99"/>
      <c r="H29" s="130">
        <v>27.4</v>
      </c>
      <c r="I29" s="120">
        <v>400</v>
      </c>
    </row>
    <row r="30" spans="1:19" x14ac:dyDescent="0.25">
      <c r="A30" s="99"/>
      <c r="B30" s="150" t="str">
        <f t="shared" si="0"/>
        <v>12114</v>
      </c>
      <c r="C30" s="117">
        <v>16</v>
      </c>
      <c r="D30" s="118">
        <v>121</v>
      </c>
      <c r="E30" s="119">
        <v>14</v>
      </c>
      <c r="F30" s="99"/>
      <c r="G30" s="99"/>
      <c r="H30" s="130">
        <v>38.299999999999997</v>
      </c>
      <c r="I30" s="120">
        <v>500</v>
      </c>
    </row>
    <row r="31" spans="1:19" ht="15.75" thickBot="1" x14ac:dyDescent="0.3">
      <c r="A31" s="99"/>
      <c r="B31" s="150" t="str">
        <f t="shared" si="0"/>
        <v>18714</v>
      </c>
      <c r="C31" s="123">
        <v>17</v>
      </c>
      <c r="D31" s="124">
        <v>187</v>
      </c>
      <c r="E31" s="125">
        <v>14</v>
      </c>
      <c r="F31" s="99"/>
      <c r="G31" s="99"/>
      <c r="H31" s="130">
        <v>56.2</v>
      </c>
      <c r="I31" s="120">
        <v>650</v>
      </c>
    </row>
    <row r="32" spans="1:19" x14ac:dyDescent="0.25">
      <c r="A32" s="99"/>
      <c r="B32" s="150" t="str">
        <f t="shared" si="0"/>
        <v>7.1522.6</v>
      </c>
      <c r="C32" s="131">
        <v>20</v>
      </c>
      <c r="D32" s="113">
        <v>7.15</v>
      </c>
      <c r="E32" s="114">
        <v>22.6</v>
      </c>
      <c r="F32" s="99"/>
      <c r="G32" s="99"/>
      <c r="H32" s="130">
        <v>86.6</v>
      </c>
      <c r="I32" s="120">
        <v>750</v>
      </c>
    </row>
    <row r="33" spans="1:9" x14ac:dyDescent="0.25">
      <c r="A33" s="99"/>
      <c r="B33" s="150" t="str">
        <f t="shared" si="0"/>
        <v>1422.6</v>
      </c>
      <c r="C33" s="117">
        <v>21</v>
      </c>
      <c r="D33" s="118">
        <v>14</v>
      </c>
      <c r="E33" s="119">
        <v>22.6</v>
      </c>
      <c r="F33" s="99"/>
      <c r="G33" s="99"/>
      <c r="H33" s="130">
        <v>133</v>
      </c>
      <c r="I33" s="120">
        <v>850</v>
      </c>
    </row>
    <row r="34" spans="1:9" ht="15.75" thickBot="1" x14ac:dyDescent="0.3">
      <c r="A34" s="99"/>
      <c r="B34" s="150" t="str">
        <f t="shared" si="0"/>
        <v>22.622.6</v>
      </c>
      <c r="C34" s="117">
        <v>22</v>
      </c>
      <c r="D34" s="118">
        <v>22.6</v>
      </c>
      <c r="E34" s="119">
        <v>22.6</v>
      </c>
      <c r="F34" s="99"/>
      <c r="G34" s="99"/>
      <c r="H34" s="132">
        <v>205</v>
      </c>
      <c r="I34" s="126">
        <v>1000</v>
      </c>
    </row>
    <row r="35" spans="1:9" x14ac:dyDescent="0.25">
      <c r="A35" s="99"/>
      <c r="B35" s="150" t="str">
        <f t="shared" si="0"/>
        <v>34.822.6</v>
      </c>
      <c r="C35" s="117">
        <v>23</v>
      </c>
      <c r="D35" s="118">
        <v>34.799999999999997</v>
      </c>
      <c r="E35" s="119">
        <v>22.6</v>
      </c>
      <c r="F35" s="99"/>
      <c r="G35" s="99"/>
      <c r="H35" s="99"/>
    </row>
    <row r="36" spans="1:9" x14ac:dyDescent="0.25">
      <c r="A36" s="99"/>
      <c r="B36" s="150" t="str">
        <f t="shared" si="0"/>
        <v>51.122.6</v>
      </c>
      <c r="C36" s="117">
        <v>24</v>
      </c>
      <c r="D36" s="118">
        <v>51.1</v>
      </c>
      <c r="E36" s="119">
        <v>22.6</v>
      </c>
      <c r="F36" s="99"/>
      <c r="G36" s="99"/>
      <c r="H36" s="99"/>
    </row>
    <row r="37" spans="1:9" x14ac:dyDescent="0.25">
      <c r="A37" s="99"/>
      <c r="B37" s="150" t="str">
        <f t="shared" si="0"/>
        <v>78.722.6</v>
      </c>
      <c r="C37" s="117">
        <v>25</v>
      </c>
      <c r="D37" s="118">
        <v>78.7</v>
      </c>
      <c r="E37" s="119">
        <v>22.6</v>
      </c>
      <c r="F37" s="99"/>
      <c r="G37" s="99"/>
      <c r="H37" s="99"/>
    </row>
    <row r="38" spans="1:9" x14ac:dyDescent="0.25">
      <c r="A38" s="99"/>
      <c r="B38" s="150" t="str">
        <f t="shared" si="0"/>
        <v>12122.6</v>
      </c>
      <c r="C38" s="117">
        <v>26</v>
      </c>
      <c r="D38" s="118">
        <v>121</v>
      </c>
      <c r="E38" s="119">
        <v>22.6</v>
      </c>
      <c r="F38" s="99"/>
      <c r="G38" s="99"/>
      <c r="H38" s="99"/>
    </row>
    <row r="39" spans="1:9" ht="15.75" thickBot="1" x14ac:dyDescent="0.3">
      <c r="A39" s="99"/>
      <c r="B39" s="150" t="str">
        <f t="shared" si="0"/>
        <v>18722.6</v>
      </c>
      <c r="C39" s="133">
        <v>27</v>
      </c>
      <c r="D39" s="124">
        <v>187</v>
      </c>
      <c r="E39" s="125">
        <v>22.6</v>
      </c>
      <c r="F39" s="99"/>
      <c r="G39" s="99"/>
      <c r="H39" s="99"/>
    </row>
    <row r="40" spans="1:9" x14ac:dyDescent="0.25">
      <c r="A40" s="99"/>
      <c r="B40" s="150" t="str">
        <f t="shared" si="0"/>
        <v>7.1534.8</v>
      </c>
      <c r="C40" s="112">
        <v>30</v>
      </c>
      <c r="D40" s="113">
        <v>7.15</v>
      </c>
      <c r="E40" s="114">
        <v>34.799999999999997</v>
      </c>
      <c r="F40" s="99"/>
      <c r="G40" s="99"/>
      <c r="H40" s="99"/>
    </row>
    <row r="41" spans="1:9" x14ac:dyDescent="0.25">
      <c r="A41" s="99"/>
      <c r="B41" s="150" t="str">
        <f t="shared" si="0"/>
        <v>1434.8</v>
      </c>
      <c r="C41" s="117">
        <v>31</v>
      </c>
      <c r="D41" s="118">
        <v>14</v>
      </c>
      <c r="E41" s="119">
        <v>34.799999999999997</v>
      </c>
      <c r="F41" s="99"/>
      <c r="G41" s="99"/>
      <c r="H41" s="99"/>
    </row>
    <row r="42" spans="1:9" x14ac:dyDescent="0.25">
      <c r="A42" s="99"/>
      <c r="B42" s="150" t="str">
        <f t="shared" si="0"/>
        <v>22.634.8</v>
      </c>
      <c r="C42" s="117">
        <v>32</v>
      </c>
      <c r="D42" s="118">
        <v>22.6</v>
      </c>
      <c r="E42" s="119">
        <v>34.799999999999997</v>
      </c>
      <c r="F42" s="99"/>
      <c r="G42" s="99"/>
      <c r="H42" s="99"/>
    </row>
    <row r="43" spans="1:9" x14ac:dyDescent="0.25">
      <c r="A43" s="99"/>
      <c r="B43" s="150" t="str">
        <f t="shared" si="0"/>
        <v>34.834.8</v>
      </c>
      <c r="C43" s="117">
        <v>33</v>
      </c>
      <c r="D43" s="118">
        <v>34.799999999999997</v>
      </c>
      <c r="E43" s="119">
        <v>34.799999999999997</v>
      </c>
      <c r="F43" s="99"/>
      <c r="G43" s="99"/>
      <c r="H43" s="99"/>
    </row>
    <row r="44" spans="1:9" x14ac:dyDescent="0.25">
      <c r="A44" s="99"/>
      <c r="B44" s="150" t="str">
        <f t="shared" si="0"/>
        <v>51.134.8</v>
      </c>
      <c r="C44" s="117">
        <v>34</v>
      </c>
      <c r="D44" s="118">
        <v>51.1</v>
      </c>
      <c r="E44" s="119">
        <v>34.799999999999997</v>
      </c>
      <c r="F44" s="99"/>
      <c r="G44" s="99"/>
      <c r="H44" s="99"/>
    </row>
    <row r="45" spans="1:9" x14ac:dyDescent="0.25">
      <c r="A45" s="99"/>
      <c r="B45" s="150" t="str">
        <f t="shared" si="0"/>
        <v>78.734.8</v>
      </c>
      <c r="C45" s="117">
        <v>35</v>
      </c>
      <c r="D45" s="118">
        <v>78.7</v>
      </c>
      <c r="E45" s="119">
        <v>34.799999999999997</v>
      </c>
      <c r="F45" s="99"/>
      <c r="G45" s="99"/>
      <c r="H45" s="99"/>
    </row>
    <row r="46" spans="1:9" x14ac:dyDescent="0.25">
      <c r="A46" s="99"/>
      <c r="B46" s="150" t="str">
        <f t="shared" si="0"/>
        <v>12134.8</v>
      </c>
      <c r="C46" s="117">
        <v>36</v>
      </c>
      <c r="D46" s="118">
        <v>121</v>
      </c>
      <c r="E46" s="119">
        <v>34.799999999999997</v>
      </c>
      <c r="F46" s="99"/>
      <c r="G46" s="99"/>
      <c r="H46" s="99"/>
    </row>
    <row r="47" spans="1:9" ht="15.75" thickBot="1" x14ac:dyDescent="0.3">
      <c r="A47" s="99"/>
      <c r="B47" s="150" t="str">
        <f t="shared" si="0"/>
        <v>18734.8</v>
      </c>
      <c r="C47" s="123">
        <v>37</v>
      </c>
      <c r="D47" s="124">
        <v>187</v>
      </c>
      <c r="E47" s="125">
        <v>34.799999999999997</v>
      </c>
      <c r="F47" s="99"/>
      <c r="G47" s="99"/>
      <c r="H47" s="99"/>
    </row>
    <row r="48" spans="1:9" x14ac:dyDescent="0.25">
      <c r="B48" s="150" t="str">
        <f t="shared" si="0"/>
        <v>7.1551.1</v>
      </c>
      <c r="C48" s="131">
        <v>40</v>
      </c>
      <c r="D48" s="113">
        <v>7.15</v>
      </c>
      <c r="E48" s="114">
        <v>51.1</v>
      </c>
    </row>
    <row r="49" spans="2:5" x14ac:dyDescent="0.25">
      <c r="B49" s="150" t="str">
        <f t="shared" si="0"/>
        <v>1451.1</v>
      </c>
      <c r="C49" s="117">
        <v>41</v>
      </c>
      <c r="D49" s="118">
        <v>14</v>
      </c>
      <c r="E49" s="119">
        <v>51.1</v>
      </c>
    </row>
    <row r="50" spans="2:5" x14ac:dyDescent="0.25">
      <c r="B50" s="150" t="str">
        <f t="shared" si="0"/>
        <v>22.651.1</v>
      </c>
      <c r="C50" s="117">
        <v>42</v>
      </c>
      <c r="D50" s="118">
        <v>22.6</v>
      </c>
      <c r="E50" s="119">
        <v>51.1</v>
      </c>
    </row>
    <row r="51" spans="2:5" x14ac:dyDescent="0.25">
      <c r="B51" s="150" t="str">
        <f t="shared" si="0"/>
        <v>34.851.1</v>
      </c>
      <c r="C51" s="117">
        <v>43</v>
      </c>
      <c r="D51" s="118">
        <v>34.799999999999997</v>
      </c>
      <c r="E51" s="119">
        <v>51.1</v>
      </c>
    </row>
    <row r="52" spans="2:5" x14ac:dyDescent="0.25">
      <c r="B52" s="150" t="str">
        <f t="shared" si="0"/>
        <v>51.151.1</v>
      </c>
      <c r="C52" s="117">
        <v>44</v>
      </c>
      <c r="D52" s="118">
        <v>51.1</v>
      </c>
      <c r="E52" s="119">
        <v>51.1</v>
      </c>
    </row>
    <row r="53" spans="2:5" x14ac:dyDescent="0.25">
      <c r="B53" s="150" t="str">
        <f t="shared" si="0"/>
        <v>78.751.1</v>
      </c>
      <c r="C53" s="117">
        <v>45</v>
      </c>
      <c r="D53" s="118">
        <v>78.7</v>
      </c>
      <c r="E53" s="119">
        <v>51.1</v>
      </c>
    </row>
    <row r="54" spans="2:5" x14ac:dyDescent="0.25">
      <c r="B54" s="150" t="str">
        <f t="shared" si="0"/>
        <v>12151.1</v>
      </c>
      <c r="C54" s="117">
        <v>46</v>
      </c>
      <c r="D54" s="118">
        <v>121</v>
      </c>
      <c r="E54" s="119">
        <v>51.1</v>
      </c>
    </row>
    <row r="55" spans="2:5" ht="15.75" thickBot="1" x14ac:dyDescent="0.3">
      <c r="B55" s="150" t="str">
        <f t="shared" si="0"/>
        <v>18751.1</v>
      </c>
      <c r="C55" s="133">
        <v>47</v>
      </c>
      <c r="D55" s="124">
        <v>187</v>
      </c>
      <c r="E55" s="125">
        <v>51.1</v>
      </c>
    </row>
    <row r="56" spans="2:5" x14ac:dyDescent="0.25">
      <c r="B56" s="150" t="str">
        <f t="shared" si="0"/>
        <v>7.1578.7</v>
      </c>
      <c r="C56" s="112">
        <v>50</v>
      </c>
      <c r="D56" s="113">
        <v>7.15</v>
      </c>
      <c r="E56" s="114">
        <v>78.7</v>
      </c>
    </row>
    <row r="57" spans="2:5" x14ac:dyDescent="0.25">
      <c r="B57" s="150" t="str">
        <f t="shared" si="0"/>
        <v>1478.7</v>
      </c>
      <c r="C57" s="117">
        <v>51</v>
      </c>
      <c r="D57" s="118">
        <v>14</v>
      </c>
      <c r="E57" s="119">
        <v>78.7</v>
      </c>
    </row>
    <row r="58" spans="2:5" x14ac:dyDescent="0.25">
      <c r="B58" s="150" t="str">
        <f t="shared" si="0"/>
        <v>22.678.7</v>
      </c>
      <c r="C58" s="117">
        <v>52</v>
      </c>
      <c r="D58" s="118">
        <v>22.6</v>
      </c>
      <c r="E58" s="119">
        <v>78.7</v>
      </c>
    </row>
    <row r="59" spans="2:5" x14ac:dyDescent="0.25">
      <c r="B59" s="150" t="str">
        <f t="shared" si="0"/>
        <v>34.878.7</v>
      </c>
      <c r="C59" s="117">
        <v>53</v>
      </c>
      <c r="D59" s="118">
        <v>34.799999999999997</v>
      </c>
      <c r="E59" s="119">
        <v>78.7</v>
      </c>
    </row>
    <row r="60" spans="2:5" x14ac:dyDescent="0.25">
      <c r="B60" s="150" t="str">
        <f t="shared" si="0"/>
        <v>51.178.7</v>
      </c>
      <c r="C60" s="117">
        <v>54</v>
      </c>
      <c r="D60" s="118">
        <v>51.1</v>
      </c>
      <c r="E60" s="119">
        <v>78.7</v>
      </c>
    </row>
    <row r="61" spans="2:5" x14ac:dyDescent="0.25">
      <c r="B61" s="150" t="str">
        <f t="shared" si="0"/>
        <v>78.778.7</v>
      </c>
      <c r="C61" s="117">
        <v>55</v>
      </c>
      <c r="D61" s="118">
        <v>78.7</v>
      </c>
      <c r="E61" s="119">
        <v>78.7</v>
      </c>
    </row>
    <row r="62" spans="2:5" x14ac:dyDescent="0.25">
      <c r="B62" s="150" t="str">
        <f t="shared" si="0"/>
        <v>12178.7</v>
      </c>
      <c r="C62" s="117">
        <v>56</v>
      </c>
      <c r="D62" s="118">
        <v>121</v>
      </c>
      <c r="E62" s="119">
        <v>78.7</v>
      </c>
    </row>
    <row r="63" spans="2:5" ht="15.75" thickBot="1" x14ac:dyDescent="0.3">
      <c r="B63" s="150" t="str">
        <f t="shared" si="0"/>
        <v>18778.7</v>
      </c>
      <c r="C63" s="123">
        <v>57</v>
      </c>
      <c r="D63" s="124">
        <v>187</v>
      </c>
      <c r="E63" s="125">
        <v>78.7</v>
      </c>
    </row>
    <row r="64" spans="2:5" x14ac:dyDescent="0.25">
      <c r="B64" s="150" t="str">
        <f t="shared" si="0"/>
        <v>7.15121</v>
      </c>
      <c r="C64" s="131">
        <v>60</v>
      </c>
      <c r="D64" s="113">
        <v>7.15</v>
      </c>
      <c r="E64" s="114">
        <v>121</v>
      </c>
    </row>
    <row r="65" spans="2:5" x14ac:dyDescent="0.25">
      <c r="B65" s="150" t="str">
        <f t="shared" si="0"/>
        <v>14121</v>
      </c>
      <c r="C65" s="117">
        <v>61</v>
      </c>
      <c r="D65" s="118">
        <v>14</v>
      </c>
      <c r="E65" s="119">
        <v>121</v>
      </c>
    </row>
    <row r="66" spans="2:5" x14ac:dyDescent="0.25">
      <c r="B66" s="150" t="str">
        <f t="shared" si="0"/>
        <v>22.6121</v>
      </c>
      <c r="C66" s="134">
        <v>62</v>
      </c>
      <c r="D66" s="118">
        <v>22.6</v>
      </c>
      <c r="E66" s="119">
        <v>121</v>
      </c>
    </row>
    <row r="67" spans="2:5" x14ac:dyDescent="0.25">
      <c r="B67" s="150" t="str">
        <f t="shared" si="0"/>
        <v>34.8121</v>
      </c>
      <c r="C67" s="134">
        <v>63</v>
      </c>
      <c r="D67" s="118">
        <v>34.799999999999997</v>
      </c>
      <c r="E67" s="119">
        <v>121</v>
      </c>
    </row>
    <row r="68" spans="2:5" x14ac:dyDescent="0.25">
      <c r="B68" s="150" t="str">
        <f t="shared" si="0"/>
        <v>51.1121</v>
      </c>
      <c r="C68" s="134">
        <v>64</v>
      </c>
      <c r="D68" s="118">
        <v>51.1</v>
      </c>
      <c r="E68" s="119">
        <v>121</v>
      </c>
    </row>
    <row r="69" spans="2:5" x14ac:dyDescent="0.25">
      <c r="B69" s="150" t="str">
        <f t="shared" si="0"/>
        <v>78.7121</v>
      </c>
      <c r="C69" s="134">
        <v>65</v>
      </c>
      <c r="D69" s="118">
        <v>78.7</v>
      </c>
      <c r="E69" s="119">
        <v>121</v>
      </c>
    </row>
    <row r="70" spans="2:5" x14ac:dyDescent="0.25">
      <c r="B70" s="150" t="str">
        <f t="shared" si="0"/>
        <v>121121</v>
      </c>
      <c r="C70" s="134">
        <v>66</v>
      </c>
      <c r="D70" s="118">
        <v>121</v>
      </c>
      <c r="E70" s="119">
        <v>121</v>
      </c>
    </row>
    <row r="71" spans="2:5" ht="15.75" thickBot="1" x14ac:dyDescent="0.3">
      <c r="B71" s="150" t="str">
        <f t="shared" si="0"/>
        <v>187121</v>
      </c>
      <c r="C71" s="135">
        <v>67</v>
      </c>
      <c r="D71" s="124">
        <v>187</v>
      </c>
      <c r="E71" s="125">
        <v>121</v>
      </c>
    </row>
    <row r="72" spans="2:5" x14ac:dyDescent="0.25">
      <c r="B72" s="150" t="str">
        <f t="shared" si="0"/>
        <v>7.15187</v>
      </c>
      <c r="C72" s="136">
        <v>70</v>
      </c>
      <c r="D72" s="113">
        <v>7.15</v>
      </c>
      <c r="E72" s="114">
        <v>187</v>
      </c>
    </row>
    <row r="73" spans="2:5" x14ac:dyDescent="0.25">
      <c r="B73" s="150" t="str">
        <f t="shared" si="0"/>
        <v>14187</v>
      </c>
      <c r="C73" s="134">
        <v>71</v>
      </c>
      <c r="D73" s="118">
        <v>14</v>
      </c>
      <c r="E73" s="119">
        <v>187</v>
      </c>
    </row>
    <row r="74" spans="2:5" x14ac:dyDescent="0.25">
      <c r="B74" s="150" t="str">
        <f t="shared" si="0"/>
        <v>22.6187</v>
      </c>
      <c r="C74" s="134">
        <v>72</v>
      </c>
      <c r="D74" s="118">
        <v>22.6</v>
      </c>
      <c r="E74" s="119">
        <v>187</v>
      </c>
    </row>
    <row r="75" spans="2:5" x14ac:dyDescent="0.25">
      <c r="B75" s="150" t="str">
        <f t="shared" si="0"/>
        <v>34.8187</v>
      </c>
      <c r="C75" s="134">
        <v>73</v>
      </c>
      <c r="D75" s="118">
        <v>34.799999999999997</v>
      </c>
      <c r="E75" s="119">
        <v>187</v>
      </c>
    </row>
    <row r="76" spans="2:5" x14ac:dyDescent="0.25">
      <c r="B76" s="150" t="str">
        <f t="shared" si="0"/>
        <v>51.1187</v>
      </c>
      <c r="C76" s="134">
        <v>74</v>
      </c>
      <c r="D76" s="118">
        <v>51.1</v>
      </c>
      <c r="E76" s="119">
        <v>187</v>
      </c>
    </row>
    <row r="77" spans="2:5" x14ac:dyDescent="0.25">
      <c r="B77" s="150" t="str">
        <f t="shared" si="0"/>
        <v>78.7187</v>
      </c>
      <c r="C77" s="134">
        <v>75</v>
      </c>
      <c r="D77" s="118">
        <v>78.7</v>
      </c>
      <c r="E77" s="119">
        <v>187</v>
      </c>
    </row>
    <row r="78" spans="2:5" x14ac:dyDescent="0.25">
      <c r="B78" s="150" t="str">
        <f t="shared" si="0"/>
        <v>121187</v>
      </c>
      <c r="C78" s="134">
        <v>76</v>
      </c>
      <c r="D78" s="118">
        <v>121</v>
      </c>
      <c r="E78" s="119">
        <v>187</v>
      </c>
    </row>
    <row r="79" spans="2:5" ht="15.75" thickBot="1" x14ac:dyDescent="0.3">
      <c r="B79" s="150" t="str">
        <f t="shared" si="0"/>
        <v>187187</v>
      </c>
      <c r="C79" s="137">
        <v>77</v>
      </c>
      <c r="D79" s="124">
        <v>187</v>
      </c>
      <c r="E79" s="125">
        <v>187</v>
      </c>
    </row>
  </sheetData>
  <protectedRanges>
    <protectedRange password="CD94" sqref="V1:V12"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IN472"/>
  <sheetViews>
    <sheetView zoomScaleNormal="100" zoomScaleSheetLayoutView="100" workbookViewId="0">
      <selection activeCell="J5" sqref="J5"/>
    </sheetView>
  </sheetViews>
  <sheetFormatPr defaultRowHeight="12.75" x14ac:dyDescent="0.2"/>
  <cols>
    <col min="1" max="1" width="13.85546875" style="194" customWidth="1"/>
    <col min="2" max="2" width="10.42578125" style="194" customWidth="1"/>
    <col min="3" max="3" width="8.85546875" style="194" customWidth="1"/>
    <col min="4" max="4" width="6.5703125" style="194" customWidth="1"/>
    <col min="5" max="5" width="1.42578125" style="194" customWidth="1"/>
    <col min="6" max="7" width="15.42578125" style="194" customWidth="1"/>
    <col min="8" max="8" width="10.28515625" style="194" customWidth="1"/>
    <col min="9" max="9" width="12.7109375" style="194" customWidth="1"/>
    <col min="10" max="10" width="11" style="194" customWidth="1"/>
    <col min="11" max="11" width="6" style="194" customWidth="1"/>
    <col min="12" max="12" width="6.140625" style="194" bestFit="1" customWidth="1"/>
    <col min="13" max="13" width="18.85546875" style="194" customWidth="1"/>
    <col min="14" max="14" width="13.28515625" style="194" customWidth="1"/>
    <col min="15" max="15" width="5.42578125" style="194" customWidth="1"/>
    <col min="16" max="16" width="10.5703125" style="195" bestFit="1" customWidth="1"/>
    <col min="17" max="17" width="12" style="192" customWidth="1"/>
    <col min="18" max="18" width="7.7109375" style="192" customWidth="1"/>
    <col min="19" max="19" width="12.42578125" style="296" customWidth="1"/>
    <col min="20" max="20" width="34.7109375" style="300" bestFit="1" customWidth="1"/>
    <col min="21" max="22" width="24.5703125" style="296" bestFit="1" customWidth="1"/>
    <col min="23" max="23" width="39.7109375" style="296" bestFit="1" customWidth="1"/>
    <col min="24" max="24" width="22.42578125" style="296" bestFit="1" customWidth="1"/>
    <col min="25" max="26" width="39" style="296" bestFit="1" customWidth="1"/>
    <col min="27" max="27" width="22.140625" style="296" customWidth="1"/>
    <col min="28" max="28" width="23" style="296" bestFit="1" customWidth="1"/>
    <col min="29" max="29" width="20.85546875" style="296" bestFit="1" customWidth="1"/>
    <col min="30" max="30" width="39.5703125" style="296" bestFit="1" customWidth="1"/>
    <col min="31" max="32" width="23" style="296" bestFit="1" customWidth="1"/>
    <col min="33" max="34" width="34" style="296" bestFit="1" customWidth="1"/>
    <col min="35" max="35" width="34.140625" style="296" bestFit="1" customWidth="1"/>
    <col min="36" max="36" width="40.140625" style="296" bestFit="1" customWidth="1"/>
    <col min="37" max="39" width="9.140625" style="296"/>
    <col min="40" max="68" width="9.140625" style="186"/>
    <col min="69" max="69" width="9.140625" style="182"/>
    <col min="70" max="256" width="9.140625" style="194"/>
    <col min="257" max="257" width="13.85546875" style="194" customWidth="1"/>
    <col min="258" max="258" width="10.42578125" style="194" customWidth="1"/>
    <col min="259" max="259" width="8.85546875" style="194" customWidth="1"/>
    <col min="260" max="260" width="6.5703125" style="194" customWidth="1"/>
    <col min="261" max="261" width="1.42578125" style="194" customWidth="1"/>
    <col min="262" max="263" width="15.42578125" style="194" customWidth="1"/>
    <col min="264" max="264" width="10.28515625" style="194" customWidth="1"/>
    <col min="265" max="265" width="12.7109375" style="194" customWidth="1"/>
    <col min="266" max="266" width="11" style="194" customWidth="1"/>
    <col min="267" max="267" width="6" style="194" customWidth="1"/>
    <col min="268" max="268" width="5" style="194" bestFit="1" customWidth="1"/>
    <col min="269" max="269" width="18.85546875" style="194" customWidth="1"/>
    <col min="270" max="270" width="13.28515625" style="194" customWidth="1"/>
    <col min="271" max="271" width="5.42578125" style="194" customWidth="1"/>
    <col min="272" max="272" width="10.42578125" style="194" bestFit="1" customWidth="1"/>
    <col min="273" max="273" width="12" style="194" customWidth="1"/>
    <col min="274" max="274" width="7.7109375" style="194" customWidth="1"/>
    <col min="275" max="275" width="12.42578125" style="194" customWidth="1"/>
    <col min="276" max="276" width="34.5703125" style="194" bestFit="1" customWidth="1"/>
    <col min="277" max="278" width="24.42578125" style="194" bestFit="1" customWidth="1"/>
    <col min="279" max="279" width="39.5703125" style="194" bestFit="1" customWidth="1"/>
    <col min="280" max="280" width="22.28515625" style="194" bestFit="1" customWidth="1"/>
    <col min="281" max="282" width="39" style="194" bestFit="1" customWidth="1"/>
    <col min="283" max="283" width="22.140625" style="194" customWidth="1"/>
    <col min="284" max="284" width="23" style="194" bestFit="1" customWidth="1"/>
    <col min="285" max="285" width="20.85546875" style="194" bestFit="1" customWidth="1"/>
    <col min="286" max="286" width="39.5703125" style="194" bestFit="1" customWidth="1"/>
    <col min="287" max="288" width="23" style="194" bestFit="1" customWidth="1"/>
    <col min="289" max="290" width="34" style="194" bestFit="1" customWidth="1"/>
    <col min="291" max="291" width="34.140625" style="194" bestFit="1" customWidth="1"/>
    <col min="292" max="292" width="40.140625" style="194" bestFit="1" customWidth="1"/>
    <col min="293" max="512" width="9.140625" style="194"/>
    <col min="513" max="513" width="13.85546875" style="194" customWidth="1"/>
    <col min="514" max="514" width="10.42578125" style="194" customWidth="1"/>
    <col min="515" max="515" width="8.85546875" style="194" customWidth="1"/>
    <col min="516" max="516" width="6.5703125" style="194" customWidth="1"/>
    <col min="517" max="517" width="1.42578125" style="194" customWidth="1"/>
    <col min="518" max="519" width="15.42578125" style="194" customWidth="1"/>
    <col min="520" max="520" width="10.28515625" style="194" customWidth="1"/>
    <col min="521" max="521" width="12.7109375" style="194" customWidth="1"/>
    <col min="522" max="522" width="11" style="194" customWidth="1"/>
    <col min="523" max="523" width="6" style="194" customWidth="1"/>
    <col min="524" max="524" width="5" style="194" bestFit="1" customWidth="1"/>
    <col min="525" max="525" width="18.85546875" style="194" customWidth="1"/>
    <col min="526" max="526" width="13.28515625" style="194" customWidth="1"/>
    <col min="527" max="527" width="5.42578125" style="194" customWidth="1"/>
    <col min="528" max="528" width="10.42578125" style="194" bestFit="1" customWidth="1"/>
    <col min="529" max="529" width="12" style="194" customWidth="1"/>
    <col min="530" max="530" width="7.7109375" style="194" customWidth="1"/>
    <col min="531" max="531" width="12.42578125" style="194" customWidth="1"/>
    <col min="532" max="532" width="34.5703125" style="194" bestFit="1" customWidth="1"/>
    <col min="533" max="534" width="24.42578125" style="194" bestFit="1" customWidth="1"/>
    <col min="535" max="535" width="39.5703125" style="194" bestFit="1" customWidth="1"/>
    <col min="536" max="536" width="22.28515625" style="194" bestFit="1" customWidth="1"/>
    <col min="537" max="538" width="39" style="194" bestFit="1" customWidth="1"/>
    <col min="539" max="539" width="22.140625" style="194" customWidth="1"/>
    <col min="540" max="540" width="23" style="194" bestFit="1" customWidth="1"/>
    <col min="541" max="541" width="20.85546875" style="194" bestFit="1" customWidth="1"/>
    <col min="542" max="542" width="39.5703125" style="194" bestFit="1" customWidth="1"/>
    <col min="543" max="544" width="23" style="194" bestFit="1" customWidth="1"/>
    <col min="545" max="546" width="34" style="194" bestFit="1" customWidth="1"/>
    <col min="547" max="547" width="34.140625" style="194" bestFit="1" customWidth="1"/>
    <col min="548" max="548" width="40.140625" style="194" bestFit="1" customWidth="1"/>
    <col min="549" max="768" width="9.140625" style="194"/>
    <col min="769" max="769" width="13.85546875" style="194" customWidth="1"/>
    <col min="770" max="770" width="10.42578125" style="194" customWidth="1"/>
    <col min="771" max="771" width="8.85546875" style="194" customWidth="1"/>
    <col min="772" max="772" width="6.5703125" style="194" customWidth="1"/>
    <col min="773" max="773" width="1.42578125" style="194" customWidth="1"/>
    <col min="774" max="775" width="15.42578125" style="194" customWidth="1"/>
    <col min="776" max="776" width="10.28515625" style="194" customWidth="1"/>
    <col min="777" max="777" width="12.7109375" style="194" customWidth="1"/>
    <col min="778" max="778" width="11" style="194" customWidth="1"/>
    <col min="779" max="779" width="6" style="194" customWidth="1"/>
    <col min="780" max="780" width="5" style="194" bestFit="1" customWidth="1"/>
    <col min="781" max="781" width="18.85546875" style="194" customWidth="1"/>
    <col min="782" max="782" width="13.28515625" style="194" customWidth="1"/>
    <col min="783" max="783" width="5.42578125" style="194" customWidth="1"/>
    <col min="784" max="784" width="10.42578125" style="194" bestFit="1" customWidth="1"/>
    <col min="785" max="785" width="12" style="194" customWidth="1"/>
    <col min="786" max="786" width="7.7109375" style="194" customWidth="1"/>
    <col min="787" max="787" width="12.42578125" style="194" customWidth="1"/>
    <col min="788" max="788" width="34.5703125" style="194" bestFit="1" customWidth="1"/>
    <col min="789" max="790" width="24.42578125" style="194" bestFit="1" customWidth="1"/>
    <col min="791" max="791" width="39.5703125" style="194" bestFit="1" customWidth="1"/>
    <col min="792" max="792" width="22.28515625" style="194" bestFit="1" customWidth="1"/>
    <col min="793" max="794" width="39" style="194" bestFit="1" customWidth="1"/>
    <col min="795" max="795" width="22.140625" style="194" customWidth="1"/>
    <col min="796" max="796" width="23" style="194" bestFit="1" customWidth="1"/>
    <col min="797" max="797" width="20.85546875" style="194" bestFit="1" customWidth="1"/>
    <col min="798" max="798" width="39.5703125" style="194" bestFit="1" customWidth="1"/>
    <col min="799" max="800" width="23" style="194" bestFit="1" customWidth="1"/>
    <col min="801" max="802" width="34" style="194" bestFit="1" customWidth="1"/>
    <col min="803" max="803" width="34.140625" style="194" bestFit="1" customWidth="1"/>
    <col min="804" max="804" width="40.140625" style="194" bestFit="1" customWidth="1"/>
    <col min="805" max="1024" width="9.140625" style="194"/>
    <col min="1025" max="1025" width="13.85546875" style="194" customWidth="1"/>
    <col min="1026" max="1026" width="10.42578125" style="194" customWidth="1"/>
    <col min="1027" max="1027" width="8.85546875" style="194" customWidth="1"/>
    <col min="1028" max="1028" width="6.5703125" style="194" customWidth="1"/>
    <col min="1029" max="1029" width="1.42578125" style="194" customWidth="1"/>
    <col min="1030" max="1031" width="15.42578125" style="194" customWidth="1"/>
    <col min="1032" max="1032" width="10.28515625" style="194" customWidth="1"/>
    <col min="1033" max="1033" width="12.7109375" style="194" customWidth="1"/>
    <col min="1034" max="1034" width="11" style="194" customWidth="1"/>
    <col min="1035" max="1035" width="6" style="194" customWidth="1"/>
    <col min="1036" max="1036" width="5" style="194" bestFit="1" customWidth="1"/>
    <col min="1037" max="1037" width="18.85546875" style="194" customWidth="1"/>
    <col min="1038" max="1038" width="13.28515625" style="194" customWidth="1"/>
    <col min="1039" max="1039" width="5.42578125" style="194" customWidth="1"/>
    <col min="1040" max="1040" width="10.42578125" style="194" bestFit="1" customWidth="1"/>
    <col min="1041" max="1041" width="12" style="194" customWidth="1"/>
    <col min="1042" max="1042" width="7.7109375" style="194" customWidth="1"/>
    <col min="1043" max="1043" width="12.42578125" style="194" customWidth="1"/>
    <col min="1044" max="1044" width="34.5703125" style="194" bestFit="1" customWidth="1"/>
    <col min="1045" max="1046" width="24.42578125" style="194" bestFit="1" customWidth="1"/>
    <col min="1047" max="1047" width="39.5703125" style="194" bestFit="1" customWidth="1"/>
    <col min="1048" max="1048" width="22.28515625" style="194" bestFit="1" customWidth="1"/>
    <col min="1049" max="1050" width="39" style="194" bestFit="1" customWidth="1"/>
    <col min="1051" max="1051" width="22.140625" style="194" customWidth="1"/>
    <col min="1052" max="1052" width="23" style="194" bestFit="1" customWidth="1"/>
    <col min="1053" max="1053" width="20.85546875" style="194" bestFit="1" customWidth="1"/>
    <col min="1054" max="1054" width="39.5703125" style="194" bestFit="1" customWidth="1"/>
    <col min="1055" max="1056" width="23" style="194" bestFit="1" customWidth="1"/>
    <col min="1057" max="1058" width="34" style="194" bestFit="1" customWidth="1"/>
    <col min="1059" max="1059" width="34.140625" style="194" bestFit="1" customWidth="1"/>
    <col min="1060" max="1060" width="40.140625" style="194" bestFit="1" customWidth="1"/>
    <col min="1061" max="1280" width="9.140625" style="194"/>
    <col min="1281" max="1281" width="13.85546875" style="194" customWidth="1"/>
    <col min="1282" max="1282" width="10.42578125" style="194" customWidth="1"/>
    <col min="1283" max="1283" width="8.85546875" style="194" customWidth="1"/>
    <col min="1284" max="1284" width="6.5703125" style="194" customWidth="1"/>
    <col min="1285" max="1285" width="1.42578125" style="194" customWidth="1"/>
    <col min="1286" max="1287" width="15.42578125" style="194" customWidth="1"/>
    <col min="1288" max="1288" width="10.28515625" style="194" customWidth="1"/>
    <col min="1289" max="1289" width="12.7109375" style="194" customWidth="1"/>
    <col min="1290" max="1290" width="11" style="194" customWidth="1"/>
    <col min="1291" max="1291" width="6" style="194" customWidth="1"/>
    <col min="1292" max="1292" width="5" style="194" bestFit="1" customWidth="1"/>
    <col min="1293" max="1293" width="18.85546875" style="194" customWidth="1"/>
    <col min="1294" max="1294" width="13.28515625" style="194" customWidth="1"/>
    <col min="1295" max="1295" width="5.42578125" style="194" customWidth="1"/>
    <col min="1296" max="1296" width="10.42578125" style="194" bestFit="1" customWidth="1"/>
    <col min="1297" max="1297" width="12" style="194" customWidth="1"/>
    <col min="1298" max="1298" width="7.7109375" style="194" customWidth="1"/>
    <col min="1299" max="1299" width="12.42578125" style="194" customWidth="1"/>
    <col min="1300" max="1300" width="34.5703125" style="194" bestFit="1" customWidth="1"/>
    <col min="1301" max="1302" width="24.42578125" style="194" bestFit="1" customWidth="1"/>
    <col min="1303" max="1303" width="39.5703125" style="194" bestFit="1" customWidth="1"/>
    <col min="1304" max="1304" width="22.28515625" style="194" bestFit="1" customWidth="1"/>
    <col min="1305" max="1306" width="39" style="194" bestFit="1" customWidth="1"/>
    <col min="1307" max="1307" width="22.140625" style="194" customWidth="1"/>
    <col min="1308" max="1308" width="23" style="194" bestFit="1" customWidth="1"/>
    <col min="1309" max="1309" width="20.85546875" style="194" bestFit="1" customWidth="1"/>
    <col min="1310" max="1310" width="39.5703125" style="194" bestFit="1" customWidth="1"/>
    <col min="1311" max="1312" width="23" style="194" bestFit="1" customWidth="1"/>
    <col min="1313" max="1314" width="34" style="194" bestFit="1" customWidth="1"/>
    <col min="1315" max="1315" width="34.140625" style="194" bestFit="1" customWidth="1"/>
    <col min="1316" max="1316" width="40.140625" style="194" bestFit="1" customWidth="1"/>
    <col min="1317" max="1536" width="9.140625" style="194"/>
    <col min="1537" max="1537" width="13.85546875" style="194" customWidth="1"/>
    <col min="1538" max="1538" width="10.42578125" style="194" customWidth="1"/>
    <col min="1539" max="1539" width="8.85546875" style="194" customWidth="1"/>
    <col min="1540" max="1540" width="6.5703125" style="194" customWidth="1"/>
    <col min="1541" max="1541" width="1.42578125" style="194" customWidth="1"/>
    <col min="1542" max="1543" width="15.42578125" style="194" customWidth="1"/>
    <col min="1544" max="1544" width="10.28515625" style="194" customWidth="1"/>
    <col min="1545" max="1545" width="12.7109375" style="194" customWidth="1"/>
    <col min="1546" max="1546" width="11" style="194" customWidth="1"/>
    <col min="1547" max="1547" width="6" style="194" customWidth="1"/>
    <col min="1548" max="1548" width="5" style="194" bestFit="1" customWidth="1"/>
    <col min="1549" max="1549" width="18.85546875" style="194" customWidth="1"/>
    <col min="1550" max="1550" width="13.28515625" style="194" customWidth="1"/>
    <col min="1551" max="1551" width="5.42578125" style="194" customWidth="1"/>
    <col min="1552" max="1552" width="10.42578125" style="194" bestFit="1" customWidth="1"/>
    <col min="1553" max="1553" width="12" style="194" customWidth="1"/>
    <col min="1554" max="1554" width="7.7109375" style="194" customWidth="1"/>
    <col min="1555" max="1555" width="12.42578125" style="194" customWidth="1"/>
    <col min="1556" max="1556" width="34.5703125" style="194" bestFit="1" customWidth="1"/>
    <col min="1557" max="1558" width="24.42578125" style="194" bestFit="1" customWidth="1"/>
    <col min="1559" max="1559" width="39.5703125" style="194" bestFit="1" customWidth="1"/>
    <col min="1560" max="1560" width="22.28515625" style="194" bestFit="1" customWidth="1"/>
    <col min="1561" max="1562" width="39" style="194" bestFit="1" customWidth="1"/>
    <col min="1563" max="1563" width="22.140625" style="194" customWidth="1"/>
    <col min="1564" max="1564" width="23" style="194" bestFit="1" customWidth="1"/>
    <col min="1565" max="1565" width="20.85546875" style="194" bestFit="1" customWidth="1"/>
    <col min="1566" max="1566" width="39.5703125" style="194" bestFit="1" customWidth="1"/>
    <col min="1567" max="1568" width="23" style="194" bestFit="1" customWidth="1"/>
    <col min="1569" max="1570" width="34" style="194" bestFit="1" customWidth="1"/>
    <col min="1571" max="1571" width="34.140625" style="194" bestFit="1" customWidth="1"/>
    <col min="1572" max="1572" width="40.140625" style="194" bestFit="1" customWidth="1"/>
    <col min="1573" max="1792" width="9.140625" style="194"/>
    <col min="1793" max="1793" width="13.85546875" style="194" customWidth="1"/>
    <col min="1794" max="1794" width="10.42578125" style="194" customWidth="1"/>
    <col min="1795" max="1795" width="8.85546875" style="194" customWidth="1"/>
    <col min="1796" max="1796" width="6.5703125" style="194" customWidth="1"/>
    <col min="1797" max="1797" width="1.42578125" style="194" customWidth="1"/>
    <col min="1798" max="1799" width="15.42578125" style="194" customWidth="1"/>
    <col min="1800" max="1800" width="10.28515625" style="194" customWidth="1"/>
    <col min="1801" max="1801" width="12.7109375" style="194" customWidth="1"/>
    <col min="1802" max="1802" width="11" style="194" customWidth="1"/>
    <col min="1803" max="1803" width="6" style="194" customWidth="1"/>
    <col min="1804" max="1804" width="5" style="194" bestFit="1" customWidth="1"/>
    <col min="1805" max="1805" width="18.85546875" style="194" customWidth="1"/>
    <col min="1806" max="1806" width="13.28515625" style="194" customWidth="1"/>
    <col min="1807" max="1807" width="5.42578125" style="194" customWidth="1"/>
    <col min="1808" max="1808" width="10.42578125" style="194" bestFit="1" customWidth="1"/>
    <col min="1809" max="1809" width="12" style="194" customWidth="1"/>
    <col min="1810" max="1810" width="7.7109375" style="194" customWidth="1"/>
    <col min="1811" max="1811" width="12.42578125" style="194" customWidth="1"/>
    <col min="1812" max="1812" width="34.5703125" style="194" bestFit="1" customWidth="1"/>
    <col min="1813" max="1814" width="24.42578125" style="194" bestFit="1" customWidth="1"/>
    <col min="1815" max="1815" width="39.5703125" style="194" bestFit="1" customWidth="1"/>
    <col min="1816" max="1816" width="22.28515625" style="194" bestFit="1" customWidth="1"/>
    <col min="1817" max="1818" width="39" style="194" bestFit="1" customWidth="1"/>
    <col min="1819" max="1819" width="22.140625" style="194" customWidth="1"/>
    <col min="1820" max="1820" width="23" style="194" bestFit="1" customWidth="1"/>
    <col min="1821" max="1821" width="20.85546875" style="194" bestFit="1" customWidth="1"/>
    <col min="1822" max="1822" width="39.5703125" style="194" bestFit="1" customWidth="1"/>
    <col min="1823" max="1824" width="23" style="194" bestFit="1" customWidth="1"/>
    <col min="1825" max="1826" width="34" style="194" bestFit="1" customWidth="1"/>
    <col min="1827" max="1827" width="34.140625" style="194" bestFit="1" customWidth="1"/>
    <col min="1828" max="1828" width="40.140625" style="194" bestFit="1" customWidth="1"/>
    <col min="1829" max="2048" width="9.140625" style="194"/>
    <col min="2049" max="2049" width="13.85546875" style="194" customWidth="1"/>
    <col min="2050" max="2050" width="10.42578125" style="194" customWidth="1"/>
    <col min="2051" max="2051" width="8.85546875" style="194" customWidth="1"/>
    <col min="2052" max="2052" width="6.5703125" style="194" customWidth="1"/>
    <col min="2053" max="2053" width="1.42578125" style="194" customWidth="1"/>
    <col min="2054" max="2055" width="15.42578125" style="194" customWidth="1"/>
    <col min="2056" max="2056" width="10.28515625" style="194" customWidth="1"/>
    <col min="2057" max="2057" width="12.7109375" style="194" customWidth="1"/>
    <col min="2058" max="2058" width="11" style="194" customWidth="1"/>
    <col min="2059" max="2059" width="6" style="194" customWidth="1"/>
    <col min="2060" max="2060" width="5" style="194" bestFit="1" customWidth="1"/>
    <col min="2061" max="2061" width="18.85546875" style="194" customWidth="1"/>
    <col min="2062" max="2062" width="13.28515625" style="194" customWidth="1"/>
    <col min="2063" max="2063" width="5.42578125" style="194" customWidth="1"/>
    <col min="2064" max="2064" width="10.42578125" style="194" bestFit="1" customWidth="1"/>
    <col min="2065" max="2065" width="12" style="194" customWidth="1"/>
    <col min="2066" max="2066" width="7.7109375" style="194" customWidth="1"/>
    <col min="2067" max="2067" width="12.42578125" style="194" customWidth="1"/>
    <col min="2068" max="2068" width="34.5703125" style="194" bestFit="1" customWidth="1"/>
    <col min="2069" max="2070" width="24.42578125" style="194" bestFit="1" customWidth="1"/>
    <col min="2071" max="2071" width="39.5703125" style="194" bestFit="1" customWidth="1"/>
    <col min="2072" max="2072" width="22.28515625" style="194" bestFit="1" customWidth="1"/>
    <col min="2073" max="2074" width="39" style="194" bestFit="1" customWidth="1"/>
    <col min="2075" max="2075" width="22.140625" style="194" customWidth="1"/>
    <col min="2076" max="2076" width="23" style="194" bestFit="1" customWidth="1"/>
    <col min="2077" max="2077" width="20.85546875" style="194" bestFit="1" customWidth="1"/>
    <col min="2078" max="2078" width="39.5703125" style="194" bestFit="1" customWidth="1"/>
    <col min="2079" max="2080" width="23" style="194" bestFit="1" customWidth="1"/>
    <col min="2081" max="2082" width="34" style="194" bestFit="1" customWidth="1"/>
    <col min="2083" max="2083" width="34.140625" style="194" bestFit="1" customWidth="1"/>
    <col min="2084" max="2084" width="40.140625" style="194" bestFit="1" customWidth="1"/>
    <col min="2085" max="2304" width="9.140625" style="194"/>
    <col min="2305" max="2305" width="13.85546875" style="194" customWidth="1"/>
    <col min="2306" max="2306" width="10.42578125" style="194" customWidth="1"/>
    <col min="2307" max="2307" width="8.85546875" style="194" customWidth="1"/>
    <col min="2308" max="2308" width="6.5703125" style="194" customWidth="1"/>
    <col min="2309" max="2309" width="1.42578125" style="194" customWidth="1"/>
    <col min="2310" max="2311" width="15.42578125" style="194" customWidth="1"/>
    <col min="2312" max="2312" width="10.28515625" style="194" customWidth="1"/>
    <col min="2313" max="2313" width="12.7109375" style="194" customWidth="1"/>
    <col min="2314" max="2314" width="11" style="194" customWidth="1"/>
    <col min="2315" max="2315" width="6" style="194" customWidth="1"/>
    <col min="2316" max="2316" width="5" style="194" bestFit="1" customWidth="1"/>
    <col min="2317" max="2317" width="18.85546875" style="194" customWidth="1"/>
    <col min="2318" max="2318" width="13.28515625" style="194" customWidth="1"/>
    <col min="2319" max="2319" width="5.42578125" style="194" customWidth="1"/>
    <col min="2320" max="2320" width="10.42578125" style="194" bestFit="1" customWidth="1"/>
    <col min="2321" max="2321" width="12" style="194" customWidth="1"/>
    <col min="2322" max="2322" width="7.7109375" style="194" customWidth="1"/>
    <col min="2323" max="2323" width="12.42578125" style="194" customWidth="1"/>
    <col min="2324" max="2324" width="34.5703125" style="194" bestFit="1" customWidth="1"/>
    <col min="2325" max="2326" width="24.42578125" style="194" bestFit="1" customWidth="1"/>
    <col min="2327" max="2327" width="39.5703125" style="194" bestFit="1" customWidth="1"/>
    <col min="2328" max="2328" width="22.28515625" style="194" bestFit="1" customWidth="1"/>
    <col min="2329" max="2330" width="39" style="194" bestFit="1" customWidth="1"/>
    <col min="2331" max="2331" width="22.140625" style="194" customWidth="1"/>
    <col min="2332" max="2332" width="23" style="194" bestFit="1" customWidth="1"/>
    <col min="2333" max="2333" width="20.85546875" style="194" bestFit="1" customWidth="1"/>
    <col min="2334" max="2334" width="39.5703125" style="194" bestFit="1" customWidth="1"/>
    <col min="2335" max="2336" width="23" style="194" bestFit="1" customWidth="1"/>
    <col min="2337" max="2338" width="34" style="194" bestFit="1" customWidth="1"/>
    <col min="2339" max="2339" width="34.140625" style="194" bestFit="1" customWidth="1"/>
    <col min="2340" max="2340" width="40.140625" style="194" bestFit="1" customWidth="1"/>
    <col min="2341" max="2560" width="9.140625" style="194"/>
    <col min="2561" max="2561" width="13.85546875" style="194" customWidth="1"/>
    <col min="2562" max="2562" width="10.42578125" style="194" customWidth="1"/>
    <col min="2563" max="2563" width="8.85546875" style="194" customWidth="1"/>
    <col min="2564" max="2564" width="6.5703125" style="194" customWidth="1"/>
    <col min="2565" max="2565" width="1.42578125" style="194" customWidth="1"/>
    <col min="2566" max="2567" width="15.42578125" style="194" customWidth="1"/>
    <col min="2568" max="2568" width="10.28515625" style="194" customWidth="1"/>
    <col min="2569" max="2569" width="12.7109375" style="194" customWidth="1"/>
    <col min="2570" max="2570" width="11" style="194" customWidth="1"/>
    <col min="2571" max="2571" width="6" style="194" customWidth="1"/>
    <col min="2572" max="2572" width="5" style="194" bestFit="1" customWidth="1"/>
    <col min="2573" max="2573" width="18.85546875" style="194" customWidth="1"/>
    <col min="2574" max="2574" width="13.28515625" style="194" customWidth="1"/>
    <col min="2575" max="2575" width="5.42578125" style="194" customWidth="1"/>
    <col min="2576" max="2576" width="10.42578125" style="194" bestFit="1" customWidth="1"/>
    <col min="2577" max="2577" width="12" style="194" customWidth="1"/>
    <col min="2578" max="2578" width="7.7109375" style="194" customWidth="1"/>
    <col min="2579" max="2579" width="12.42578125" style="194" customWidth="1"/>
    <col min="2580" max="2580" width="34.5703125" style="194" bestFit="1" customWidth="1"/>
    <col min="2581" max="2582" width="24.42578125" style="194" bestFit="1" customWidth="1"/>
    <col min="2583" max="2583" width="39.5703125" style="194" bestFit="1" customWidth="1"/>
    <col min="2584" max="2584" width="22.28515625" style="194" bestFit="1" customWidth="1"/>
    <col min="2585" max="2586" width="39" style="194" bestFit="1" customWidth="1"/>
    <col min="2587" max="2587" width="22.140625" style="194" customWidth="1"/>
    <col min="2588" max="2588" width="23" style="194" bestFit="1" customWidth="1"/>
    <col min="2589" max="2589" width="20.85546875" style="194" bestFit="1" customWidth="1"/>
    <col min="2590" max="2590" width="39.5703125" style="194" bestFit="1" customWidth="1"/>
    <col min="2591" max="2592" width="23" style="194" bestFit="1" customWidth="1"/>
    <col min="2593" max="2594" width="34" style="194" bestFit="1" customWidth="1"/>
    <col min="2595" max="2595" width="34.140625" style="194" bestFit="1" customWidth="1"/>
    <col min="2596" max="2596" width="40.140625" style="194" bestFit="1" customWidth="1"/>
    <col min="2597" max="2816" width="9.140625" style="194"/>
    <col min="2817" max="2817" width="13.85546875" style="194" customWidth="1"/>
    <col min="2818" max="2818" width="10.42578125" style="194" customWidth="1"/>
    <col min="2819" max="2819" width="8.85546875" style="194" customWidth="1"/>
    <col min="2820" max="2820" width="6.5703125" style="194" customWidth="1"/>
    <col min="2821" max="2821" width="1.42578125" style="194" customWidth="1"/>
    <col min="2822" max="2823" width="15.42578125" style="194" customWidth="1"/>
    <col min="2824" max="2824" width="10.28515625" style="194" customWidth="1"/>
    <col min="2825" max="2825" width="12.7109375" style="194" customWidth="1"/>
    <col min="2826" max="2826" width="11" style="194" customWidth="1"/>
    <col min="2827" max="2827" width="6" style="194" customWidth="1"/>
    <col min="2828" max="2828" width="5" style="194" bestFit="1" customWidth="1"/>
    <col min="2829" max="2829" width="18.85546875" style="194" customWidth="1"/>
    <col min="2830" max="2830" width="13.28515625" style="194" customWidth="1"/>
    <col min="2831" max="2831" width="5.42578125" style="194" customWidth="1"/>
    <col min="2832" max="2832" width="10.42578125" style="194" bestFit="1" customWidth="1"/>
    <col min="2833" max="2833" width="12" style="194" customWidth="1"/>
    <col min="2834" max="2834" width="7.7109375" style="194" customWidth="1"/>
    <col min="2835" max="2835" width="12.42578125" style="194" customWidth="1"/>
    <col min="2836" max="2836" width="34.5703125" style="194" bestFit="1" customWidth="1"/>
    <col min="2837" max="2838" width="24.42578125" style="194" bestFit="1" customWidth="1"/>
    <col min="2839" max="2839" width="39.5703125" style="194" bestFit="1" customWidth="1"/>
    <col min="2840" max="2840" width="22.28515625" style="194" bestFit="1" customWidth="1"/>
    <col min="2841" max="2842" width="39" style="194" bestFit="1" customWidth="1"/>
    <col min="2843" max="2843" width="22.140625" style="194" customWidth="1"/>
    <col min="2844" max="2844" width="23" style="194" bestFit="1" customWidth="1"/>
    <col min="2845" max="2845" width="20.85546875" style="194" bestFit="1" customWidth="1"/>
    <col min="2846" max="2846" width="39.5703125" style="194" bestFit="1" customWidth="1"/>
    <col min="2847" max="2848" width="23" style="194" bestFit="1" customWidth="1"/>
    <col min="2849" max="2850" width="34" style="194" bestFit="1" customWidth="1"/>
    <col min="2851" max="2851" width="34.140625" style="194" bestFit="1" customWidth="1"/>
    <col min="2852" max="2852" width="40.140625" style="194" bestFit="1" customWidth="1"/>
    <col min="2853" max="3072" width="9.140625" style="194"/>
    <col min="3073" max="3073" width="13.85546875" style="194" customWidth="1"/>
    <col min="3074" max="3074" width="10.42578125" style="194" customWidth="1"/>
    <col min="3075" max="3075" width="8.85546875" style="194" customWidth="1"/>
    <col min="3076" max="3076" width="6.5703125" style="194" customWidth="1"/>
    <col min="3077" max="3077" width="1.42578125" style="194" customWidth="1"/>
    <col min="3078" max="3079" width="15.42578125" style="194" customWidth="1"/>
    <col min="3080" max="3080" width="10.28515625" style="194" customWidth="1"/>
    <col min="3081" max="3081" width="12.7109375" style="194" customWidth="1"/>
    <col min="3082" max="3082" width="11" style="194" customWidth="1"/>
    <col min="3083" max="3083" width="6" style="194" customWidth="1"/>
    <col min="3084" max="3084" width="5" style="194" bestFit="1" customWidth="1"/>
    <col min="3085" max="3085" width="18.85546875" style="194" customWidth="1"/>
    <col min="3086" max="3086" width="13.28515625" style="194" customWidth="1"/>
    <col min="3087" max="3087" width="5.42578125" style="194" customWidth="1"/>
    <col min="3088" max="3088" width="10.42578125" style="194" bestFit="1" customWidth="1"/>
    <col min="3089" max="3089" width="12" style="194" customWidth="1"/>
    <col min="3090" max="3090" width="7.7109375" style="194" customWidth="1"/>
    <col min="3091" max="3091" width="12.42578125" style="194" customWidth="1"/>
    <col min="3092" max="3092" width="34.5703125" style="194" bestFit="1" customWidth="1"/>
    <col min="3093" max="3094" width="24.42578125" style="194" bestFit="1" customWidth="1"/>
    <col min="3095" max="3095" width="39.5703125" style="194" bestFit="1" customWidth="1"/>
    <col min="3096" max="3096" width="22.28515625" style="194" bestFit="1" customWidth="1"/>
    <col min="3097" max="3098" width="39" style="194" bestFit="1" customWidth="1"/>
    <col min="3099" max="3099" width="22.140625" style="194" customWidth="1"/>
    <col min="3100" max="3100" width="23" style="194" bestFit="1" customWidth="1"/>
    <col min="3101" max="3101" width="20.85546875" style="194" bestFit="1" customWidth="1"/>
    <col min="3102" max="3102" width="39.5703125" style="194" bestFit="1" customWidth="1"/>
    <col min="3103" max="3104" width="23" style="194" bestFit="1" customWidth="1"/>
    <col min="3105" max="3106" width="34" style="194" bestFit="1" customWidth="1"/>
    <col min="3107" max="3107" width="34.140625" style="194" bestFit="1" customWidth="1"/>
    <col min="3108" max="3108" width="40.140625" style="194" bestFit="1" customWidth="1"/>
    <col min="3109" max="3328" width="9.140625" style="194"/>
    <col min="3329" max="3329" width="13.85546875" style="194" customWidth="1"/>
    <col min="3330" max="3330" width="10.42578125" style="194" customWidth="1"/>
    <col min="3331" max="3331" width="8.85546875" style="194" customWidth="1"/>
    <col min="3332" max="3332" width="6.5703125" style="194" customWidth="1"/>
    <col min="3333" max="3333" width="1.42578125" style="194" customWidth="1"/>
    <col min="3334" max="3335" width="15.42578125" style="194" customWidth="1"/>
    <col min="3336" max="3336" width="10.28515625" style="194" customWidth="1"/>
    <col min="3337" max="3337" width="12.7109375" style="194" customWidth="1"/>
    <col min="3338" max="3338" width="11" style="194" customWidth="1"/>
    <col min="3339" max="3339" width="6" style="194" customWidth="1"/>
    <col min="3340" max="3340" width="5" style="194" bestFit="1" customWidth="1"/>
    <col min="3341" max="3341" width="18.85546875" style="194" customWidth="1"/>
    <col min="3342" max="3342" width="13.28515625" style="194" customWidth="1"/>
    <col min="3343" max="3343" width="5.42578125" style="194" customWidth="1"/>
    <col min="3344" max="3344" width="10.42578125" style="194" bestFit="1" customWidth="1"/>
    <col min="3345" max="3345" width="12" style="194" customWidth="1"/>
    <col min="3346" max="3346" width="7.7109375" style="194" customWidth="1"/>
    <col min="3347" max="3347" width="12.42578125" style="194" customWidth="1"/>
    <col min="3348" max="3348" width="34.5703125" style="194" bestFit="1" customWidth="1"/>
    <col min="3349" max="3350" width="24.42578125" style="194" bestFit="1" customWidth="1"/>
    <col min="3351" max="3351" width="39.5703125" style="194" bestFit="1" customWidth="1"/>
    <col min="3352" max="3352" width="22.28515625" style="194" bestFit="1" customWidth="1"/>
    <col min="3353" max="3354" width="39" style="194" bestFit="1" customWidth="1"/>
    <col min="3355" max="3355" width="22.140625" style="194" customWidth="1"/>
    <col min="3356" max="3356" width="23" style="194" bestFit="1" customWidth="1"/>
    <col min="3357" max="3357" width="20.85546875" style="194" bestFit="1" customWidth="1"/>
    <col min="3358" max="3358" width="39.5703125" style="194" bestFit="1" customWidth="1"/>
    <col min="3359" max="3360" width="23" style="194" bestFit="1" customWidth="1"/>
    <col min="3361" max="3362" width="34" style="194" bestFit="1" customWidth="1"/>
    <col min="3363" max="3363" width="34.140625" style="194" bestFit="1" customWidth="1"/>
    <col min="3364" max="3364" width="40.140625" style="194" bestFit="1" customWidth="1"/>
    <col min="3365" max="3584" width="9.140625" style="194"/>
    <col min="3585" max="3585" width="13.85546875" style="194" customWidth="1"/>
    <col min="3586" max="3586" width="10.42578125" style="194" customWidth="1"/>
    <col min="3587" max="3587" width="8.85546875" style="194" customWidth="1"/>
    <col min="3588" max="3588" width="6.5703125" style="194" customWidth="1"/>
    <col min="3589" max="3589" width="1.42578125" style="194" customWidth="1"/>
    <col min="3590" max="3591" width="15.42578125" style="194" customWidth="1"/>
    <col min="3592" max="3592" width="10.28515625" style="194" customWidth="1"/>
    <col min="3593" max="3593" width="12.7109375" style="194" customWidth="1"/>
    <col min="3594" max="3594" width="11" style="194" customWidth="1"/>
    <col min="3595" max="3595" width="6" style="194" customWidth="1"/>
    <col min="3596" max="3596" width="5" style="194" bestFit="1" customWidth="1"/>
    <col min="3597" max="3597" width="18.85546875" style="194" customWidth="1"/>
    <col min="3598" max="3598" width="13.28515625" style="194" customWidth="1"/>
    <col min="3599" max="3599" width="5.42578125" style="194" customWidth="1"/>
    <col min="3600" max="3600" width="10.42578125" style="194" bestFit="1" customWidth="1"/>
    <col min="3601" max="3601" width="12" style="194" customWidth="1"/>
    <col min="3602" max="3602" width="7.7109375" style="194" customWidth="1"/>
    <col min="3603" max="3603" width="12.42578125" style="194" customWidth="1"/>
    <col min="3604" max="3604" width="34.5703125" style="194" bestFit="1" customWidth="1"/>
    <col min="3605" max="3606" width="24.42578125" style="194" bestFit="1" customWidth="1"/>
    <col min="3607" max="3607" width="39.5703125" style="194" bestFit="1" customWidth="1"/>
    <col min="3608" max="3608" width="22.28515625" style="194" bestFit="1" customWidth="1"/>
    <col min="3609" max="3610" width="39" style="194" bestFit="1" customWidth="1"/>
    <col min="3611" max="3611" width="22.140625" style="194" customWidth="1"/>
    <col min="3612" max="3612" width="23" style="194" bestFit="1" customWidth="1"/>
    <col min="3613" max="3613" width="20.85546875" style="194" bestFit="1" customWidth="1"/>
    <col min="3614" max="3614" width="39.5703125" style="194" bestFit="1" customWidth="1"/>
    <col min="3615" max="3616" width="23" style="194" bestFit="1" customWidth="1"/>
    <col min="3617" max="3618" width="34" style="194" bestFit="1" customWidth="1"/>
    <col min="3619" max="3619" width="34.140625" style="194" bestFit="1" customWidth="1"/>
    <col min="3620" max="3620" width="40.140625" style="194" bestFit="1" customWidth="1"/>
    <col min="3621" max="3840" width="9.140625" style="194"/>
    <col min="3841" max="3841" width="13.85546875" style="194" customWidth="1"/>
    <col min="3842" max="3842" width="10.42578125" style="194" customWidth="1"/>
    <col min="3843" max="3843" width="8.85546875" style="194" customWidth="1"/>
    <col min="3844" max="3844" width="6.5703125" style="194" customWidth="1"/>
    <col min="3845" max="3845" width="1.42578125" style="194" customWidth="1"/>
    <col min="3846" max="3847" width="15.42578125" style="194" customWidth="1"/>
    <col min="3848" max="3848" width="10.28515625" style="194" customWidth="1"/>
    <col min="3849" max="3849" width="12.7109375" style="194" customWidth="1"/>
    <col min="3850" max="3850" width="11" style="194" customWidth="1"/>
    <col min="3851" max="3851" width="6" style="194" customWidth="1"/>
    <col min="3852" max="3852" width="5" style="194" bestFit="1" customWidth="1"/>
    <col min="3853" max="3853" width="18.85546875" style="194" customWidth="1"/>
    <col min="3854" max="3854" width="13.28515625" style="194" customWidth="1"/>
    <col min="3855" max="3855" width="5.42578125" style="194" customWidth="1"/>
    <col min="3856" max="3856" width="10.42578125" style="194" bestFit="1" customWidth="1"/>
    <col min="3857" max="3857" width="12" style="194" customWidth="1"/>
    <col min="3858" max="3858" width="7.7109375" style="194" customWidth="1"/>
    <col min="3859" max="3859" width="12.42578125" style="194" customWidth="1"/>
    <col min="3860" max="3860" width="34.5703125" style="194" bestFit="1" customWidth="1"/>
    <col min="3861" max="3862" width="24.42578125" style="194" bestFit="1" customWidth="1"/>
    <col min="3863" max="3863" width="39.5703125" style="194" bestFit="1" customWidth="1"/>
    <col min="3864" max="3864" width="22.28515625" style="194" bestFit="1" customWidth="1"/>
    <col min="3865" max="3866" width="39" style="194" bestFit="1" customWidth="1"/>
    <col min="3867" max="3867" width="22.140625" style="194" customWidth="1"/>
    <col min="3868" max="3868" width="23" style="194" bestFit="1" customWidth="1"/>
    <col min="3869" max="3869" width="20.85546875" style="194" bestFit="1" customWidth="1"/>
    <col min="3870" max="3870" width="39.5703125" style="194" bestFit="1" customWidth="1"/>
    <col min="3871" max="3872" width="23" style="194" bestFit="1" customWidth="1"/>
    <col min="3873" max="3874" width="34" style="194" bestFit="1" customWidth="1"/>
    <col min="3875" max="3875" width="34.140625" style="194" bestFit="1" customWidth="1"/>
    <col min="3876" max="3876" width="40.140625" style="194" bestFit="1" customWidth="1"/>
    <col min="3877" max="4096" width="9.140625" style="194"/>
    <col min="4097" max="4097" width="13.85546875" style="194" customWidth="1"/>
    <col min="4098" max="4098" width="10.42578125" style="194" customWidth="1"/>
    <col min="4099" max="4099" width="8.85546875" style="194" customWidth="1"/>
    <col min="4100" max="4100" width="6.5703125" style="194" customWidth="1"/>
    <col min="4101" max="4101" width="1.42578125" style="194" customWidth="1"/>
    <col min="4102" max="4103" width="15.42578125" style="194" customWidth="1"/>
    <col min="4104" max="4104" width="10.28515625" style="194" customWidth="1"/>
    <col min="4105" max="4105" width="12.7109375" style="194" customWidth="1"/>
    <col min="4106" max="4106" width="11" style="194" customWidth="1"/>
    <col min="4107" max="4107" width="6" style="194" customWidth="1"/>
    <col min="4108" max="4108" width="5" style="194" bestFit="1" customWidth="1"/>
    <col min="4109" max="4109" width="18.85546875" style="194" customWidth="1"/>
    <col min="4110" max="4110" width="13.28515625" style="194" customWidth="1"/>
    <col min="4111" max="4111" width="5.42578125" style="194" customWidth="1"/>
    <col min="4112" max="4112" width="10.42578125" style="194" bestFit="1" customWidth="1"/>
    <col min="4113" max="4113" width="12" style="194" customWidth="1"/>
    <col min="4114" max="4114" width="7.7109375" style="194" customWidth="1"/>
    <col min="4115" max="4115" width="12.42578125" style="194" customWidth="1"/>
    <col min="4116" max="4116" width="34.5703125" style="194" bestFit="1" customWidth="1"/>
    <col min="4117" max="4118" width="24.42578125" style="194" bestFit="1" customWidth="1"/>
    <col min="4119" max="4119" width="39.5703125" style="194" bestFit="1" customWidth="1"/>
    <col min="4120" max="4120" width="22.28515625" style="194" bestFit="1" customWidth="1"/>
    <col min="4121" max="4122" width="39" style="194" bestFit="1" customWidth="1"/>
    <col min="4123" max="4123" width="22.140625" style="194" customWidth="1"/>
    <col min="4124" max="4124" width="23" style="194" bestFit="1" customWidth="1"/>
    <col min="4125" max="4125" width="20.85546875" style="194" bestFit="1" customWidth="1"/>
    <col min="4126" max="4126" width="39.5703125" style="194" bestFit="1" customWidth="1"/>
    <col min="4127" max="4128" width="23" style="194" bestFit="1" customWidth="1"/>
    <col min="4129" max="4130" width="34" style="194" bestFit="1" customWidth="1"/>
    <col min="4131" max="4131" width="34.140625" style="194" bestFit="1" customWidth="1"/>
    <col min="4132" max="4132" width="40.140625" style="194" bestFit="1" customWidth="1"/>
    <col min="4133" max="4352" width="9.140625" style="194"/>
    <col min="4353" max="4353" width="13.85546875" style="194" customWidth="1"/>
    <col min="4354" max="4354" width="10.42578125" style="194" customWidth="1"/>
    <col min="4355" max="4355" width="8.85546875" style="194" customWidth="1"/>
    <col min="4356" max="4356" width="6.5703125" style="194" customWidth="1"/>
    <col min="4357" max="4357" width="1.42578125" style="194" customWidth="1"/>
    <col min="4358" max="4359" width="15.42578125" style="194" customWidth="1"/>
    <col min="4360" max="4360" width="10.28515625" style="194" customWidth="1"/>
    <col min="4361" max="4361" width="12.7109375" style="194" customWidth="1"/>
    <col min="4362" max="4362" width="11" style="194" customWidth="1"/>
    <col min="4363" max="4363" width="6" style="194" customWidth="1"/>
    <col min="4364" max="4364" width="5" style="194" bestFit="1" customWidth="1"/>
    <col min="4365" max="4365" width="18.85546875" style="194" customWidth="1"/>
    <col min="4366" max="4366" width="13.28515625" style="194" customWidth="1"/>
    <col min="4367" max="4367" width="5.42578125" style="194" customWidth="1"/>
    <col min="4368" max="4368" width="10.42578125" style="194" bestFit="1" customWidth="1"/>
    <col min="4369" max="4369" width="12" style="194" customWidth="1"/>
    <col min="4370" max="4370" width="7.7109375" style="194" customWidth="1"/>
    <col min="4371" max="4371" width="12.42578125" style="194" customWidth="1"/>
    <col min="4372" max="4372" width="34.5703125" style="194" bestFit="1" customWidth="1"/>
    <col min="4373" max="4374" width="24.42578125" style="194" bestFit="1" customWidth="1"/>
    <col min="4375" max="4375" width="39.5703125" style="194" bestFit="1" customWidth="1"/>
    <col min="4376" max="4376" width="22.28515625" style="194" bestFit="1" customWidth="1"/>
    <col min="4377" max="4378" width="39" style="194" bestFit="1" customWidth="1"/>
    <col min="4379" max="4379" width="22.140625" style="194" customWidth="1"/>
    <col min="4380" max="4380" width="23" style="194" bestFit="1" customWidth="1"/>
    <col min="4381" max="4381" width="20.85546875" style="194" bestFit="1" customWidth="1"/>
    <col min="4382" max="4382" width="39.5703125" style="194" bestFit="1" customWidth="1"/>
    <col min="4383" max="4384" width="23" style="194" bestFit="1" customWidth="1"/>
    <col min="4385" max="4386" width="34" style="194" bestFit="1" customWidth="1"/>
    <col min="4387" max="4387" width="34.140625" style="194" bestFit="1" customWidth="1"/>
    <col min="4388" max="4388" width="40.140625" style="194" bestFit="1" customWidth="1"/>
    <col min="4389" max="4608" width="9.140625" style="194"/>
    <col min="4609" max="4609" width="13.85546875" style="194" customWidth="1"/>
    <col min="4610" max="4610" width="10.42578125" style="194" customWidth="1"/>
    <col min="4611" max="4611" width="8.85546875" style="194" customWidth="1"/>
    <col min="4612" max="4612" width="6.5703125" style="194" customWidth="1"/>
    <col min="4613" max="4613" width="1.42578125" style="194" customWidth="1"/>
    <col min="4614" max="4615" width="15.42578125" style="194" customWidth="1"/>
    <col min="4616" max="4616" width="10.28515625" style="194" customWidth="1"/>
    <col min="4617" max="4617" width="12.7109375" style="194" customWidth="1"/>
    <col min="4618" max="4618" width="11" style="194" customWidth="1"/>
    <col min="4619" max="4619" width="6" style="194" customWidth="1"/>
    <col min="4620" max="4620" width="5" style="194" bestFit="1" customWidth="1"/>
    <col min="4621" max="4621" width="18.85546875" style="194" customWidth="1"/>
    <col min="4622" max="4622" width="13.28515625" style="194" customWidth="1"/>
    <col min="4623" max="4623" width="5.42578125" style="194" customWidth="1"/>
    <col min="4624" max="4624" width="10.42578125" style="194" bestFit="1" customWidth="1"/>
    <col min="4625" max="4625" width="12" style="194" customWidth="1"/>
    <col min="4626" max="4626" width="7.7109375" style="194" customWidth="1"/>
    <col min="4627" max="4627" width="12.42578125" style="194" customWidth="1"/>
    <col min="4628" max="4628" width="34.5703125" style="194" bestFit="1" customWidth="1"/>
    <col min="4629" max="4630" width="24.42578125" style="194" bestFit="1" customWidth="1"/>
    <col min="4631" max="4631" width="39.5703125" style="194" bestFit="1" customWidth="1"/>
    <col min="4632" max="4632" width="22.28515625" style="194" bestFit="1" customWidth="1"/>
    <col min="4633" max="4634" width="39" style="194" bestFit="1" customWidth="1"/>
    <col min="4635" max="4635" width="22.140625" style="194" customWidth="1"/>
    <col min="4636" max="4636" width="23" style="194" bestFit="1" customWidth="1"/>
    <col min="4637" max="4637" width="20.85546875" style="194" bestFit="1" customWidth="1"/>
    <col min="4638" max="4638" width="39.5703125" style="194" bestFit="1" customWidth="1"/>
    <col min="4639" max="4640" width="23" style="194" bestFit="1" customWidth="1"/>
    <col min="4641" max="4642" width="34" style="194" bestFit="1" customWidth="1"/>
    <col min="4643" max="4643" width="34.140625" style="194" bestFit="1" customWidth="1"/>
    <col min="4644" max="4644" width="40.140625" style="194" bestFit="1" customWidth="1"/>
    <col min="4645" max="4864" width="9.140625" style="194"/>
    <col min="4865" max="4865" width="13.85546875" style="194" customWidth="1"/>
    <col min="4866" max="4866" width="10.42578125" style="194" customWidth="1"/>
    <col min="4867" max="4867" width="8.85546875" style="194" customWidth="1"/>
    <col min="4868" max="4868" width="6.5703125" style="194" customWidth="1"/>
    <col min="4869" max="4869" width="1.42578125" style="194" customWidth="1"/>
    <col min="4870" max="4871" width="15.42578125" style="194" customWidth="1"/>
    <col min="4872" max="4872" width="10.28515625" style="194" customWidth="1"/>
    <col min="4873" max="4873" width="12.7109375" style="194" customWidth="1"/>
    <col min="4874" max="4874" width="11" style="194" customWidth="1"/>
    <col min="4875" max="4875" width="6" style="194" customWidth="1"/>
    <col min="4876" max="4876" width="5" style="194" bestFit="1" customWidth="1"/>
    <col min="4877" max="4877" width="18.85546875" style="194" customWidth="1"/>
    <col min="4878" max="4878" width="13.28515625" style="194" customWidth="1"/>
    <col min="4879" max="4879" width="5.42578125" style="194" customWidth="1"/>
    <col min="4880" max="4880" width="10.42578125" style="194" bestFit="1" customWidth="1"/>
    <col min="4881" max="4881" width="12" style="194" customWidth="1"/>
    <col min="4882" max="4882" width="7.7109375" style="194" customWidth="1"/>
    <col min="4883" max="4883" width="12.42578125" style="194" customWidth="1"/>
    <col min="4884" max="4884" width="34.5703125" style="194" bestFit="1" customWidth="1"/>
    <col min="4885" max="4886" width="24.42578125" style="194" bestFit="1" customWidth="1"/>
    <col min="4887" max="4887" width="39.5703125" style="194" bestFit="1" customWidth="1"/>
    <col min="4888" max="4888" width="22.28515625" style="194" bestFit="1" customWidth="1"/>
    <col min="4889" max="4890" width="39" style="194" bestFit="1" customWidth="1"/>
    <col min="4891" max="4891" width="22.140625" style="194" customWidth="1"/>
    <col min="4892" max="4892" width="23" style="194" bestFit="1" customWidth="1"/>
    <col min="4893" max="4893" width="20.85546875" style="194" bestFit="1" customWidth="1"/>
    <col min="4894" max="4894" width="39.5703125" style="194" bestFit="1" customWidth="1"/>
    <col min="4895" max="4896" width="23" style="194" bestFit="1" customWidth="1"/>
    <col min="4897" max="4898" width="34" style="194" bestFit="1" customWidth="1"/>
    <col min="4899" max="4899" width="34.140625" style="194" bestFit="1" customWidth="1"/>
    <col min="4900" max="4900" width="40.140625" style="194" bestFit="1" customWidth="1"/>
    <col min="4901" max="5120" width="9.140625" style="194"/>
    <col min="5121" max="5121" width="13.85546875" style="194" customWidth="1"/>
    <col min="5122" max="5122" width="10.42578125" style="194" customWidth="1"/>
    <col min="5123" max="5123" width="8.85546875" style="194" customWidth="1"/>
    <col min="5124" max="5124" width="6.5703125" style="194" customWidth="1"/>
    <col min="5125" max="5125" width="1.42578125" style="194" customWidth="1"/>
    <col min="5126" max="5127" width="15.42578125" style="194" customWidth="1"/>
    <col min="5128" max="5128" width="10.28515625" style="194" customWidth="1"/>
    <col min="5129" max="5129" width="12.7109375" style="194" customWidth="1"/>
    <col min="5130" max="5130" width="11" style="194" customWidth="1"/>
    <col min="5131" max="5131" width="6" style="194" customWidth="1"/>
    <col min="5132" max="5132" width="5" style="194" bestFit="1" customWidth="1"/>
    <col min="5133" max="5133" width="18.85546875" style="194" customWidth="1"/>
    <col min="5134" max="5134" width="13.28515625" style="194" customWidth="1"/>
    <col min="5135" max="5135" width="5.42578125" style="194" customWidth="1"/>
    <col min="5136" max="5136" width="10.42578125" style="194" bestFit="1" customWidth="1"/>
    <col min="5137" max="5137" width="12" style="194" customWidth="1"/>
    <col min="5138" max="5138" width="7.7109375" style="194" customWidth="1"/>
    <col min="5139" max="5139" width="12.42578125" style="194" customWidth="1"/>
    <col min="5140" max="5140" width="34.5703125" style="194" bestFit="1" customWidth="1"/>
    <col min="5141" max="5142" width="24.42578125" style="194" bestFit="1" customWidth="1"/>
    <col min="5143" max="5143" width="39.5703125" style="194" bestFit="1" customWidth="1"/>
    <col min="5144" max="5144" width="22.28515625" style="194" bestFit="1" customWidth="1"/>
    <col min="5145" max="5146" width="39" style="194" bestFit="1" customWidth="1"/>
    <col min="5147" max="5147" width="22.140625" style="194" customWidth="1"/>
    <col min="5148" max="5148" width="23" style="194" bestFit="1" customWidth="1"/>
    <col min="5149" max="5149" width="20.85546875" style="194" bestFit="1" customWidth="1"/>
    <col min="5150" max="5150" width="39.5703125" style="194" bestFit="1" customWidth="1"/>
    <col min="5151" max="5152" width="23" style="194" bestFit="1" customWidth="1"/>
    <col min="5153" max="5154" width="34" style="194" bestFit="1" customWidth="1"/>
    <col min="5155" max="5155" width="34.140625" style="194" bestFit="1" customWidth="1"/>
    <col min="5156" max="5156" width="40.140625" style="194" bestFit="1" customWidth="1"/>
    <col min="5157" max="5376" width="9.140625" style="194"/>
    <col min="5377" max="5377" width="13.85546875" style="194" customWidth="1"/>
    <col min="5378" max="5378" width="10.42578125" style="194" customWidth="1"/>
    <col min="5379" max="5379" width="8.85546875" style="194" customWidth="1"/>
    <col min="5380" max="5380" width="6.5703125" style="194" customWidth="1"/>
    <col min="5381" max="5381" width="1.42578125" style="194" customWidth="1"/>
    <col min="5382" max="5383" width="15.42578125" style="194" customWidth="1"/>
    <col min="5384" max="5384" width="10.28515625" style="194" customWidth="1"/>
    <col min="5385" max="5385" width="12.7109375" style="194" customWidth="1"/>
    <col min="5386" max="5386" width="11" style="194" customWidth="1"/>
    <col min="5387" max="5387" width="6" style="194" customWidth="1"/>
    <col min="5388" max="5388" width="5" style="194" bestFit="1" customWidth="1"/>
    <col min="5389" max="5389" width="18.85546875" style="194" customWidth="1"/>
    <col min="5390" max="5390" width="13.28515625" style="194" customWidth="1"/>
    <col min="5391" max="5391" width="5.42578125" style="194" customWidth="1"/>
    <col min="5392" max="5392" width="10.42578125" style="194" bestFit="1" customWidth="1"/>
    <col min="5393" max="5393" width="12" style="194" customWidth="1"/>
    <col min="5394" max="5394" width="7.7109375" style="194" customWidth="1"/>
    <col min="5395" max="5395" width="12.42578125" style="194" customWidth="1"/>
    <col min="5396" max="5396" width="34.5703125" style="194" bestFit="1" customWidth="1"/>
    <col min="5397" max="5398" width="24.42578125" style="194" bestFit="1" customWidth="1"/>
    <col min="5399" max="5399" width="39.5703125" style="194" bestFit="1" customWidth="1"/>
    <col min="5400" max="5400" width="22.28515625" style="194" bestFit="1" customWidth="1"/>
    <col min="5401" max="5402" width="39" style="194" bestFit="1" customWidth="1"/>
    <col min="5403" max="5403" width="22.140625" style="194" customWidth="1"/>
    <col min="5404" max="5404" width="23" style="194" bestFit="1" customWidth="1"/>
    <col min="5405" max="5405" width="20.85546875" style="194" bestFit="1" customWidth="1"/>
    <col min="5406" max="5406" width="39.5703125" style="194" bestFit="1" customWidth="1"/>
    <col min="5407" max="5408" width="23" style="194" bestFit="1" customWidth="1"/>
    <col min="5409" max="5410" width="34" style="194" bestFit="1" customWidth="1"/>
    <col min="5411" max="5411" width="34.140625" style="194" bestFit="1" customWidth="1"/>
    <col min="5412" max="5412" width="40.140625" style="194" bestFit="1" customWidth="1"/>
    <col min="5413" max="5632" width="9.140625" style="194"/>
    <col min="5633" max="5633" width="13.85546875" style="194" customWidth="1"/>
    <col min="5634" max="5634" width="10.42578125" style="194" customWidth="1"/>
    <col min="5635" max="5635" width="8.85546875" style="194" customWidth="1"/>
    <col min="5636" max="5636" width="6.5703125" style="194" customWidth="1"/>
    <col min="5637" max="5637" width="1.42578125" style="194" customWidth="1"/>
    <col min="5638" max="5639" width="15.42578125" style="194" customWidth="1"/>
    <col min="5640" max="5640" width="10.28515625" style="194" customWidth="1"/>
    <col min="5641" max="5641" width="12.7109375" style="194" customWidth="1"/>
    <col min="5642" max="5642" width="11" style="194" customWidth="1"/>
    <col min="5643" max="5643" width="6" style="194" customWidth="1"/>
    <col min="5644" max="5644" width="5" style="194" bestFit="1" customWidth="1"/>
    <col min="5645" max="5645" width="18.85546875" style="194" customWidth="1"/>
    <col min="5646" max="5646" width="13.28515625" style="194" customWidth="1"/>
    <col min="5647" max="5647" width="5.42578125" style="194" customWidth="1"/>
    <col min="5648" max="5648" width="10.42578125" style="194" bestFit="1" customWidth="1"/>
    <col min="5649" max="5649" width="12" style="194" customWidth="1"/>
    <col min="5650" max="5650" width="7.7109375" style="194" customWidth="1"/>
    <col min="5651" max="5651" width="12.42578125" style="194" customWidth="1"/>
    <col min="5652" max="5652" width="34.5703125" style="194" bestFit="1" customWidth="1"/>
    <col min="5653" max="5654" width="24.42578125" style="194" bestFit="1" customWidth="1"/>
    <col min="5655" max="5655" width="39.5703125" style="194" bestFit="1" customWidth="1"/>
    <col min="5656" max="5656" width="22.28515625" style="194" bestFit="1" customWidth="1"/>
    <col min="5657" max="5658" width="39" style="194" bestFit="1" customWidth="1"/>
    <col min="5659" max="5659" width="22.140625" style="194" customWidth="1"/>
    <col min="5660" max="5660" width="23" style="194" bestFit="1" customWidth="1"/>
    <col min="5661" max="5661" width="20.85546875" style="194" bestFit="1" customWidth="1"/>
    <col min="5662" max="5662" width="39.5703125" style="194" bestFit="1" customWidth="1"/>
    <col min="5663" max="5664" width="23" style="194" bestFit="1" customWidth="1"/>
    <col min="5665" max="5666" width="34" style="194" bestFit="1" customWidth="1"/>
    <col min="5667" max="5667" width="34.140625" style="194" bestFit="1" customWidth="1"/>
    <col min="5668" max="5668" width="40.140625" style="194" bestFit="1" customWidth="1"/>
    <col min="5669" max="5888" width="9.140625" style="194"/>
    <col min="5889" max="5889" width="13.85546875" style="194" customWidth="1"/>
    <col min="5890" max="5890" width="10.42578125" style="194" customWidth="1"/>
    <col min="5891" max="5891" width="8.85546875" style="194" customWidth="1"/>
    <col min="5892" max="5892" width="6.5703125" style="194" customWidth="1"/>
    <col min="5893" max="5893" width="1.42578125" style="194" customWidth="1"/>
    <col min="5894" max="5895" width="15.42578125" style="194" customWidth="1"/>
    <col min="5896" max="5896" width="10.28515625" style="194" customWidth="1"/>
    <col min="5897" max="5897" width="12.7109375" style="194" customWidth="1"/>
    <col min="5898" max="5898" width="11" style="194" customWidth="1"/>
    <col min="5899" max="5899" width="6" style="194" customWidth="1"/>
    <col min="5900" max="5900" width="5" style="194" bestFit="1" customWidth="1"/>
    <col min="5901" max="5901" width="18.85546875" style="194" customWidth="1"/>
    <col min="5902" max="5902" width="13.28515625" style="194" customWidth="1"/>
    <col min="5903" max="5903" width="5.42578125" style="194" customWidth="1"/>
    <col min="5904" max="5904" width="10.42578125" style="194" bestFit="1" customWidth="1"/>
    <col min="5905" max="5905" width="12" style="194" customWidth="1"/>
    <col min="5906" max="5906" width="7.7109375" style="194" customWidth="1"/>
    <col min="5907" max="5907" width="12.42578125" style="194" customWidth="1"/>
    <col min="5908" max="5908" width="34.5703125" style="194" bestFit="1" customWidth="1"/>
    <col min="5909" max="5910" width="24.42578125" style="194" bestFit="1" customWidth="1"/>
    <col min="5911" max="5911" width="39.5703125" style="194" bestFit="1" customWidth="1"/>
    <col min="5912" max="5912" width="22.28515625" style="194" bestFit="1" customWidth="1"/>
    <col min="5913" max="5914" width="39" style="194" bestFit="1" customWidth="1"/>
    <col min="5915" max="5915" width="22.140625" style="194" customWidth="1"/>
    <col min="5916" max="5916" width="23" style="194" bestFit="1" customWidth="1"/>
    <col min="5917" max="5917" width="20.85546875" style="194" bestFit="1" customWidth="1"/>
    <col min="5918" max="5918" width="39.5703125" style="194" bestFit="1" customWidth="1"/>
    <col min="5919" max="5920" width="23" style="194" bestFit="1" customWidth="1"/>
    <col min="5921" max="5922" width="34" style="194" bestFit="1" customWidth="1"/>
    <col min="5923" max="5923" width="34.140625" style="194" bestFit="1" customWidth="1"/>
    <col min="5924" max="5924" width="40.140625" style="194" bestFit="1" customWidth="1"/>
    <col min="5925" max="6144" width="9.140625" style="194"/>
    <col min="6145" max="6145" width="13.85546875" style="194" customWidth="1"/>
    <col min="6146" max="6146" width="10.42578125" style="194" customWidth="1"/>
    <col min="6147" max="6147" width="8.85546875" style="194" customWidth="1"/>
    <col min="6148" max="6148" width="6.5703125" style="194" customWidth="1"/>
    <col min="6149" max="6149" width="1.42578125" style="194" customWidth="1"/>
    <col min="6150" max="6151" width="15.42578125" style="194" customWidth="1"/>
    <col min="6152" max="6152" width="10.28515625" style="194" customWidth="1"/>
    <col min="6153" max="6153" width="12.7109375" style="194" customWidth="1"/>
    <col min="6154" max="6154" width="11" style="194" customWidth="1"/>
    <col min="6155" max="6155" width="6" style="194" customWidth="1"/>
    <col min="6156" max="6156" width="5" style="194" bestFit="1" customWidth="1"/>
    <col min="6157" max="6157" width="18.85546875" style="194" customWidth="1"/>
    <col min="6158" max="6158" width="13.28515625" style="194" customWidth="1"/>
    <col min="6159" max="6159" width="5.42578125" style="194" customWidth="1"/>
    <col min="6160" max="6160" width="10.42578125" style="194" bestFit="1" customWidth="1"/>
    <col min="6161" max="6161" width="12" style="194" customWidth="1"/>
    <col min="6162" max="6162" width="7.7109375" style="194" customWidth="1"/>
    <col min="6163" max="6163" width="12.42578125" style="194" customWidth="1"/>
    <col min="6164" max="6164" width="34.5703125" style="194" bestFit="1" customWidth="1"/>
    <col min="6165" max="6166" width="24.42578125" style="194" bestFit="1" customWidth="1"/>
    <col min="6167" max="6167" width="39.5703125" style="194" bestFit="1" customWidth="1"/>
    <col min="6168" max="6168" width="22.28515625" style="194" bestFit="1" customWidth="1"/>
    <col min="6169" max="6170" width="39" style="194" bestFit="1" customWidth="1"/>
    <col min="6171" max="6171" width="22.140625" style="194" customWidth="1"/>
    <col min="6172" max="6172" width="23" style="194" bestFit="1" customWidth="1"/>
    <col min="6173" max="6173" width="20.85546875" style="194" bestFit="1" customWidth="1"/>
    <col min="6174" max="6174" width="39.5703125" style="194" bestFit="1" customWidth="1"/>
    <col min="6175" max="6176" width="23" style="194" bestFit="1" customWidth="1"/>
    <col min="6177" max="6178" width="34" style="194" bestFit="1" customWidth="1"/>
    <col min="6179" max="6179" width="34.140625" style="194" bestFit="1" customWidth="1"/>
    <col min="6180" max="6180" width="40.140625" style="194" bestFit="1" customWidth="1"/>
    <col min="6181" max="6400" width="9.140625" style="194"/>
    <col min="6401" max="6401" width="13.85546875" style="194" customWidth="1"/>
    <col min="6402" max="6402" width="10.42578125" style="194" customWidth="1"/>
    <col min="6403" max="6403" width="8.85546875" style="194" customWidth="1"/>
    <col min="6404" max="6404" width="6.5703125" style="194" customWidth="1"/>
    <col min="6405" max="6405" width="1.42578125" style="194" customWidth="1"/>
    <col min="6406" max="6407" width="15.42578125" style="194" customWidth="1"/>
    <col min="6408" max="6408" width="10.28515625" style="194" customWidth="1"/>
    <col min="6409" max="6409" width="12.7109375" style="194" customWidth="1"/>
    <col min="6410" max="6410" width="11" style="194" customWidth="1"/>
    <col min="6411" max="6411" width="6" style="194" customWidth="1"/>
    <col min="6412" max="6412" width="5" style="194" bestFit="1" customWidth="1"/>
    <col min="6413" max="6413" width="18.85546875" style="194" customWidth="1"/>
    <col min="6414" max="6414" width="13.28515625" style="194" customWidth="1"/>
    <col min="6415" max="6415" width="5.42578125" style="194" customWidth="1"/>
    <col min="6416" max="6416" width="10.42578125" style="194" bestFit="1" customWidth="1"/>
    <col min="6417" max="6417" width="12" style="194" customWidth="1"/>
    <col min="6418" max="6418" width="7.7109375" style="194" customWidth="1"/>
    <col min="6419" max="6419" width="12.42578125" style="194" customWidth="1"/>
    <col min="6420" max="6420" width="34.5703125" style="194" bestFit="1" customWidth="1"/>
    <col min="6421" max="6422" width="24.42578125" style="194" bestFit="1" customWidth="1"/>
    <col min="6423" max="6423" width="39.5703125" style="194" bestFit="1" customWidth="1"/>
    <col min="6424" max="6424" width="22.28515625" style="194" bestFit="1" customWidth="1"/>
    <col min="6425" max="6426" width="39" style="194" bestFit="1" customWidth="1"/>
    <col min="6427" max="6427" width="22.140625" style="194" customWidth="1"/>
    <col min="6428" max="6428" width="23" style="194" bestFit="1" customWidth="1"/>
    <col min="6429" max="6429" width="20.85546875" style="194" bestFit="1" customWidth="1"/>
    <col min="6430" max="6430" width="39.5703125" style="194" bestFit="1" customWidth="1"/>
    <col min="6431" max="6432" width="23" style="194" bestFit="1" customWidth="1"/>
    <col min="6433" max="6434" width="34" style="194" bestFit="1" customWidth="1"/>
    <col min="6435" max="6435" width="34.140625" style="194" bestFit="1" customWidth="1"/>
    <col min="6436" max="6436" width="40.140625" style="194" bestFit="1" customWidth="1"/>
    <col min="6437" max="6656" width="9.140625" style="194"/>
    <col min="6657" max="6657" width="13.85546875" style="194" customWidth="1"/>
    <col min="6658" max="6658" width="10.42578125" style="194" customWidth="1"/>
    <col min="6659" max="6659" width="8.85546875" style="194" customWidth="1"/>
    <col min="6660" max="6660" width="6.5703125" style="194" customWidth="1"/>
    <col min="6661" max="6661" width="1.42578125" style="194" customWidth="1"/>
    <col min="6662" max="6663" width="15.42578125" style="194" customWidth="1"/>
    <col min="6664" max="6664" width="10.28515625" style="194" customWidth="1"/>
    <col min="6665" max="6665" width="12.7109375" style="194" customWidth="1"/>
    <col min="6666" max="6666" width="11" style="194" customWidth="1"/>
    <col min="6667" max="6667" width="6" style="194" customWidth="1"/>
    <col min="6668" max="6668" width="5" style="194" bestFit="1" customWidth="1"/>
    <col min="6669" max="6669" width="18.85546875" style="194" customWidth="1"/>
    <col min="6670" max="6670" width="13.28515625" style="194" customWidth="1"/>
    <col min="6671" max="6671" width="5.42578125" style="194" customWidth="1"/>
    <col min="6672" max="6672" width="10.42578125" style="194" bestFit="1" customWidth="1"/>
    <col min="6673" max="6673" width="12" style="194" customWidth="1"/>
    <col min="6674" max="6674" width="7.7109375" style="194" customWidth="1"/>
    <col min="6675" max="6675" width="12.42578125" style="194" customWidth="1"/>
    <col min="6676" max="6676" width="34.5703125" style="194" bestFit="1" customWidth="1"/>
    <col min="6677" max="6678" width="24.42578125" style="194" bestFit="1" customWidth="1"/>
    <col min="6679" max="6679" width="39.5703125" style="194" bestFit="1" customWidth="1"/>
    <col min="6680" max="6680" width="22.28515625" style="194" bestFit="1" customWidth="1"/>
    <col min="6681" max="6682" width="39" style="194" bestFit="1" customWidth="1"/>
    <col min="6683" max="6683" width="22.140625" style="194" customWidth="1"/>
    <col min="6684" max="6684" width="23" style="194" bestFit="1" customWidth="1"/>
    <col min="6685" max="6685" width="20.85546875" style="194" bestFit="1" customWidth="1"/>
    <col min="6686" max="6686" width="39.5703125" style="194" bestFit="1" customWidth="1"/>
    <col min="6687" max="6688" width="23" style="194" bestFit="1" customWidth="1"/>
    <col min="6689" max="6690" width="34" style="194" bestFit="1" customWidth="1"/>
    <col min="6691" max="6691" width="34.140625" style="194" bestFit="1" customWidth="1"/>
    <col min="6692" max="6692" width="40.140625" style="194" bestFit="1" customWidth="1"/>
    <col min="6693" max="6912" width="9.140625" style="194"/>
    <col min="6913" max="6913" width="13.85546875" style="194" customWidth="1"/>
    <col min="6914" max="6914" width="10.42578125" style="194" customWidth="1"/>
    <col min="6915" max="6915" width="8.85546875" style="194" customWidth="1"/>
    <col min="6916" max="6916" width="6.5703125" style="194" customWidth="1"/>
    <col min="6917" max="6917" width="1.42578125" style="194" customWidth="1"/>
    <col min="6918" max="6919" width="15.42578125" style="194" customWidth="1"/>
    <col min="6920" max="6920" width="10.28515625" style="194" customWidth="1"/>
    <col min="6921" max="6921" width="12.7109375" style="194" customWidth="1"/>
    <col min="6922" max="6922" width="11" style="194" customWidth="1"/>
    <col min="6923" max="6923" width="6" style="194" customWidth="1"/>
    <col min="6924" max="6924" width="5" style="194" bestFit="1" customWidth="1"/>
    <col min="6925" max="6925" width="18.85546875" style="194" customWidth="1"/>
    <col min="6926" max="6926" width="13.28515625" style="194" customWidth="1"/>
    <col min="6927" max="6927" width="5.42578125" style="194" customWidth="1"/>
    <col min="6928" max="6928" width="10.42578125" style="194" bestFit="1" customWidth="1"/>
    <col min="6929" max="6929" width="12" style="194" customWidth="1"/>
    <col min="6930" max="6930" width="7.7109375" style="194" customWidth="1"/>
    <col min="6931" max="6931" width="12.42578125" style="194" customWidth="1"/>
    <col min="6932" max="6932" width="34.5703125" style="194" bestFit="1" customWidth="1"/>
    <col min="6933" max="6934" width="24.42578125" style="194" bestFit="1" customWidth="1"/>
    <col min="6935" max="6935" width="39.5703125" style="194" bestFit="1" customWidth="1"/>
    <col min="6936" max="6936" width="22.28515625" style="194" bestFit="1" customWidth="1"/>
    <col min="6937" max="6938" width="39" style="194" bestFit="1" customWidth="1"/>
    <col min="6939" max="6939" width="22.140625" style="194" customWidth="1"/>
    <col min="6940" max="6940" width="23" style="194" bestFit="1" customWidth="1"/>
    <col min="6941" max="6941" width="20.85546875" style="194" bestFit="1" customWidth="1"/>
    <col min="6942" max="6942" width="39.5703125" style="194" bestFit="1" customWidth="1"/>
    <col min="6943" max="6944" width="23" style="194" bestFit="1" customWidth="1"/>
    <col min="6945" max="6946" width="34" style="194" bestFit="1" customWidth="1"/>
    <col min="6947" max="6947" width="34.140625" style="194" bestFit="1" customWidth="1"/>
    <col min="6948" max="6948" width="40.140625" style="194" bestFit="1" customWidth="1"/>
    <col min="6949" max="7168" width="9.140625" style="194"/>
    <col min="7169" max="7169" width="13.85546875" style="194" customWidth="1"/>
    <col min="7170" max="7170" width="10.42578125" style="194" customWidth="1"/>
    <col min="7171" max="7171" width="8.85546875" style="194" customWidth="1"/>
    <col min="7172" max="7172" width="6.5703125" style="194" customWidth="1"/>
    <col min="7173" max="7173" width="1.42578125" style="194" customWidth="1"/>
    <col min="7174" max="7175" width="15.42578125" style="194" customWidth="1"/>
    <col min="7176" max="7176" width="10.28515625" style="194" customWidth="1"/>
    <col min="7177" max="7177" width="12.7109375" style="194" customWidth="1"/>
    <col min="7178" max="7178" width="11" style="194" customWidth="1"/>
    <col min="7179" max="7179" width="6" style="194" customWidth="1"/>
    <col min="7180" max="7180" width="5" style="194" bestFit="1" customWidth="1"/>
    <col min="7181" max="7181" width="18.85546875" style="194" customWidth="1"/>
    <col min="7182" max="7182" width="13.28515625" style="194" customWidth="1"/>
    <col min="7183" max="7183" width="5.42578125" style="194" customWidth="1"/>
    <col min="7184" max="7184" width="10.42578125" style="194" bestFit="1" customWidth="1"/>
    <col min="7185" max="7185" width="12" style="194" customWidth="1"/>
    <col min="7186" max="7186" width="7.7109375" style="194" customWidth="1"/>
    <col min="7187" max="7187" width="12.42578125" style="194" customWidth="1"/>
    <col min="7188" max="7188" width="34.5703125" style="194" bestFit="1" customWidth="1"/>
    <col min="7189" max="7190" width="24.42578125" style="194" bestFit="1" customWidth="1"/>
    <col min="7191" max="7191" width="39.5703125" style="194" bestFit="1" customWidth="1"/>
    <col min="7192" max="7192" width="22.28515625" style="194" bestFit="1" customWidth="1"/>
    <col min="7193" max="7194" width="39" style="194" bestFit="1" customWidth="1"/>
    <col min="7195" max="7195" width="22.140625" style="194" customWidth="1"/>
    <col min="7196" max="7196" width="23" style="194" bestFit="1" customWidth="1"/>
    <col min="7197" max="7197" width="20.85546875" style="194" bestFit="1" customWidth="1"/>
    <col min="7198" max="7198" width="39.5703125" style="194" bestFit="1" customWidth="1"/>
    <col min="7199" max="7200" width="23" style="194" bestFit="1" customWidth="1"/>
    <col min="7201" max="7202" width="34" style="194" bestFit="1" customWidth="1"/>
    <col min="7203" max="7203" width="34.140625" style="194" bestFit="1" customWidth="1"/>
    <col min="7204" max="7204" width="40.140625" style="194" bestFit="1" customWidth="1"/>
    <col min="7205" max="7424" width="9.140625" style="194"/>
    <col min="7425" max="7425" width="13.85546875" style="194" customWidth="1"/>
    <col min="7426" max="7426" width="10.42578125" style="194" customWidth="1"/>
    <col min="7427" max="7427" width="8.85546875" style="194" customWidth="1"/>
    <col min="7428" max="7428" width="6.5703125" style="194" customWidth="1"/>
    <col min="7429" max="7429" width="1.42578125" style="194" customWidth="1"/>
    <col min="7430" max="7431" width="15.42578125" style="194" customWidth="1"/>
    <col min="7432" max="7432" width="10.28515625" style="194" customWidth="1"/>
    <col min="7433" max="7433" width="12.7109375" style="194" customWidth="1"/>
    <col min="7434" max="7434" width="11" style="194" customWidth="1"/>
    <col min="7435" max="7435" width="6" style="194" customWidth="1"/>
    <col min="7436" max="7436" width="5" style="194" bestFit="1" customWidth="1"/>
    <col min="7437" max="7437" width="18.85546875" style="194" customWidth="1"/>
    <col min="7438" max="7438" width="13.28515625" style="194" customWidth="1"/>
    <col min="7439" max="7439" width="5.42578125" style="194" customWidth="1"/>
    <col min="7440" max="7440" width="10.42578125" style="194" bestFit="1" customWidth="1"/>
    <col min="7441" max="7441" width="12" style="194" customWidth="1"/>
    <col min="7442" max="7442" width="7.7109375" style="194" customWidth="1"/>
    <col min="7443" max="7443" width="12.42578125" style="194" customWidth="1"/>
    <col min="7444" max="7444" width="34.5703125" style="194" bestFit="1" customWidth="1"/>
    <col min="7445" max="7446" width="24.42578125" style="194" bestFit="1" customWidth="1"/>
    <col min="7447" max="7447" width="39.5703125" style="194" bestFit="1" customWidth="1"/>
    <col min="7448" max="7448" width="22.28515625" style="194" bestFit="1" customWidth="1"/>
    <col min="7449" max="7450" width="39" style="194" bestFit="1" customWidth="1"/>
    <col min="7451" max="7451" width="22.140625" style="194" customWidth="1"/>
    <col min="7452" max="7452" width="23" style="194" bestFit="1" customWidth="1"/>
    <col min="7453" max="7453" width="20.85546875" style="194" bestFit="1" customWidth="1"/>
    <col min="7454" max="7454" width="39.5703125" style="194" bestFit="1" customWidth="1"/>
    <col min="7455" max="7456" width="23" style="194" bestFit="1" customWidth="1"/>
    <col min="7457" max="7458" width="34" style="194" bestFit="1" customWidth="1"/>
    <col min="7459" max="7459" width="34.140625" style="194" bestFit="1" customWidth="1"/>
    <col min="7460" max="7460" width="40.140625" style="194" bestFit="1" customWidth="1"/>
    <col min="7461" max="7680" width="9.140625" style="194"/>
    <col min="7681" max="7681" width="13.85546875" style="194" customWidth="1"/>
    <col min="7682" max="7682" width="10.42578125" style="194" customWidth="1"/>
    <col min="7683" max="7683" width="8.85546875" style="194" customWidth="1"/>
    <col min="7684" max="7684" width="6.5703125" style="194" customWidth="1"/>
    <col min="7685" max="7685" width="1.42578125" style="194" customWidth="1"/>
    <col min="7686" max="7687" width="15.42578125" style="194" customWidth="1"/>
    <col min="7688" max="7688" width="10.28515625" style="194" customWidth="1"/>
    <col min="7689" max="7689" width="12.7109375" style="194" customWidth="1"/>
    <col min="7690" max="7690" width="11" style="194" customWidth="1"/>
    <col min="7691" max="7691" width="6" style="194" customWidth="1"/>
    <col min="7692" max="7692" width="5" style="194" bestFit="1" customWidth="1"/>
    <col min="7693" max="7693" width="18.85546875" style="194" customWidth="1"/>
    <col min="7694" max="7694" width="13.28515625" style="194" customWidth="1"/>
    <col min="7695" max="7695" width="5.42578125" style="194" customWidth="1"/>
    <col min="7696" max="7696" width="10.42578125" style="194" bestFit="1" customWidth="1"/>
    <col min="7697" max="7697" width="12" style="194" customWidth="1"/>
    <col min="7698" max="7698" width="7.7109375" style="194" customWidth="1"/>
    <col min="7699" max="7699" width="12.42578125" style="194" customWidth="1"/>
    <col min="7700" max="7700" width="34.5703125" style="194" bestFit="1" customWidth="1"/>
    <col min="7701" max="7702" width="24.42578125" style="194" bestFit="1" customWidth="1"/>
    <col min="7703" max="7703" width="39.5703125" style="194" bestFit="1" customWidth="1"/>
    <col min="7704" max="7704" width="22.28515625" style="194" bestFit="1" customWidth="1"/>
    <col min="7705" max="7706" width="39" style="194" bestFit="1" customWidth="1"/>
    <col min="7707" max="7707" width="22.140625" style="194" customWidth="1"/>
    <col min="7708" max="7708" width="23" style="194" bestFit="1" customWidth="1"/>
    <col min="7709" max="7709" width="20.85546875" style="194" bestFit="1" customWidth="1"/>
    <col min="7710" max="7710" width="39.5703125" style="194" bestFit="1" customWidth="1"/>
    <col min="7711" max="7712" width="23" style="194" bestFit="1" customWidth="1"/>
    <col min="7713" max="7714" width="34" style="194" bestFit="1" customWidth="1"/>
    <col min="7715" max="7715" width="34.140625" style="194" bestFit="1" customWidth="1"/>
    <col min="7716" max="7716" width="40.140625" style="194" bestFit="1" customWidth="1"/>
    <col min="7717" max="7936" width="9.140625" style="194"/>
    <col min="7937" max="7937" width="13.85546875" style="194" customWidth="1"/>
    <col min="7938" max="7938" width="10.42578125" style="194" customWidth="1"/>
    <col min="7939" max="7939" width="8.85546875" style="194" customWidth="1"/>
    <col min="7940" max="7940" width="6.5703125" style="194" customWidth="1"/>
    <col min="7941" max="7941" width="1.42578125" style="194" customWidth="1"/>
    <col min="7942" max="7943" width="15.42578125" style="194" customWidth="1"/>
    <col min="7944" max="7944" width="10.28515625" style="194" customWidth="1"/>
    <col min="7945" max="7945" width="12.7109375" style="194" customWidth="1"/>
    <col min="7946" max="7946" width="11" style="194" customWidth="1"/>
    <col min="7947" max="7947" width="6" style="194" customWidth="1"/>
    <col min="7948" max="7948" width="5" style="194" bestFit="1" customWidth="1"/>
    <col min="7949" max="7949" width="18.85546875" style="194" customWidth="1"/>
    <col min="7950" max="7950" width="13.28515625" style="194" customWidth="1"/>
    <col min="7951" max="7951" width="5.42578125" style="194" customWidth="1"/>
    <col min="7952" max="7952" width="10.42578125" style="194" bestFit="1" customWidth="1"/>
    <col min="7953" max="7953" width="12" style="194" customWidth="1"/>
    <col min="7954" max="7954" width="7.7109375" style="194" customWidth="1"/>
    <col min="7955" max="7955" width="12.42578125" style="194" customWidth="1"/>
    <col min="7956" max="7956" width="34.5703125" style="194" bestFit="1" customWidth="1"/>
    <col min="7957" max="7958" width="24.42578125" style="194" bestFit="1" customWidth="1"/>
    <col min="7959" max="7959" width="39.5703125" style="194" bestFit="1" customWidth="1"/>
    <col min="7960" max="7960" width="22.28515625" style="194" bestFit="1" customWidth="1"/>
    <col min="7961" max="7962" width="39" style="194" bestFit="1" customWidth="1"/>
    <col min="7963" max="7963" width="22.140625" style="194" customWidth="1"/>
    <col min="7964" max="7964" width="23" style="194" bestFit="1" customWidth="1"/>
    <col min="7965" max="7965" width="20.85546875" style="194" bestFit="1" customWidth="1"/>
    <col min="7966" max="7966" width="39.5703125" style="194" bestFit="1" customWidth="1"/>
    <col min="7967" max="7968" width="23" style="194" bestFit="1" customWidth="1"/>
    <col min="7969" max="7970" width="34" style="194" bestFit="1" customWidth="1"/>
    <col min="7971" max="7971" width="34.140625" style="194" bestFit="1" customWidth="1"/>
    <col min="7972" max="7972" width="40.140625" style="194" bestFit="1" customWidth="1"/>
    <col min="7973" max="8192" width="9.140625" style="194"/>
    <col min="8193" max="8193" width="13.85546875" style="194" customWidth="1"/>
    <col min="8194" max="8194" width="10.42578125" style="194" customWidth="1"/>
    <col min="8195" max="8195" width="8.85546875" style="194" customWidth="1"/>
    <col min="8196" max="8196" width="6.5703125" style="194" customWidth="1"/>
    <col min="8197" max="8197" width="1.42578125" style="194" customWidth="1"/>
    <col min="8198" max="8199" width="15.42578125" style="194" customWidth="1"/>
    <col min="8200" max="8200" width="10.28515625" style="194" customWidth="1"/>
    <col min="8201" max="8201" width="12.7109375" style="194" customWidth="1"/>
    <col min="8202" max="8202" width="11" style="194" customWidth="1"/>
    <col min="8203" max="8203" width="6" style="194" customWidth="1"/>
    <col min="8204" max="8204" width="5" style="194" bestFit="1" customWidth="1"/>
    <col min="8205" max="8205" width="18.85546875" style="194" customWidth="1"/>
    <col min="8206" max="8206" width="13.28515625" style="194" customWidth="1"/>
    <col min="8207" max="8207" width="5.42578125" style="194" customWidth="1"/>
    <col min="8208" max="8208" width="10.42578125" style="194" bestFit="1" customWidth="1"/>
    <col min="8209" max="8209" width="12" style="194" customWidth="1"/>
    <col min="8210" max="8210" width="7.7109375" style="194" customWidth="1"/>
    <col min="8211" max="8211" width="12.42578125" style="194" customWidth="1"/>
    <col min="8212" max="8212" width="34.5703125" style="194" bestFit="1" customWidth="1"/>
    <col min="8213" max="8214" width="24.42578125" style="194" bestFit="1" customWidth="1"/>
    <col min="8215" max="8215" width="39.5703125" style="194" bestFit="1" customWidth="1"/>
    <col min="8216" max="8216" width="22.28515625" style="194" bestFit="1" customWidth="1"/>
    <col min="8217" max="8218" width="39" style="194" bestFit="1" customWidth="1"/>
    <col min="8219" max="8219" width="22.140625" style="194" customWidth="1"/>
    <col min="8220" max="8220" width="23" style="194" bestFit="1" customWidth="1"/>
    <col min="8221" max="8221" width="20.85546875" style="194" bestFit="1" customWidth="1"/>
    <col min="8222" max="8222" width="39.5703125" style="194" bestFit="1" customWidth="1"/>
    <col min="8223" max="8224" width="23" style="194" bestFit="1" customWidth="1"/>
    <col min="8225" max="8226" width="34" style="194" bestFit="1" customWidth="1"/>
    <col min="8227" max="8227" width="34.140625" style="194" bestFit="1" customWidth="1"/>
    <col min="8228" max="8228" width="40.140625" style="194" bestFit="1" customWidth="1"/>
    <col min="8229" max="8448" width="9.140625" style="194"/>
    <col min="8449" max="8449" width="13.85546875" style="194" customWidth="1"/>
    <col min="8450" max="8450" width="10.42578125" style="194" customWidth="1"/>
    <col min="8451" max="8451" width="8.85546875" style="194" customWidth="1"/>
    <col min="8452" max="8452" width="6.5703125" style="194" customWidth="1"/>
    <col min="8453" max="8453" width="1.42578125" style="194" customWidth="1"/>
    <col min="8454" max="8455" width="15.42578125" style="194" customWidth="1"/>
    <col min="8456" max="8456" width="10.28515625" style="194" customWidth="1"/>
    <col min="8457" max="8457" width="12.7109375" style="194" customWidth="1"/>
    <col min="8458" max="8458" width="11" style="194" customWidth="1"/>
    <col min="8459" max="8459" width="6" style="194" customWidth="1"/>
    <col min="8460" max="8460" width="5" style="194" bestFit="1" customWidth="1"/>
    <col min="8461" max="8461" width="18.85546875" style="194" customWidth="1"/>
    <col min="8462" max="8462" width="13.28515625" style="194" customWidth="1"/>
    <col min="8463" max="8463" width="5.42578125" style="194" customWidth="1"/>
    <col min="8464" max="8464" width="10.42578125" style="194" bestFit="1" customWidth="1"/>
    <col min="8465" max="8465" width="12" style="194" customWidth="1"/>
    <col min="8466" max="8466" width="7.7109375" style="194" customWidth="1"/>
    <col min="8467" max="8467" width="12.42578125" style="194" customWidth="1"/>
    <col min="8468" max="8468" width="34.5703125" style="194" bestFit="1" customWidth="1"/>
    <col min="8469" max="8470" width="24.42578125" style="194" bestFit="1" customWidth="1"/>
    <col min="8471" max="8471" width="39.5703125" style="194" bestFit="1" customWidth="1"/>
    <col min="8472" max="8472" width="22.28515625" style="194" bestFit="1" customWidth="1"/>
    <col min="8473" max="8474" width="39" style="194" bestFit="1" customWidth="1"/>
    <col min="8475" max="8475" width="22.140625" style="194" customWidth="1"/>
    <col min="8476" max="8476" width="23" style="194" bestFit="1" customWidth="1"/>
    <col min="8477" max="8477" width="20.85546875" style="194" bestFit="1" customWidth="1"/>
    <col min="8478" max="8478" width="39.5703125" style="194" bestFit="1" customWidth="1"/>
    <col min="8479" max="8480" width="23" style="194" bestFit="1" customWidth="1"/>
    <col min="8481" max="8482" width="34" style="194" bestFit="1" customWidth="1"/>
    <col min="8483" max="8483" width="34.140625" style="194" bestFit="1" customWidth="1"/>
    <col min="8484" max="8484" width="40.140625" style="194" bestFit="1" customWidth="1"/>
    <col min="8485" max="8704" width="9.140625" style="194"/>
    <col min="8705" max="8705" width="13.85546875" style="194" customWidth="1"/>
    <col min="8706" max="8706" width="10.42578125" style="194" customWidth="1"/>
    <col min="8707" max="8707" width="8.85546875" style="194" customWidth="1"/>
    <col min="8708" max="8708" width="6.5703125" style="194" customWidth="1"/>
    <col min="8709" max="8709" width="1.42578125" style="194" customWidth="1"/>
    <col min="8710" max="8711" width="15.42578125" style="194" customWidth="1"/>
    <col min="8712" max="8712" width="10.28515625" style="194" customWidth="1"/>
    <col min="8713" max="8713" width="12.7109375" style="194" customWidth="1"/>
    <col min="8714" max="8714" width="11" style="194" customWidth="1"/>
    <col min="8715" max="8715" width="6" style="194" customWidth="1"/>
    <col min="8716" max="8716" width="5" style="194" bestFit="1" customWidth="1"/>
    <col min="8717" max="8717" width="18.85546875" style="194" customWidth="1"/>
    <col min="8718" max="8718" width="13.28515625" style="194" customWidth="1"/>
    <col min="8719" max="8719" width="5.42578125" style="194" customWidth="1"/>
    <col min="8720" max="8720" width="10.42578125" style="194" bestFit="1" customWidth="1"/>
    <col min="8721" max="8721" width="12" style="194" customWidth="1"/>
    <col min="8722" max="8722" width="7.7109375" style="194" customWidth="1"/>
    <col min="8723" max="8723" width="12.42578125" style="194" customWidth="1"/>
    <col min="8724" max="8724" width="34.5703125" style="194" bestFit="1" customWidth="1"/>
    <col min="8725" max="8726" width="24.42578125" style="194" bestFit="1" customWidth="1"/>
    <col min="8727" max="8727" width="39.5703125" style="194" bestFit="1" customWidth="1"/>
    <col min="8728" max="8728" width="22.28515625" style="194" bestFit="1" customWidth="1"/>
    <col min="8729" max="8730" width="39" style="194" bestFit="1" customWidth="1"/>
    <col min="8731" max="8731" width="22.140625" style="194" customWidth="1"/>
    <col min="8732" max="8732" width="23" style="194" bestFit="1" customWidth="1"/>
    <col min="8733" max="8733" width="20.85546875" style="194" bestFit="1" customWidth="1"/>
    <col min="8734" max="8734" width="39.5703125" style="194" bestFit="1" customWidth="1"/>
    <col min="8735" max="8736" width="23" style="194" bestFit="1" customWidth="1"/>
    <col min="8737" max="8738" width="34" style="194" bestFit="1" customWidth="1"/>
    <col min="8739" max="8739" width="34.140625" style="194" bestFit="1" customWidth="1"/>
    <col min="8740" max="8740" width="40.140625" style="194" bestFit="1" customWidth="1"/>
    <col min="8741" max="8960" width="9.140625" style="194"/>
    <col min="8961" max="8961" width="13.85546875" style="194" customWidth="1"/>
    <col min="8962" max="8962" width="10.42578125" style="194" customWidth="1"/>
    <col min="8963" max="8963" width="8.85546875" style="194" customWidth="1"/>
    <col min="8964" max="8964" width="6.5703125" style="194" customWidth="1"/>
    <col min="8965" max="8965" width="1.42578125" style="194" customWidth="1"/>
    <col min="8966" max="8967" width="15.42578125" style="194" customWidth="1"/>
    <col min="8968" max="8968" width="10.28515625" style="194" customWidth="1"/>
    <col min="8969" max="8969" width="12.7109375" style="194" customWidth="1"/>
    <col min="8970" max="8970" width="11" style="194" customWidth="1"/>
    <col min="8971" max="8971" width="6" style="194" customWidth="1"/>
    <col min="8972" max="8972" width="5" style="194" bestFit="1" customWidth="1"/>
    <col min="8973" max="8973" width="18.85546875" style="194" customWidth="1"/>
    <col min="8974" max="8974" width="13.28515625" style="194" customWidth="1"/>
    <col min="8975" max="8975" width="5.42578125" style="194" customWidth="1"/>
    <col min="8976" max="8976" width="10.42578125" style="194" bestFit="1" customWidth="1"/>
    <col min="8977" max="8977" width="12" style="194" customWidth="1"/>
    <col min="8978" max="8978" width="7.7109375" style="194" customWidth="1"/>
    <col min="8979" max="8979" width="12.42578125" style="194" customWidth="1"/>
    <col min="8980" max="8980" width="34.5703125" style="194" bestFit="1" customWidth="1"/>
    <col min="8981" max="8982" width="24.42578125" style="194" bestFit="1" customWidth="1"/>
    <col min="8983" max="8983" width="39.5703125" style="194" bestFit="1" customWidth="1"/>
    <col min="8984" max="8984" width="22.28515625" style="194" bestFit="1" customWidth="1"/>
    <col min="8985" max="8986" width="39" style="194" bestFit="1" customWidth="1"/>
    <col min="8987" max="8987" width="22.140625" style="194" customWidth="1"/>
    <col min="8988" max="8988" width="23" style="194" bestFit="1" customWidth="1"/>
    <col min="8989" max="8989" width="20.85546875" style="194" bestFit="1" customWidth="1"/>
    <col min="8990" max="8990" width="39.5703125" style="194" bestFit="1" customWidth="1"/>
    <col min="8991" max="8992" width="23" style="194" bestFit="1" customWidth="1"/>
    <col min="8993" max="8994" width="34" style="194" bestFit="1" customWidth="1"/>
    <col min="8995" max="8995" width="34.140625" style="194" bestFit="1" customWidth="1"/>
    <col min="8996" max="8996" width="40.140625" style="194" bestFit="1" customWidth="1"/>
    <col min="8997" max="9216" width="9.140625" style="194"/>
    <col min="9217" max="9217" width="13.85546875" style="194" customWidth="1"/>
    <col min="9218" max="9218" width="10.42578125" style="194" customWidth="1"/>
    <col min="9219" max="9219" width="8.85546875" style="194" customWidth="1"/>
    <col min="9220" max="9220" width="6.5703125" style="194" customWidth="1"/>
    <col min="9221" max="9221" width="1.42578125" style="194" customWidth="1"/>
    <col min="9222" max="9223" width="15.42578125" style="194" customWidth="1"/>
    <col min="9224" max="9224" width="10.28515625" style="194" customWidth="1"/>
    <col min="9225" max="9225" width="12.7109375" style="194" customWidth="1"/>
    <col min="9226" max="9226" width="11" style="194" customWidth="1"/>
    <col min="9227" max="9227" width="6" style="194" customWidth="1"/>
    <col min="9228" max="9228" width="5" style="194" bestFit="1" customWidth="1"/>
    <col min="9229" max="9229" width="18.85546875" style="194" customWidth="1"/>
    <col min="9230" max="9230" width="13.28515625" style="194" customWidth="1"/>
    <col min="9231" max="9231" width="5.42578125" style="194" customWidth="1"/>
    <col min="9232" max="9232" width="10.42578125" style="194" bestFit="1" customWidth="1"/>
    <col min="9233" max="9233" width="12" style="194" customWidth="1"/>
    <col min="9234" max="9234" width="7.7109375" style="194" customWidth="1"/>
    <col min="9235" max="9235" width="12.42578125" style="194" customWidth="1"/>
    <col min="9236" max="9236" width="34.5703125" style="194" bestFit="1" customWidth="1"/>
    <col min="9237" max="9238" width="24.42578125" style="194" bestFit="1" customWidth="1"/>
    <col min="9239" max="9239" width="39.5703125" style="194" bestFit="1" customWidth="1"/>
    <col min="9240" max="9240" width="22.28515625" style="194" bestFit="1" customWidth="1"/>
    <col min="9241" max="9242" width="39" style="194" bestFit="1" customWidth="1"/>
    <col min="9243" max="9243" width="22.140625" style="194" customWidth="1"/>
    <col min="9244" max="9244" width="23" style="194" bestFit="1" customWidth="1"/>
    <col min="9245" max="9245" width="20.85546875" style="194" bestFit="1" customWidth="1"/>
    <col min="9246" max="9246" width="39.5703125" style="194" bestFit="1" customWidth="1"/>
    <col min="9247" max="9248" width="23" style="194" bestFit="1" customWidth="1"/>
    <col min="9249" max="9250" width="34" style="194" bestFit="1" customWidth="1"/>
    <col min="9251" max="9251" width="34.140625" style="194" bestFit="1" customWidth="1"/>
    <col min="9252" max="9252" width="40.140625" style="194" bestFit="1" customWidth="1"/>
    <col min="9253" max="9472" width="9.140625" style="194"/>
    <col min="9473" max="9473" width="13.85546875" style="194" customWidth="1"/>
    <col min="9474" max="9474" width="10.42578125" style="194" customWidth="1"/>
    <col min="9475" max="9475" width="8.85546875" style="194" customWidth="1"/>
    <col min="9476" max="9476" width="6.5703125" style="194" customWidth="1"/>
    <col min="9477" max="9477" width="1.42578125" style="194" customWidth="1"/>
    <col min="9478" max="9479" width="15.42578125" style="194" customWidth="1"/>
    <col min="9480" max="9480" width="10.28515625" style="194" customWidth="1"/>
    <col min="9481" max="9481" width="12.7109375" style="194" customWidth="1"/>
    <col min="9482" max="9482" width="11" style="194" customWidth="1"/>
    <col min="9483" max="9483" width="6" style="194" customWidth="1"/>
    <col min="9484" max="9484" width="5" style="194" bestFit="1" customWidth="1"/>
    <col min="9485" max="9485" width="18.85546875" style="194" customWidth="1"/>
    <col min="9486" max="9486" width="13.28515625" style="194" customWidth="1"/>
    <col min="9487" max="9487" width="5.42578125" style="194" customWidth="1"/>
    <col min="9488" max="9488" width="10.42578125" style="194" bestFit="1" customWidth="1"/>
    <col min="9489" max="9489" width="12" style="194" customWidth="1"/>
    <col min="9490" max="9490" width="7.7109375" style="194" customWidth="1"/>
    <col min="9491" max="9491" width="12.42578125" style="194" customWidth="1"/>
    <col min="9492" max="9492" width="34.5703125" style="194" bestFit="1" customWidth="1"/>
    <col min="9493" max="9494" width="24.42578125" style="194" bestFit="1" customWidth="1"/>
    <col min="9495" max="9495" width="39.5703125" style="194" bestFit="1" customWidth="1"/>
    <col min="9496" max="9496" width="22.28515625" style="194" bestFit="1" customWidth="1"/>
    <col min="9497" max="9498" width="39" style="194" bestFit="1" customWidth="1"/>
    <col min="9499" max="9499" width="22.140625" style="194" customWidth="1"/>
    <col min="9500" max="9500" width="23" style="194" bestFit="1" customWidth="1"/>
    <col min="9501" max="9501" width="20.85546875" style="194" bestFit="1" customWidth="1"/>
    <col min="9502" max="9502" width="39.5703125" style="194" bestFit="1" customWidth="1"/>
    <col min="9503" max="9504" width="23" style="194" bestFit="1" customWidth="1"/>
    <col min="9505" max="9506" width="34" style="194" bestFit="1" customWidth="1"/>
    <col min="9507" max="9507" width="34.140625" style="194" bestFit="1" customWidth="1"/>
    <col min="9508" max="9508" width="40.140625" style="194" bestFit="1" customWidth="1"/>
    <col min="9509" max="9728" width="9.140625" style="194"/>
    <col min="9729" max="9729" width="13.85546875" style="194" customWidth="1"/>
    <col min="9730" max="9730" width="10.42578125" style="194" customWidth="1"/>
    <col min="9731" max="9731" width="8.85546875" style="194" customWidth="1"/>
    <col min="9732" max="9732" width="6.5703125" style="194" customWidth="1"/>
    <col min="9733" max="9733" width="1.42578125" style="194" customWidth="1"/>
    <col min="9734" max="9735" width="15.42578125" style="194" customWidth="1"/>
    <col min="9736" max="9736" width="10.28515625" style="194" customWidth="1"/>
    <col min="9737" max="9737" width="12.7109375" style="194" customWidth="1"/>
    <col min="9738" max="9738" width="11" style="194" customWidth="1"/>
    <col min="9739" max="9739" width="6" style="194" customWidth="1"/>
    <col min="9740" max="9740" width="5" style="194" bestFit="1" customWidth="1"/>
    <col min="9741" max="9741" width="18.85546875" style="194" customWidth="1"/>
    <col min="9742" max="9742" width="13.28515625" style="194" customWidth="1"/>
    <col min="9743" max="9743" width="5.42578125" style="194" customWidth="1"/>
    <col min="9744" max="9744" width="10.42578125" style="194" bestFit="1" customWidth="1"/>
    <col min="9745" max="9745" width="12" style="194" customWidth="1"/>
    <col min="9746" max="9746" width="7.7109375" style="194" customWidth="1"/>
    <col min="9747" max="9747" width="12.42578125" style="194" customWidth="1"/>
    <col min="9748" max="9748" width="34.5703125" style="194" bestFit="1" customWidth="1"/>
    <col min="9749" max="9750" width="24.42578125" style="194" bestFit="1" customWidth="1"/>
    <col min="9751" max="9751" width="39.5703125" style="194" bestFit="1" customWidth="1"/>
    <col min="9752" max="9752" width="22.28515625" style="194" bestFit="1" customWidth="1"/>
    <col min="9753" max="9754" width="39" style="194" bestFit="1" customWidth="1"/>
    <col min="9755" max="9755" width="22.140625" style="194" customWidth="1"/>
    <col min="9756" max="9756" width="23" style="194" bestFit="1" customWidth="1"/>
    <col min="9757" max="9757" width="20.85546875" style="194" bestFit="1" customWidth="1"/>
    <col min="9758" max="9758" width="39.5703125" style="194" bestFit="1" customWidth="1"/>
    <col min="9759" max="9760" width="23" style="194" bestFit="1" customWidth="1"/>
    <col min="9761" max="9762" width="34" style="194" bestFit="1" customWidth="1"/>
    <col min="9763" max="9763" width="34.140625" style="194" bestFit="1" customWidth="1"/>
    <col min="9764" max="9764" width="40.140625" style="194" bestFit="1" customWidth="1"/>
    <col min="9765" max="9984" width="9.140625" style="194"/>
    <col min="9985" max="9985" width="13.85546875" style="194" customWidth="1"/>
    <col min="9986" max="9986" width="10.42578125" style="194" customWidth="1"/>
    <col min="9987" max="9987" width="8.85546875" style="194" customWidth="1"/>
    <col min="9988" max="9988" width="6.5703125" style="194" customWidth="1"/>
    <col min="9989" max="9989" width="1.42578125" style="194" customWidth="1"/>
    <col min="9990" max="9991" width="15.42578125" style="194" customWidth="1"/>
    <col min="9992" max="9992" width="10.28515625" style="194" customWidth="1"/>
    <col min="9993" max="9993" width="12.7109375" style="194" customWidth="1"/>
    <col min="9994" max="9994" width="11" style="194" customWidth="1"/>
    <col min="9995" max="9995" width="6" style="194" customWidth="1"/>
    <col min="9996" max="9996" width="5" style="194" bestFit="1" customWidth="1"/>
    <col min="9997" max="9997" width="18.85546875" style="194" customWidth="1"/>
    <col min="9998" max="9998" width="13.28515625" style="194" customWidth="1"/>
    <col min="9999" max="9999" width="5.42578125" style="194" customWidth="1"/>
    <col min="10000" max="10000" width="10.42578125" style="194" bestFit="1" customWidth="1"/>
    <col min="10001" max="10001" width="12" style="194" customWidth="1"/>
    <col min="10002" max="10002" width="7.7109375" style="194" customWidth="1"/>
    <col min="10003" max="10003" width="12.42578125" style="194" customWidth="1"/>
    <col min="10004" max="10004" width="34.5703125" style="194" bestFit="1" customWidth="1"/>
    <col min="10005" max="10006" width="24.42578125" style="194" bestFit="1" customWidth="1"/>
    <col min="10007" max="10007" width="39.5703125" style="194" bestFit="1" customWidth="1"/>
    <col min="10008" max="10008" width="22.28515625" style="194" bestFit="1" customWidth="1"/>
    <col min="10009" max="10010" width="39" style="194" bestFit="1" customWidth="1"/>
    <col min="10011" max="10011" width="22.140625" style="194" customWidth="1"/>
    <col min="10012" max="10012" width="23" style="194" bestFit="1" customWidth="1"/>
    <col min="10013" max="10013" width="20.85546875" style="194" bestFit="1" customWidth="1"/>
    <col min="10014" max="10014" width="39.5703125" style="194" bestFit="1" customWidth="1"/>
    <col min="10015" max="10016" width="23" style="194" bestFit="1" customWidth="1"/>
    <col min="10017" max="10018" width="34" style="194" bestFit="1" customWidth="1"/>
    <col min="10019" max="10019" width="34.140625" style="194" bestFit="1" customWidth="1"/>
    <col min="10020" max="10020" width="40.140625" style="194" bestFit="1" customWidth="1"/>
    <col min="10021" max="10240" width="9.140625" style="194"/>
    <col min="10241" max="10241" width="13.85546875" style="194" customWidth="1"/>
    <col min="10242" max="10242" width="10.42578125" style="194" customWidth="1"/>
    <col min="10243" max="10243" width="8.85546875" style="194" customWidth="1"/>
    <col min="10244" max="10244" width="6.5703125" style="194" customWidth="1"/>
    <col min="10245" max="10245" width="1.42578125" style="194" customWidth="1"/>
    <col min="10246" max="10247" width="15.42578125" style="194" customWidth="1"/>
    <col min="10248" max="10248" width="10.28515625" style="194" customWidth="1"/>
    <col min="10249" max="10249" width="12.7109375" style="194" customWidth="1"/>
    <col min="10250" max="10250" width="11" style="194" customWidth="1"/>
    <col min="10251" max="10251" width="6" style="194" customWidth="1"/>
    <col min="10252" max="10252" width="5" style="194" bestFit="1" customWidth="1"/>
    <col min="10253" max="10253" width="18.85546875" style="194" customWidth="1"/>
    <col min="10254" max="10254" width="13.28515625" style="194" customWidth="1"/>
    <col min="10255" max="10255" width="5.42578125" style="194" customWidth="1"/>
    <col min="10256" max="10256" width="10.42578125" style="194" bestFit="1" customWidth="1"/>
    <col min="10257" max="10257" width="12" style="194" customWidth="1"/>
    <col min="10258" max="10258" width="7.7109375" style="194" customWidth="1"/>
    <col min="10259" max="10259" width="12.42578125" style="194" customWidth="1"/>
    <col min="10260" max="10260" width="34.5703125" style="194" bestFit="1" customWidth="1"/>
    <col min="10261" max="10262" width="24.42578125" style="194" bestFit="1" customWidth="1"/>
    <col min="10263" max="10263" width="39.5703125" style="194" bestFit="1" customWidth="1"/>
    <col min="10264" max="10264" width="22.28515625" style="194" bestFit="1" customWidth="1"/>
    <col min="10265" max="10266" width="39" style="194" bestFit="1" customWidth="1"/>
    <col min="10267" max="10267" width="22.140625" style="194" customWidth="1"/>
    <col min="10268" max="10268" width="23" style="194" bestFit="1" customWidth="1"/>
    <col min="10269" max="10269" width="20.85546875" style="194" bestFit="1" customWidth="1"/>
    <col min="10270" max="10270" width="39.5703125" style="194" bestFit="1" customWidth="1"/>
    <col min="10271" max="10272" width="23" style="194" bestFit="1" customWidth="1"/>
    <col min="10273" max="10274" width="34" style="194" bestFit="1" customWidth="1"/>
    <col min="10275" max="10275" width="34.140625" style="194" bestFit="1" customWidth="1"/>
    <col min="10276" max="10276" width="40.140625" style="194" bestFit="1" customWidth="1"/>
    <col min="10277" max="10496" width="9.140625" style="194"/>
    <col min="10497" max="10497" width="13.85546875" style="194" customWidth="1"/>
    <col min="10498" max="10498" width="10.42578125" style="194" customWidth="1"/>
    <col min="10499" max="10499" width="8.85546875" style="194" customWidth="1"/>
    <col min="10500" max="10500" width="6.5703125" style="194" customWidth="1"/>
    <col min="10501" max="10501" width="1.42578125" style="194" customWidth="1"/>
    <col min="10502" max="10503" width="15.42578125" style="194" customWidth="1"/>
    <col min="10504" max="10504" width="10.28515625" style="194" customWidth="1"/>
    <col min="10505" max="10505" width="12.7109375" style="194" customWidth="1"/>
    <col min="10506" max="10506" width="11" style="194" customWidth="1"/>
    <col min="10507" max="10507" width="6" style="194" customWidth="1"/>
    <col min="10508" max="10508" width="5" style="194" bestFit="1" customWidth="1"/>
    <col min="10509" max="10509" width="18.85546875" style="194" customWidth="1"/>
    <col min="10510" max="10510" width="13.28515625" style="194" customWidth="1"/>
    <col min="10511" max="10511" width="5.42578125" style="194" customWidth="1"/>
    <col min="10512" max="10512" width="10.42578125" style="194" bestFit="1" customWidth="1"/>
    <col min="10513" max="10513" width="12" style="194" customWidth="1"/>
    <col min="10514" max="10514" width="7.7109375" style="194" customWidth="1"/>
    <col min="10515" max="10515" width="12.42578125" style="194" customWidth="1"/>
    <col min="10516" max="10516" width="34.5703125" style="194" bestFit="1" customWidth="1"/>
    <col min="10517" max="10518" width="24.42578125" style="194" bestFit="1" customWidth="1"/>
    <col min="10519" max="10519" width="39.5703125" style="194" bestFit="1" customWidth="1"/>
    <col min="10520" max="10520" width="22.28515625" style="194" bestFit="1" customWidth="1"/>
    <col min="10521" max="10522" width="39" style="194" bestFit="1" customWidth="1"/>
    <col min="10523" max="10523" width="22.140625" style="194" customWidth="1"/>
    <col min="10524" max="10524" width="23" style="194" bestFit="1" customWidth="1"/>
    <col min="10525" max="10525" width="20.85546875" style="194" bestFit="1" customWidth="1"/>
    <col min="10526" max="10526" width="39.5703125" style="194" bestFit="1" customWidth="1"/>
    <col min="10527" max="10528" width="23" style="194" bestFit="1" customWidth="1"/>
    <col min="10529" max="10530" width="34" style="194" bestFit="1" customWidth="1"/>
    <col min="10531" max="10531" width="34.140625" style="194" bestFit="1" customWidth="1"/>
    <col min="10532" max="10532" width="40.140625" style="194" bestFit="1" customWidth="1"/>
    <col min="10533" max="10752" width="9.140625" style="194"/>
    <col min="10753" max="10753" width="13.85546875" style="194" customWidth="1"/>
    <col min="10754" max="10754" width="10.42578125" style="194" customWidth="1"/>
    <col min="10755" max="10755" width="8.85546875" style="194" customWidth="1"/>
    <col min="10756" max="10756" width="6.5703125" style="194" customWidth="1"/>
    <col min="10757" max="10757" width="1.42578125" style="194" customWidth="1"/>
    <col min="10758" max="10759" width="15.42578125" style="194" customWidth="1"/>
    <col min="10760" max="10760" width="10.28515625" style="194" customWidth="1"/>
    <col min="10761" max="10761" width="12.7109375" style="194" customWidth="1"/>
    <col min="10762" max="10762" width="11" style="194" customWidth="1"/>
    <col min="10763" max="10763" width="6" style="194" customWidth="1"/>
    <col min="10764" max="10764" width="5" style="194" bestFit="1" customWidth="1"/>
    <col min="10765" max="10765" width="18.85546875" style="194" customWidth="1"/>
    <col min="10766" max="10766" width="13.28515625" style="194" customWidth="1"/>
    <col min="10767" max="10767" width="5.42578125" style="194" customWidth="1"/>
    <col min="10768" max="10768" width="10.42578125" style="194" bestFit="1" customWidth="1"/>
    <col min="10769" max="10769" width="12" style="194" customWidth="1"/>
    <col min="10770" max="10770" width="7.7109375" style="194" customWidth="1"/>
    <col min="10771" max="10771" width="12.42578125" style="194" customWidth="1"/>
    <col min="10772" max="10772" width="34.5703125" style="194" bestFit="1" customWidth="1"/>
    <col min="10773" max="10774" width="24.42578125" style="194" bestFit="1" customWidth="1"/>
    <col min="10775" max="10775" width="39.5703125" style="194" bestFit="1" customWidth="1"/>
    <col min="10776" max="10776" width="22.28515625" style="194" bestFit="1" customWidth="1"/>
    <col min="10777" max="10778" width="39" style="194" bestFit="1" customWidth="1"/>
    <col min="10779" max="10779" width="22.140625" style="194" customWidth="1"/>
    <col min="10780" max="10780" width="23" style="194" bestFit="1" customWidth="1"/>
    <col min="10781" max="10781" width="20.85546875" style="194" bestFit="1" customWidth="1"/>
    <col min="10782" max="10782" width="39.5703125" style="194" bestFit="1" customWidth="1"/>
    <col min="10783" max="10784" width="23" style="194" bestFit="1" customWidth="1"/>
    <col min="10785" max="10786" width="34" style="194" bestFit="1" customWidth="1"/>
    <col min="10787" max="10787" width="34.140625" style="194" bestFit="1" customWidth="1"/>
    <col min="10788" max="10788" width="40.140625" style="194" bestFit="1" customWidth="1"/>
    <col min="10789" max="11008" width="9.140625" style="194"/>
    <col min="11009" max="11009" width="13.85546875" style="194" customWidth="1"/>
    <col min="11010" max="11010" width="10.42578125" style="194" customWidth="1"/>
    <col min="11011" max="11011" width="8.85546875" style="194" customWidth="1"/>
    <col min="11012" max="11012" width="6.5703125" style="194" customWidth="1"/>
    <col min="11013" max="11013" width="1.42578125" style="194" customWidth="1"/>
    <col min="11014" max="11015" width="15.42578125" style="194" customWidth="1"/>
    <col min="11016" max="11016" width="10.28515625" style="194" customWidth="1"/>
    <col min="11017" max="11017" width="12.7109375" style="194" customWidth="1"/>
    <col min="11018" max="11018" width="11" style="194" customWidth="1"/>
    <col min="11019" max="11019" width="6" style="194" customWidth="1"/>
    <col min="11020" max="11020" width="5" style="194" bestFit="1" customWidth="1"/>
    <col min="11021" max="11021" width="18.85546875" style="194" customWidth="1"/>
    <col min="11022" max="11022" width="13.28515625" style="194" customWidth="1"/>
    <col min="11023" max="11023" width="5.42578125" style="194" customWidth="1"/>
    <col min="11024" max="11024" width="10.42578125" style="194" bestFit="1" customWidth="1"/>
    <col min="11025" max="11025" width="12" style="194" customWidth="1"/>
    <col min="11026" max="11026" width="7.7109375" style="194" customWidth="1"/>
    <col min="11027" max="11027" width="12.42578125" style="194" customWidth="1"/>
    <col min="11028" max="11028" width="34.5703125" style="194" bestFit="1" customWidth="1"/>
    <col min="11029" max="11030" width="24.42578125" style="194" bestFit="1" customWidth="1"/>
    <col min="11031" max="11031" width="39.5703125" style="194" bestFit="1" customWidth="1"/>
    <col min="11032" max="11032" width="22.28515625" style="194" bestFit="1" customWidth="1"/>
    <col min="11033" max="11034" width="39" style="194" bestFit="1" customWidth="1"/>
    <col min="11035" max="11035" width="22.140625" style="194" customWidth="1"/>
    <col min="11036" max="11036" width="23" style="194" bestFit="1" customWidth="1"/>
    <col min="11037" max="11037" width="20.85546875" style="194" bestFit="1" customWidth="1"/>
    <col min="11038" max="11038" width="39.5703125" style="194" bestFit="1" customWidth="1"/>
    <col min="11039" max="11040" width="23" style="194" bestFit="1" customWidth="1"/>
    <col min="11041" max="11042" width="34" style="194" bestFit="1" customWidth="1"/>
    <col min="11043" max="11043" width="34.140625" style="194" bestFit="1" customWidth="1"/>
    <col min="11044" max="11044" width="40.140625" style="194" bestFit="1" customWidth="1"/>
    <col min="11045" max="11264" width="9.140625" style="194"/>
    <col min="11265" max="11265" width="13.85546875" style="194" customWidth="1"/>
    <col min="11266" max="11266" width="10.42578125" style="194" customWidth="1"/>
    <col min="11267" max="11267" width="8.85546875" style="194" customWidth="1"/>
    <col min="11268" max="11268" width="6.5703125" style="194" customWidth="1"/>
    <col min="11269" max="11269" width="1.42578125" style="194" customWidth="1"/>
    <col min="11270" max="11271" width="15.42578125" style="194" customWidth="1"/>
    <col min="11272" max="11272" width="10.28515625" style="194" customWidth="1"/>
    <col min="11273" max="11273" width="12.7109375" style="194" customWidth="1"/>
    <col min="11274" max="11274" width="11" style="194" customWidth="1"/>
    <col min="11275" max="11275" width="6" style="194" customWidth="1"/>
    <col min="11276" max="11276" width="5" style="194" bestFit="1" customWidth="1"/>
    <col min="11277" max="11277" width="18.85546875" style="194" customWidth="1"/>
    <col min="11278" max="11278" width="13.28515625" style="194" customWidth="1"/>
    <col min="11279" max="11279" width="5.42578125" style="194" customWidth="1"/>
    <col min="11280" max="11280" width="10.42578125" style="194" bestFit="1" customWidth="1"/>
    <col min="11281" max="11281" width="12" style="194" customWidth="1"/>
    <col min="11282" max="11282" width="7.7109375" style="194" customWidth="1"/>
    <col min="11283" max="11283" width="12.42578125" style="194" customWidth="1"/>
    <col min="11284" max="11284" width="34.5703125" style="194" bestFit="1" customWidth="1"/>
    <col min="11285" max="11286" width="24.42578125" style="194" bestFit="1" customWidth="1"/>
    <col min="11287" max="11287" width="39.5703125" style="194" bestFit="1" customWidth="1"/>
    <col min="11288" max="11288" width="22.28515625" style="194" bestFit="1" customWidth="1"/>
    <col min="11289" max="11290" width="39" style="194" bestFit="1" customWidth="1"/>
    <col min="11291" max="11291" width="22.140625" style="194" customWidth="1"/>
    <col min="11292" max="11292" width="23" style="194" bestFit="1" customWidth="1"/>
    <col min="11293" max="11293" width="20.85546875" style="194" bestFit="1" customWidth="1"/>
    <col min="11294" max="11294" width="39.5703125" style="194" bestFit="1" customWidth="1"/>
    <col min="11295" max="11296" width="23" style="194" bestFit="1" customWidth="1"/>
    <col min="11297" max="11298" width="34" style="194" bestFit="1" customWidth="1"/>
    <col min="11299" max="11299" width="34.140625" style="194" bestFit="1" customWidth="1"/>
    <col min="11300" max="11300" width="40.140625" style="194" bestFit="1" customWidth="1"/>
    <col min="11301" max="11520" width="9.140625" style="194"/>
    <col min="11521" max="11521" width="13.85546875" style="194" customWidth="1"/>
    <col min="11522" max="11522" width="10.42578125" style="194" customWidth="1"/>
    <col min="11523" max="11523" width="8.85546875" style="194" customWidth="1"/>
    <col min="11524" max="11524" width="6.5703125" style="194" customWidth="1"/>
    <col min="11525" max="11525" width="1.42578125" style="194" customWidth="1"/>
    <col min="11526" max="11527" width="15.42578125" style="194" customWidth="1"/>
    <col min="11528" max="11528" width="10.28515625" style="194" customWidth="1"/>
    <col min="11529" max="11529" width="12.7109375" style="194" customWidth="1"/>
    <col min="11530" max="11530" width="11" style="194" customWidth="1"/>
    <col min="11531" max="11531" width="6" style="194" customWidth="1"/>
    <col min="11532" max="11532" width="5" style="194" bestFit="1" customWidth="1"/>
    <col min="11533" max="11533" width="18.85546875" style="194" customWidth="1"/>
    <col min="11534" max="11534" width="13.28515625" style="194" customWidth="1"/>
    <col min="11535" max="11535" width="5.42578125" style="194" customWidth="1"/>
    <col min="11536" max="11536" width="10.42578125" style="194" bestFit="1" customWidth="1"/>
    <col min="11537" max="11537" width="12" style="194" customWidth="1"/>
    <col min="11538" max="11538" width="7.7109375" style="194" customWidth="1"/>
    <col min="11539" max="11539" width="12.42578125" style="194" customWidth="1"/>
    <col min="11540" max="11540" width="34.5703125" style="194" bestFit="1" customWidth="1"/>
    <col min="11541" max="11542" width="24.42578125" style="194" bestFit="1" customWidth="1"/>
    <col min="11543" max="11543" width="39.5703125" style="194" bestFit="1" customWidth="1"/>
    <col min="11544" max="11544" width="22.28515625" style="194" bestFit="1" customWidth="1"/>
    <col min="11545" max="11546" width="39" style="194" bestFit="1" customWidth="1"/>
    <col min="11547" max="11547" width="22.140625" style="194" customWidth="1"/>
    <col min="11548" max="11548" width="23" style="194" bestFit="1" customWidth="1"/>
    <col min="11549" max="11549" width="20.85546875" style="194" bestFit="1" customWidth="1"/>
    <col min="11550" max="11550" width="39.5703125" style="194" bestFit="1" customWidth="1"/>
    <col min="11551" max="11552" width="23" style="194" bestFit="1" customWidth="1"/>
    <col min="11553" max="11554" width="34" style="194" bestFit="1" customWidth="1"/>
    <col min="11555" max="11555" width="34.140625" style="194" bestFit="1" customWidth="1"/>
    <col min="11556" max="11556" width="40.140625" style="194" bestFit="1" customWidth="1"/>
    <col min="11557" max="11776" width="9.140625" style="194"/>
    <col min="11777" max="11777" width="13.85546875" style="194" customWidth="1"/>
    <col min="11778" max="11778" width="10.42578125" style="194" customWidth="1"/>
    <col min="11779" max="11779" width="8.85546875" style="194" customWidth="1"/>
    <col min="11780" max="11780" width="6.5703125" style="194" customWidth="1"/>
    <col min="11781" max="11781" width="1.42578125" style="194" customWidth="1"/>
    <col min="11782" max="11783" width="15.42578125" style="194" customWidth="1"/>
    <col min="11784" max="11784" width="10.28515625" style="194" customWidth="1"/>
    <col min="11785" max="11785" width="12.7109375" style="194" customWidth="1"/>
    <col min="11786" max="11786" width="11" style="194" customWidth="1"/>
    <col min="11787" max="11787" width="6" style="194" customWidth="1"/>
    <col min="11788" max="11788" width="5" style="194" bestFit="1" customWidth="1"/>
    <col min="11789" max="11789" width="18.85546875" style="194" customWidth="1"/>
    <col min="11790" max="11790" width="13.28515625" style="194" customWidth="1"/>
    <col min="11791" max="11791" width="5.42578125" style="194" customWidth="1"/>
    <col min="11792" max="11792" width="10.42578125" style="194" bestFit="1" customWidth="1"/>
    <col min="11793" max="11793" width="12" style="194" customWidth="1"/>
    <col min="11794" max="11794" width="7.7109375" style="194" customWidth="1"/>
    <col min="11795" max="11795" width="12.42578125" style="194" customWidth="1"/>
    <col min="11796" max="11796" width="34.5703125" style="194" bestFit="1" customWidth="1"/>
    <col min="11797" max="11798" width="24.42578125" style="194" bestFit="1" customWidth="1"/>
    <col min="11799" max="11799" width="39.5703125" style="194" bestFit="1" customWidth="1"/>
    <col min="11800" max="11800" width="22.28515625" style="194" bestFit="1" customWidth="1"/>
    <col min="11801" max="11802" width="39" style="194" bestFit="1" customWidth="1"/>
    <col min="11803" max="11803" width="22.140625" style="194" customWidth="1"/>
    <col min="11804" max="11804" width="23" style="194" bestFit="1" customWidth="1"/>
    <col min="11805" max="11805" width="20.85546875" style="194" bestFit="1" customWidth="1"/>
    <col min="11806" max="11806" width="39.5703125" style="194" bestFit="1" customWidth="1"/>
    <col min="11807" max="11808" width="23" style="194" bestFit="1" customWidth="1"/>
    <col min="11809" max="11810" width="34" style="194" bestFit="1" customWidth="1"/>
    <col min="11811" max="11811" width="34.140625" style="194" bestFit="1" customWidth="1"/>
    <col min="11812" max="11812" width="40.140625" style="194" bestFit="1" customWidth="1"/>
    <col min="11813" max="12032" width="9.140625" style="194"/>
    <col min="12033" max="12033" width="13.85546875" style="194" customWidth="1"/>
    <col min="12034" max="12034" width="10.42578125" style="194" customWidth="1"/>
    <col min="12035" max="12035" width="8.85546875" style="194" customWidth="1"/>
    <col min="12036" max="12036" width="6.5703125" style="194" customWidth="1"/>
    <col min="12037" max="12037" width="1.42578125" style="194" customWidth="1"/>
    <col min="12038" max="12039" width="15.42578125" style="194" customWidth="1"/>
    <col min="12040" max="12040" width="10.28515625" style="194" customWidth="1"/>
    <col min="12041" max="12041" width="12.7109375" style="194" customWidth="1"/>
    <col min="12042" max="12042" width="11" style="194" customWidth="1"/>
    <col min="12043" max="12043" width="6" style="194" customWidth="1"/>
    <col min="12044" max="12044" width="5" style="194" bestFit="1" customWidth="1"/>
    <col min="12045" max="12045" width="18.85546875" style="194" customWidth="1"/>
    <col min="12046" max="12046" width="13.28515625" style="194" customWidth="1"/>
    <col min="12047" max="12047" width="5.42578125" style="194" customWidth="1"/>
    <col min="12048" max="12048" width="10.42578125" style="194" bestFit="1" customWidth="1"/>
    <col min="12049" max="12049" width="12" style="194" customWidth="1"/>
    <col min="12050" max="12050" width="7.7109375" style="194" customWidth="1"/>
    <col min="12051" max="12051" width="12.42578125" style="194" customWidth="1"/>
    <col min="12052" max="12052" width="34.5703125" style="194" bestFit="1" customWidth="1"/>
    <col min="12053" max="12054" width="24.42578125" style="194" bestFit="1" customWidth="1"/>
    <col min="12055" max="12055" width="39.5703125" style="194" bestFit="1" customWidth="1"/>
    <col min="12056" max="12056" width="22.28515625" style="194" bestFit="1" customWidth="1"/>
    <col min="12057" max="12058" width="39" style="194" bestFit="1" customWidth="1"/>
    <col min="12059" max="12059" width="22.140625" style="194" customWidth="1"/>
    <col min="12060" max="12060" width="23" style="194" bestFit="1" customWidth="1"/>
    <col min="12061" max="12061" width="20.85546875" style="194" bestFit="1" customWidth="1"/>
    <col min="12062" max="12062" width="39.5703125" style="194" bestFit="1" customWidth="1"/>
    <col min="12063" max="12064" width="23" style="194" bestFit="1" customWidth="1"/>
    <col min="12065" max="12066" width="34" style="194" bestFit="1" customWidth="1"/>
    <col min="12067" max="12067" width="34.140625" style="194" bestFit="1" customWidth="1"/>
    <col min="12068" max="12068" width="40.140625" style="194" bestFit="1" customWidth="1"/>
    <col min="12069" max="12288" width="9.140625" style="194"/>
    <col min="12289" max="12289" width="13.85546875" style="194" customWidth="1"/>
    <col min="12290" max="12290" width="10.42578125" style="194" customWidth="1"/>
    <col min="12291" max="12291" width="8.85546875" style="194" customWidth="1"/>
    <col min="12292" max="12292" width="6.5703125" style="194" customWidth="1"/>
    <col min="12293" max="12293" width="1.42578125" style="194" customWidth="1"/>
    <col min="12294" max="12295" width="15.42578125" style="194" customWidth="1"/>
    <col min="12296" max="12296" width="10.28515625" style="194" customWidth="1"/>
    <col min="12297" max="12297" width="12.7109375" style="194" customWidth="1"/>
    <col min="12298" max="12298" width="11" style="194" customWidth="1"/>
    <col min="12299" max="12299" width="6" style="194" customWidth="1"/>
    <col min="12300" max="12300" width="5" style="194" bestFit="1" customWidth="1"/>
    <col min="12301" max="12301" width="18.85546875" style="194" customWidth="1"/>
    <col min="12302" max="12302" width="13.28515625" style="194" customWidth="1"/>
    <col min="12303" max="12303" width="5.42578125" style="194" customWidth="1"/>
    <col min="12304" max="12304" width="10.42578125" style="194" bestFit="1" customWidth="1"/>
    <col min="12305" max="12305" width="12" style="194" customWidth="1"/>
    <col min="12306" max="12306" width="7.7109375" style="194" customWidth="1"/>
    <col min="12307" max="12307" width="12.42578125" style="194" customWidth="1"/>
    <col min="12308" max="12308" width="34.5703125" style="194" bestFit="1" customWidth="1"/>
    <col min="12309" max="12310" width="24.42578125" style="194" bestFit="1" customWidth="1"/>
    <col min="12311" max="12311" width="39.5703125" style="194" bestFit="1" customWidth="1"/>
    <col min="12312" max="12312" width="22.28515625" style="194" bestFit="1" customWidth="1"/>
    <col min="12313" max="12314" width="39" style="194" bestFit="1" customWidth="1"/>
    <col min="12315" max="12315" width="22.140625" style="194" customWidth="1"/>
    <col min="12316" max="12316" width="23" style="194" bestFit="1" customWidth="1"/>
    <col min="12317" max="12317" width="20.85546875" style="194" bestFit="1" customWidth="1"/>
    <col min="12318" max="12318" width="39.5703125" style="194" bestFit="1" customWidth="1"/>
    <col min="12319" max="12320" width="23" style="194" bestFit="1" customWidth="1"/>
    <col min="12321" max="12322" width="34" style="194" bestFit="1" customWidth="1"/>
    <col min="12323" max="12323" width="34.140625" style="194" bestFit="1" customWidth="1"/>
    <col min="12324" max="12324" width="40.140625" style="194" bestFit="1" customWidth="1"/>
    <col min="12325" max="12544" width="9.140625" style="194"/>
    <col min="12545" max="12545" width="13.85546875" style="194" customWidth="1"/>
    <col min="12546" max="12546" width="10.42578125" style="194" customWidth="1"/>
    <col min="12547" max="12547" width="8.85546875" style="194" customWidth="1"/>
    <col min="12548" max="12548" width="6.5703125" style="194" customWidth="1"/>
    <col min="12549" max="12549" width="1.42578125" style="194" customWidth="1"/>
    <col min="12550" max="12551" width="15.42578125" style="194" customWidth="1"/>
    <col min="12552" max="12552" width="10.28515625" style="194" customWidth="1"/>
    <col min="12553" max="12553" width="12.7109375" style="194" customWidth="1"/>
    <col min="12554" max="12554" width="11" style="194" customWidth="1"/>
    <col min="12555" max="12555" width="6" style="194" customWidth="1"/>
    <col min="12556" max="12556" width="5" style="194" bestFit="1" customWidth="1"/>
    <col min="12557" max="12557" width="18.85546875" style="194" customWidth="1"/>
    <col min="12558" max="12558" width="13.28515625" style="194" customWidth="1"/>
    <col min="12559" max="12559" width="5.42578125" style="194" customWidth="1"/>
    <col min="12560" max="12560" width="10.42578125" style="194" bestFit="1" customWidth="1"/>
    <col min="12561" max="12561" width="12" style="194" customWidth="1"/>
    <col min="12562" max="12562" width="7.7109375" style="194" customWidth="1"/>
    <col min="12563" max="12563" width="12.42578125" style="194" customWidth="1"/>
    <col min="12564" max="12564" width="34.5703125" style="194" bestFit="1" customWidth="1"/>
    <col min="12565" max="12566" width="24.42578125" style="194" bestFit="1" customWidth="1"/>
    <col min="12567" max="12567" width="39.5703125" style="194" bestFit="1" customWidth="1"/>
    <col min="12568" max="12568" width="22.28515625" style="194" bestFit="1" customWidth="1"/>
    <col min="12569" max="12570" width="39" style="194" bestFit="1" customWidth="1"/>
    <col min="12571" max="12571" width="22.140625" style="194" customWidth="1"/>
    <col min="12572" max="12572" width="23" style="194" bestFit="1" customWidth="1"/>
    <col min="12573" max="12573" width="20.85546875" style="194" bestFit="1" customWidth="1"/>
    <col min="12574" max="12574" width="39.5703125" style="194" bestFit="1" customWidth="1"/>
    <col min="12575" max="12576" width="23" style="194" bestFit="1" customWidth="1"/>
    <col min="12577" max="12578" width="34" style="194" bestFit="1" customWidth="1"/>
    <col min="12579" max="12579" width="34.140625" style="194" bestFit="1" customWidth="1"/>
    <col min="12580" max="12580" width="40.140625" style="194" bestFit="1" customWidth="1"/>
    <col min="12581" max="12800" width="9.140625" style="194"/>
    <col min="12801" max="12801" width="13.85546875" style="194" customWidth="1"/>
    <col min="12802" max="12802" width="10.42578125" style="194" customWidth="1"/>
    <col min="12803" max="12803" width="8.85546875" style="194" customWidth="1"/>
    <col min="12804" max="12804" width="6.5703125" style="194" customWidth="1"/>
    <col min="12805" max="12805" width="1.42578125" style="194" customWidth="1"/>
    <col min="12806" max="12807" width="15.42578125" style="194" customWidth="1"/>
    <col min="12808" max="12808" width="10.28515625" style="194" customWidth="1"/>
    <col min="12809" max="12809" width="12.7109375" style="194" customWidth="1"/>
    <col min="12810" max="12810" width="11" style="194" customWidth="1"/>
    <col min="12811" max="12811" width="6" style="194" customWidth="1"/>
    <col min="12812" max="12812" width="5" style="194" bestFit="1" customWidth="1"/>
    <col min="12813" max="12813" width="18.85546875" style="194" customWidth="1"/>
    <col min="12814" max="12814" width="13.28515625" style="194" customWidth="1"/>
    <col min="12815" max="12815" width="5.42578125" style="194" customWidth="1"/>
    <col min="12816" max="12816" width="10.42578125" style="194" bestFit="1" customWidth="1"/>
    <col min="12817" max="12817" width="12" style="194" customWidth="1"/>
    <col min="12818" max="12818" width="7.7109375" style="194" customWidth="1"/>
    <col min="12819" max="12819" width="12.42578125" style="194" customWidth="1"/>
    <col min="12820" max="12820" width="34.5703125" style="194" bestFit="1" customWidth="1"/>
    <col min="12821" max="12822" width="24.42578125" style="194" bestFit="1" customWidth="1"/>
    <col min="12823" max="12823" width="39.5703125" style="194" bestFit="1" customWidth="1"/>
    <col min="12824" max="12824" width="22.28515625" style="194" bestFit="1" customWidth="1"/>
    <col min="12825" max="12826" width="39" style="194" bestFit="1" customWidth="1"/>
    <col min="12827" max="12827" width="22.140625" style="194" customWidth="1"/>
    <col min="12828" max="12828" width="23" style="194" bestFit="1" customWidth="1"/>
    <col min="12829" max="12829" width="20.85546875" style="194" bestFit="1" customWidth="1"/>
    <col min="12830" max="12830" width="39.5703125" style="194" bestFit="1" customWidth="1"/>
    <col min="12831" max="12832" width="23" style="194" bestFit="1" customWidth="1"/>
    <col min="12833" max="12834" width="34" style="194" bestFit="1" customWidth="1"/>
    <col min="12835" max="12835" width="34.140625" style="194" bestFit="1" customWidth="1"/>
    <col min="12836" max="12836" width="40.140625" style="194" bestFit="1" customWidth="1"/>
    <col min="12837" max="13056" width="9.140625" style="194"/>
    <col min="13057" max="13057" width="13.85546875" style="194" customWidth="1"/>
    <col min="13058" max="13058" width="10.42578125" style="194" customWidth="1"/>
    <col min="13059" max="13059" width="8.85546875" style="194" customWidth="1"/>
    <col min="13060" max="13060" width="6.5703125" style="194" customWidth="1"/>
    <col min="13061" max="13061" width="1.42578125" style="194" customWidth="1"/>
    <col min="13062" max="13063" width="15.42578125" style="194" customWidth="1"/>
    <col min="13064" max="13064" width="10.28515625" style="194" customWidth="1"/>
    <col min="13065" max="13065" width="12.7109375" style="194" customWidth="1"/>
    <col min="13066" max="13066" width="11" style="194" customWidth="1"/>
    <col min="13067" max="13067" width="6" style="194" customWidth="1"/>
    <col min="13068" max="13068" width="5" style="194" bestFit="1" customWidth="1"/>
    <col min="13069" max="13069" width="18.85546875" style="194" customWidth="1"/>
    <col min="13070" max="13070" width="13.28515625" style="194" customWidth="1"/>
    <col min="13071" max="13071" width="5.42578125" style="194" customWidth="1"/>
    <col min="13072" max="13072" width="10.42578125" style="194" bestFit="1" customWidth="1"/>
    <col min="13073" max="13073" width="12" style="194" customWidth="1"/>
    <col min="13074" max="13074" width="7.7109375" style="194" customWidth="1"/>
    <col min="13075" max="13075" width="12.42578125" style="194" customWidth="1"/>
    <col min="13076" max="13076" width="34.5703125" style="194" bestFit="1" customWidth="1"/>
    <col min="13077" max="13078" width="24.42578125" style="194" bestFit="1" customWidth="1"/>
    <col min="13079" max="13079" width="39.5703125" style="194" bestFit="1" customWidth="1"/>
    <col min="13080" max="13080" width="22.28515625" style="194" bestFit="1" customWidth="1"/>
    <col min="13081" max="13082" width="39" style="194" bestFit="1" customWidth="1"/>
    <col min="13083" max="13083" width="22.140625" style="194" customWidth="1"/>
    <col min="13084" max="13084" width="23" style="194" bestFit="1" customWidth="1"/>
    <col min="13085" max="13085" width="20.85546875" style="194" bestFit="1" customWidth="1"/>
    <col min="13086" max="13086" width="39.5703125" style="194" bestFit="1" customWidth="1"/>
    <col min="13087" max="13088" width="23" style="194" bestFit="1" customWidth="1"/>
    <col min="13089" max="13090" width="34" style="194" bestFit="1" customWidth="1"/>
    <col min="13091" max="13091" width="34.140625" style="194" bestFit="1" customWidth="1"/>
    <col min="13092" max="13092" width="40.140625" style="194" bestFit="1" customWidth="1"/>
    <col min="13093" max="13312" width="9.140625" style="194"/>
    <col min="13313" max="13313" width="13.85546875" style="194" customWidth="1"/>
    <col min="13314" max="13314" width="10.42578125" style="194" customWidth="1"/>
    <col min="13315" max="13315" width="8.85546875" style="194" customWidth="1"/>
    <col min="13316" max="13316" width="6.5703125" style="194" customWidth="1"/>
    <col min="13317" max="13317" width="1.42578125" style="194" customWidth="1"/>
    <col min="13318" max="13319" width="15.42578125" style="194" customWidth="1"/>
    <col min="13320" max="13320" width="10.28515625" style="194" customWidth="1"/>
    <col min="13321" max="13321" width="12.7109375" style="194" customWidth="1"/>
    <col min="13322" max="13322" width="11" style="194" customWidth="1"/>
    <col min="13323" max="13323" width="6" style="194" customWidth="1"/>
    <col min="13324" max="13324" width="5" style="194" bestFit="1" customWidth="1"/>
    <col min="13325" max="13325" width="18.85546875" style="194" customWidth="1"/>
    <col min="13326" max="13326" width="13.28515625" style="194" customWidth="1"/>
    <col min="13327" max="13327" width="5.42578125" style="194" customWidth="1"/>
    <col min="13328" max="13328" width="10.42578125" style="194" bestFit="1" customWidth="1"/>
    <col min="13329" max="13329" width="12" style="194" customWidth="1"/>
    <col min="13330" max="13330" width="7.7109375" style="194" customWidth="1"/>
    <col min="13331" max="13331" width="12.42578125" style="194" customWidth="1"/>
    <col min="13332" max="13332" width="34.5703125" style="194" bestFit="1" customWidth="1"/>
    <col min="13333" max="13334" width="24.42578125" style="194" bestFit="1" customWidth="1"/>
    <col min="13335" max="13335" width="39.5703125" style="194" bestFit="1" customWidth="1"/>
    <col min="13336" max="13336" width="22.28515625" style="194" bestFit="1" customWidth="1"/>
    <col min="13337" max="13338" width="39" style="194" bestFit="1" customWidth="1"/>
    <col min="13339" max="13339" width="22.140625" style="194" customWidth="1"/>
    <col min="13340" max="13340" width="23" style="194" bestFit="1" customWidth="1"/>
    <col min="13341" max="13341" width="20.85546875" style="194" bestFit="1" customWidth="1"/>
    <col min="13342" max="13342" width="39.5703125" style="194" bestFit="1" customWidth="1"/>
    <col min="13343" max="13344" width="23" style="194" bestFit="1" customWidth="1"/>
    <col min="13345" max="13346" width="34" style="194" bestFit="1" customWidth="1"/>
    <col min="13347" max="13347" width="34.140625" style="194" bestFit="1" customWidth="1"/>
    <col min="13348" max="13348" width="40.140625" style="194" bestFit="1" customWidth="1"/>
    <col min="13349" max="13568" width="9.140625" style="194"/>
    <col min="13569" max="13569" width="13.85546875" style="194" customWidth="1"/>
    <col min="13570" max="13570" width="10.42578125" style="194" customWidth="1"/>
    <col min="13571" max="13571" width="8.85546875" style="194" customWidth="1"/>
    <col min="13572" max="13572" width="6.5703125" style="194" customWidth="1"/>
    <col min="13573" max="13573" width="1.42578125" style="194" customWidth="1"/>
    <col min="13574" max="13575" width="15.42578125" style="194" customWidth="1"/>
    <col min="13576" max="13576" width="10.28515625" style="194" customWidth="1"/>
    <col min="13577" max="13577" width="12.7109375" style="194" customWidth="1"/>
    <col min="13578" max="13578" width="11" style="194" customWidth="1"/>
    <col min="13579" max="13579" width="6" style="194" customWidth="1"/>
    <col min="13580" max="13580" width="5" style="194" bestFit="1" customWidth="1"/>
    <col min="13581" max="13581" width="18.85546875" style="194" customWidth="1"/>
    <col min="13582" max="13582" width="13.28515625" style="194" customWidth="1"/>
    <col min="13583" max="13583" width="5.42578125" style="194" customWidth="1"/>
    <col min="13584" max="13584" width="10.42578125" style="194" bestFit="1" customWidth="1"/>
    <col min="13585" max="13585" width="12" style="194" customWidth="1"/>
    <col min="13586" max="13586" width="7.7109375" style="194" customWidth="1"/>
    <col min="13587" max="13587" width="12.42578125" style="194" customWidth="1"/>
    <col min="13588" max="13588" width="34.5703125" style="194" bestFit="1" customWidth="1"/>
    <col min="13589" max="13590" width="24.42578125" style="194" bestFit="1" customWidth="1"/>
    <col min="13591" max="13591" width="39.5703125" style="194" bestFit="1" customWidth="1"/>
    <col min="13592" max="13592" width="22.28515625" style="194" bestFit="1" customWidth="1"/>
    <col min="13593" max="13594" width="39" style="194" bestFit="1" customWidth="1"/>
    <col min="13595" max="13595" width="22.140625" style="194" customWidth="1"/>
    <col min="13596" max="13596" width="23" style="194" bestFit="1" customWidth="1"/>
    <col min="13597" max="13597" width="20.85546875" style="194" bestFit="1" customWidth="1"/>
    <col min="13598" max="13598" width="39.5703125" style="194" bestFit="1" customWidth="1"/>
    <col min="13599" max="13600" width="23" style="194" bestFit="1" customWidth="1"/>
    <col min="13601" max="13602" width="34" style="194" bestFit="1" customWidth="1"/>
    <col min="13603" max="13603" width="34.140625" style="194" bestFit="1" customWidth="1"/>
    <col min="13604" max="13604" width="40.140625" style="194" bestFit="1" customWidth="1"/>
    <col min="13605" max="13824" width="9.140625" style="194"/>
    <col min="13825" max="13825" width="13.85546875" style="194" customWidth="1"/>
    <col min="13826" max="13826" width="10.42578125" style="194" customWidth="1"/>
    <col min="13827" max="13827" width="8.85546875" style="194" customWidth="1"/>
    <col min="13828" max="13828" width="6.5703125" style="194" customWidth="1"/>
    <col min="13829" max="13829" width="1.42578125" style="194" customWidth="1"/>
    <col min="13830" max="13831" width="15.42578125" style="194" customWidth="1"/>
    <col min="13832" max="13832" width="10.28515625" style="194" customWidth="1"/>
    <col min="13833" max="13833" width="12.7109375" style="194" customWidth="1"/>
    <col min="13834" max="13834" width="11" style="194" customWidth="1"/>
    <col min="13835" max="13835" width="6" style="194" customWidth="1"/>
    <col min="13836" max="13836" width="5" style="194" bestFit="1" customWidth="1"/>
    <col min="13837" max="13837" width="18.85546875" style="194" customWidth="1"/>
    <col min="13838" max="13838" width="13.28515625" style="194" customWidth="1"/>
    <col min="13839" max="13839" width="5.42578125" style="194" customWidth="1"/>
    <col min="13840" max="13840" width="10.42578125" style="194" bestFit="1" customWidth="1"/>
    <col min="13841" max="13841" width="12" style="194" customWidth="1"/>
    <col min="13842" max="13842" width="7.7109375" style="194" customWidth="1"/>
    <col min="13843" max="13843" width="12.42578125" style="194" customWidth="1"/>
    <col min="13844" max="13844" width="34.5703125" style="194" bestFit="1" customWidth="1"/>
    <col min="13845" max="13846" width="24.42578125" style="194" bestFit="1" customWidth="1"/>
    <col min="13847" max="13847" width="39.5703125" style="194" bestFit="1" customWidth="1"/>
    <col min="13848" max="13848" width="22.28515625" style="194" bestFit="1" customWidth="1"/>
    <col min="13849" max="13850" width="39" style="194" bestFit="1" customWidth="1"/>
    <col min="13851" max="13851" width="22.140625" style="194" customWidth="1"/>
    <col min="13852" max="13852" width="23" style="194" bestFit="1" customWidth="1"/>
    <col min="13853" max="13853" width="20.85546875" style="194" bestFit="1" customWidth="1"/>
    <col min="13854" max="13854" width="39.5703125" style="194" bestFit="1" customWidth="1"/>
    <col min="13855" max="13856" width="23" style="194" bestFit="1" customWidth="1"/>
    <col min="13857" max="13858" width="34" style="194" bestFit="1" customWidth="1"/>
    <col min="13859" max="13859" width="34.140625" style="194" bestFit="1" customWidth="1"/>
    <col min="13860" max="13860" width="40.140625" style="194" bestFit="1" customWidth="1"/>
    <col min="13861" max="14080" width="9.140625" style="194"/>
    <col min="14081" max="14081" width="13.85546875" style="194" customWidth="1"/>
    <col min="14082" max="14082" width="10.42578125" style="194" customWidth="1"/>
    <col min="14083" max="14083" width="8.85546875" style="194" customWidth="1"/>
    <col min="14084" max="14084" width="6.5703125" style="194" customWidth="1"/>
    <col min="14085" max="14085" width="1.42578125" style="194" customWidth="1"/>
    <col min="14086" max="14087" width="15.42578125" style="194" customWidth="1"/>
    <col min="14088" max="14088" width="10.28515625" style="194" customWidth="1"/>
    <col min="14089" max="14089" width="12.7109375" style="194" customWidth="1"/>
    <col min="14090" max="14090" width="11" style="194" customWidth="1"/>
    <col min="14091" max="14091" width="6" style="194" customWidth="1"/>
    <col min="14092" max="14092" width="5" style="194" bestFit="1" customWidth="1"/>
    <col min="14093" max="14093" width="18.85546875" style="194" customWidth="1"/>
    <col min="14094" max="14094" width="13.28515625" style="194" customWidth="1"/>
    <col min="14095" max="14095" width="5.42578125" style="194" customWidth="1"/>
    <col min="14096" max="14096" width="10.42578125" style="194" bestFit="1" customWidth="1"/>
    <col min="14097" max="14097" width="12" style="194" customWidth="1"/>
    <col min="14098" max="14098" width="7.7109375" style="194" customWidth="1"/>
    <col min="14099" max="14099" width="12.42578125" style="194" customWidth="1"/>
    <col min="14100" max="14100" width="34.5703125" style="194" bestFit="1" customWidth="1"/>
    <col min="14101" max="14102" width="24.42578125" style="194" bestFit="1" customWidth="1"/>
    <col min="14103" max="14103" width="39.5703125" style="194" bestFit="1" customWidth="1"/>
    <col min="14104" max="14104" width="22.28515625" style="194" bestFit="1" customWidth="1"/>
    <col min="14105" max="14106" width="39" style="194" bestFit="1" customWidth="1"/>
    <col min="14107" max="14107" width="22.140625" style="194" customWidth="1"/>
    <col min="14108" max="14108" width="23" style="194" bestFit="1" customWidth="1"/>
    <col min="14109" max="14109" width="20.85546875" style="194" bestFit="1" customWidth="1"/>
    <col min="14110" max="14110" width="39.5703125" style="194" bestFit="1" customWidth="1"/>
    <col min="14111" max="14112" width="23" style="194" bestFit="1" customWidth="1"/>
    <col min="14113" max="14114" width="34" style="194" bestFit="1" customWidth="1"/>
    <col min="14115" max="14115" width="34.140625" style="194" bestFit="1" customWidth="1"/>
    <col min="14116" max="14116" width="40.140625" style="194" bestFit="1" customWidth="1"/>
    <col min="14117" max="14336" width="9.140625" style="194"/>
    <col min="14337" max="14337" width="13.85546875" style="194" customWidth="1"/>
    <col min="14338" max="14338" width="10.42578125" style="194" customWidth="1"/>
    <col min="14339" max="14339" width="8.85546875" style="194" customWidth="1"/>
    <col min="14340" max="14340" width="6.5703125" style="194" customWidth="1"/>
    <col min="14341" max="14341" width="1.42578125" style="194" customWidth="1"/>
    <col min="14342" max="14343" width="15.42578125" style="194" customWidth="1"/>
    <col min="14344" max="14344" width="10.28515625" style="194" customWidth="1"/>
    <col min="14345" max="14345" width="12.7109375" style="194" customWidth="1"/>
    <col min="14346" max="14346" width="11" style="194" customWidth="1"/>
    <col min="14347" max="14347" width="6" style="194" customWidth="1"/>
    <col min="14348" max="14348" width="5" style="194" bestFit="1" customWidth="1"/>
    <col min="14349" max="14349" width="18.85546875" style="194" customWidth="1"/>
    <col min="14350" max="14350" width="13.28515625" style="194" customWidth="1"/>
    <col min="14351" max="14351" width="5.42578125" style="194" customWidth="1"/>
    <col min="14352" max="14352" width="10.42578125" style="194" bestFit="1" customWidth="1"/>
    <col min="14353" max="14353" width="12" style="194" customWidth="1"/>
    <col min="14354" max="14354" width="7.7109375" style="194" customWidth="1"/>
    <col min="14355" max="14355" width="12.42578125" style="194" customWidth="1"/>
    <col min="14356" max="14356" width="34.5703125" style="194" bestFit="1" customWidth="1"/>
    <col min="14357" max="14358" width="24.42578125" style="194" bestFit="1" customWidth="1"/>
    <col min="14359" max="14359" width="39.5703125" style="194" bestFit="1" customWidth="1"/>
    <col min="14360" max="14360" width="22.28515625" style="194" bestFit="1" customWidth="1"/>
    <col min="14361" max="14362" width="39" style="194" bestFit="1" customWidth="1"/>
    <col min="14363" max="14363" width="22.140625" style="194" customWidth="1"/>
    <col min="14364" max="14364" width="23" style="194" bestFit="1" customWidth="1"/>
    <col min="14365" max="14365" width="20.85546875" style="194" bestFit="1" customWidth="1"/>
    <col min="14366" max="14366" width="39.5703125" style="194" bestFit="1" customWidth="1"/>
    <col min="14367" max="14368" width="23" style="194" bestFit="1" customWidth="1"/>
    <col min="14369" max="14370" width="34" style="194" bestFit="1" customWidth="1"/>
    <col min="14371" max="14371" width="34.140625" style="194" bestFit="1" customWidth="1"/>
    <col min="14372" max="14372" width="40.140625" style="194" bestFit="1" customWidth="1"/>
    <col min="14373" max="14592" width="9.140625" style="194"/>
    <col min="14593" max="14593" width="13.85546875" style="194" customWidth="1"/>
    <col min="14594" max="14594" width="10.42578125" style="194" customWidth="1"/>
    <col min="14595" max="14595" width="8.85546875" style="194" customWidth="1"/>
    <col min="14596" max="14596" width="6.5703125" style="194" customWidth="1"/>
    <col min="14597" max="14597" width="1.42578125" style="194" customWidth="1"/>
    <col min="14598" max="14599" width="15.42578125" style="194" customWidth="1"/>
    <col min="14600" max="14600" width="10.28515625" style="194" customWidth="1"/>
    <col min="14601" max="14601" width="12.7109375" style="194" customWidth="1"/>
    <col min="14602" max="14602" width="11" style="194" customWidth="1"/>
    <col min="14603" max="14603" width="6" style="194" customWidth="1"/>
    <col min="14604" max="14604" width="5" style="194" bestFit="1" customWidth="1"/>
    <col min="14605" max="14605" width="18.85546875" style="194" customWidth="1"/>
    <col min="14606" max="14606" width="13.28515625" style="194" customWidth="1"/>
    <col min="14607" max="14607" width="5.42578125" style="194" customWidth="1"/>
    <col min="14608" max="14608" width="10.42578125" style="194" bestFit="1" customWidth="1"/>
    <col min="14609" max="14609" width="12" style="194" customWidth="1"/>
    <col min="14610" max="14610" width="7.7109375" style="194" customWidth="1"/>
    <col min="14611" max="14611" width="12.42578125" style="194" customWidth="1"/>
    <col min="14612" max="14612" width="34.5703125" style="194" bestFit="1" customWidth="1"/>
    <col min="14613" max="14614" width="24.42578125" style="194" bestFit="1" customWidth="1"/>
    <col min="14615" max="14615" width="39.5703125" style="194" bestFit="1" customWidth="1"/>
    <col min="14616" max="14616" width="22.28515625" style="194" bestFit="1" customWidth="1"/>
    <col min="14617" max="14618" width="39" style="194" bestFit="1" customWidth="1"/>
    <col min="14619" max="14619" width="22.140625" style="194" customWidth="1"/>
    <col min="14620" max="14620" width="23" style="194" bestFit="1" customWidth="1"/>
    <col min="14621" max="14621" width="20.85546875" style="194" bestFit="1" customWidth="1"/>
    <col min="14622" max="14622" width="39.5703125" style="194" bestFit="1" customWidth="1"/>
    <col min="14623" max="14624" width="23" style="194" bestFit="1" customWidth="1"/>
    <col min="14625" max="14626" width="34" style="194" bestFit="1" customWidth="1"/>
    <col min="14627" max="14627" width="34.140625" style="194" bestFit="1" customWidth="1"/>
    <col min="14628" max="14628" width="40.140625" style="194" bestFit="1" customWidth="1"/>
    <col min="14629" max="14848" width="9.140625" style="194"/>
    <col min="14849" max="14849" width="13.85546875" style="194" customWidth="1"/>
    <col min="14850" max="14850" width="10.42578125" style="194" customWidth="1"/>
    <col min="14851" max="14851" width="8.85546875" style="194" customWidth="1"/>
    <col min="14852" max="14852" width="6.5703125" style="194" customWidth="1"/>
    <col min="14853" max="14853" width="1.42578125" style="194" customWidth="1"/>
    <col min="14854" max="14855" width="15.42578125" style="194" customWidth="1"/>
    <col min="14856" max="14856" width="10.28515625" style="194" customWidth="1"/>
    <col min="14857" max="14857" width="12.7109375" style="194" customWidth="1"/>
    <col min="14858" max="14858" width="11" style="194" customWidth="1"/>
    <col min="14859" max="14859" width="6" style="194" customWidth="1"/>
    <col min="14860" max="14860" width="5" style="194" bestFit="1" customWidth="1"/>
    <col min="14861" max="14861" width="18.85546875" style="194" customWidth="1"/>
    <col min="14862" max="14862" width="13.28515625" style="194" customWidth="1"/>
    <col min="14863" max="14863" width="5.42578125" style="194" customWidth="1"/>
    <col min="14864" max="14864" width="10.42578125" style="194" bestFit="1" customWidth="1"/>
    <col min="14865" max="14865" width="12" style="194" customWidth="1"/>
    <col min="14866" max="14866" width="7.7109375" style="194" customWidth="1"/>
    <col min="14867" max="14867" width="12.42578125" style="194" customWidth="1"/>
    <col min="14868" max="14868" width="34.5703125" style="194" bestFit="1" customWidth="1"/>
    <col min="14869" max="14870" width="24.42578125" style="194" bestFit="1" customWidth="1"/>
    <col min="14871" max="14871" width="39.5703125" style="194" bestFit="1" customWidth="1"/>
    <col min="14872" max="14872" width="22.28515625" style="194" bestFit="1" customWidth="1"/>
    <col min="14873" max="14874" width="39" style="194" bestFit="1" customWidth="1"/>
    <col min="14875" max="14875" width="22.140625" style="194" customWidth="1"/>
    <col min="14876" max="14876" width="23" style="194" bestFit="1" customWidth="1"/>
    <col min="14877" max="14877" width="20.85546875" style="194" bestFit="1" customWidth="1"/>
    <col min="14878" max="14878" width="39.5703125" style="194" bestFit="1" customWidth="1"/>
    <col min="14879" max="14880" width="23" style="194" bestFit="1" customWidth="1"/>
    <col min="14881" max="14882" width="34" style="194" bestFit="1" customWidth="1"/>
    <col min="14883" max="14883" width="34.140625" style="194" bestFit="1" customWidth="1"/>
    <col min="14884" max="14884" width="40.140625" style="194" bestFit="1" customWidth="1"/>
    <col min="14885" max="15104" width="9.140625" style="194"/>
    <col min="15105" max="15105" width="13.85546875" style="194" customWidth="1"/>
    <col min="15106" max="15106" width="10.42578125" style="194" customWidth="1"/>
    <col min="15107" max="15107" width="8.85546875" style="194" customWidth="1"/>
    <col min="15108" max="15108" width="6.5703125" style="194" customWidth="1"/>
    <col min="15109" max="15109" width="1.42578125" style="194" customWidth="1"/>
    <col min="15110" max="15111" width="15.42578125" style="194" customWidth="1"/>
    <col min="15112" max="15112" width="10.28515625" style="194" customWidth="1"/>
    <col min="15113" max="15113" width="12.7109375" style="194" customWidth="1"/>
    <col min="15114" max="15114" width="11" style="194" customWidth="1"/>
    <col min="15115" max="15115" width="6" style="194" customWidth="1"/>
    <col min="15116" max="15116" width="5" style="194" bestFit="1" customWidth="1"/>
    <col min="15117" max="15117" width="18.85546875" style="194" customWidth="1"/>
    <col min="15118" max="15118" width="13.28515625" style="194" customWidth="1"/>
    <col min="15119" max="15119" width="5.42578125" style="194" customWidth="1"/>
    <col min="15120" max="15120" width="10.42578125" style="194" bestFit="1" customWidth="1"/>
    <col min="15121" max="15121" width="12" style="194" customWidth="1"/>
    <col min="15122" max="15122" width="7.7109375" style="194" customWidth="1"/>
    <col min="15123" max="15123" width="12.42578125" style="194" customWidth="1"/>
    <col min="15124" max="15124" width="34.5703125" style="194" bestFit="1" customWidth="1"/>
    <col min="15125" max="15126" width="24.42578125" style="194" bestFit="1" customWidth="1"/>
    <col min="15127" max="15127" width="39.5703125" style="194" bestFit="1" customWidth="1"/>
    <col min="15128" max="15128" width="22.28515625" style="194" bestFit="1" customWidth="1"/>
    <col min="15129" max="15130" width="39" style="194" bestFit="1" customWidth="1"/>
    <col min="15131" max="15131" width="22.140625" style="194" customWidth="1"/>
    <col min="15132" max="15132" width="23" style="194" bestFit="1" customWidth="1"/>
    <col min="15133" max="15133" width="20.85546875" style="194" bestFit="1" customWidth="1"/>
    <col min="15134" max="15134" width="39.5703125" style="194" bestFit="1" customWidth="1"/>
    <col min="15135" max="15136" width="23" style="194" bestFit="1" customWidth="1"/>
    <col min="15137" max="15138" width="34" style="194" bestFit="1" customWidth="1"/>
    <col min="15139" max="15139" width="34.140625" style="194" bestFit="1" customWidth="1"/>
    <col min="15140" max="15140" width="40.140625" style="194" bestFit="1" customWidth="1"/>
    <col min="15141" max="15360" width="9.140625" style="194"/>
    <col min="15361" max="15361" width="13.85546875" style="194" customWidth="1"/>
    <col min="15362" max="15362" width="10.42578125" style="194" customWidth="1"/>
    <col min="15363" max="15363" width="8.85546875" style="194" customWidth="1"/>
    <col min="15364" max="15364" width="6.5703125" style="194" customWidth="1"/>
    <col min="15365" max="15365" width="1.42578125" style="194" customWidth="1"/>
    <col min="15366" max="15367" width="15.42578125" style="194" customWidth="1"/>
    <col min="15368" max="15368" width="10.28515625" style="194" customWidth="1"/>
    <col min="15369" max="15369" width="12.7109375" style="194" customWidth="1"/>
    <col min="15370" max="15370" width="11" style="194" customWidth="1"/>
    <col min="15371" max="15371" width="6" style="194" customWidth="1"/>
    <col min="15372" max="15372" width="5" style="194" bestFit="1" customWidth="1"/>
    <col min="15373" max="15373" width="18.85546875" style="194" customWidth="1"/>
    <col min="15374" max="15374" width="13.28515625" style="194" customWidth="1"/>
    <col min="15375" max="15375" width="5.42578125" style="194" customWidth="1"/>
    <col min="15376" max="15376" width="10.42578125" style="194" bestFit="1" customWidth="1"/>
    <col min="15377" max="15377" width="12" style="194" customWidth="1"/>
    <col min="15378" max="15378" width="7.7109375" style="194" customWidth="1"/>
    <col min="15379" max="15379" width="12.42578125" style="194" customWidth="1"/>
    <col min="15380" max="15380" width="34.5703125" style="194" bestFit="1" customWidth="1"/>
    <col min="15381" max="15382" width="24.42578125" style="194" bestFit="1" customWidth="1"/>
    <col min="15383" max="15383" width="39.5703125" style="194" bestFit="1" customWidth="1"/>
    <col min="15384" max="15384" width="22.28515625" style="194" bestFit="1" customWidth="1"/>
    <col min="15385" max="15386" width="39" style="194" bestFit="1" customWidth="1"/>
    <col min="15387" max="15387" width="22.140625" style="194" customWidth="1"/>
    <col min="15388" max="15388" width="23" style="194" bestFit="1" customWidth="1"/>
    <col min="15389" max="15389" width="20.85546875" style="194" bestFit="1" customWidth="1"/>
    <col min="15390" max="15390" width="39.5703125" style="194" bestFit="1" customWidth="1"/>
    <col min="15391" max="15392" width="23" style="194" bestFit="1" customWidth="1"/>
    <col min="15393" max="15394" width="34" style="194" bestFit="1" customWidth="1"/>
    <col min="15395" max="15395" width="34.140625" style="194" bestFit="1" customWidth="1"/>
    <col min="15396" max="15396" width="40.140625" style="194" bestFit="1" customWidth="1"/>
    <col min="15397" max="15616" width="9.140625" style="194"/>
    <col min="15617" max="15617" width="13.85546875" style="194" customWidth="1"/>
    <col min="15618" max="15618" width="10.42578125" style="194" customWidth="1"/>
    <col min="15619" max="15619" width="8.85546875" style="194" customWidth="1"/>
    <col min="15620" max="15620" width="6.5703125" style="194" customWidth="1"/>
    <col min="15621" max="15621" width="1.42578125" style="194" customWidth="1"/>
    <col min="15622" max="15623" width="15.42578125" style="194" customWidth="1"/>
    <col min="15624" max="15624" width="10.28515625" style="194" customWidth="1"/>
    <col min="15625" max="15625" width="12.7109375" style="194" customWidth="1"/>
    <col min="15626" max="15626" width="11" style="194" customWidth="1"/>
    <col min="15627" max="15627" width="6" style="194" customWidth="1"/>
    <col min="15628" max="15628" width="5" style="194" bestFit="1" customWidth="1"/>
    <col min="15629" max="15629" width="18.85546875" style="194" customWidth="1"/>
    <col min="15630" max="15630" width="13.28515625" style="194" customWidth="1"/>
    <col min="15631" max="15631" width="5.42578125" style="194" customWidth="1"/>
    <col min="15632" max="15632" width="10.42578125" style="194" bestFit="1" customWidth="1"/>
    <col min="15633" max="15633" width="12" style="194" customWidth="1"/>
    <col min="15634" max="15634" width="7.7109375" style="194" customWidth="1"/>
    <col min="15635" max="15635" width="12.42578125" style="194" customWidth="1"/>
    <col min="15636" max="15636" width="34.5703125" style="194" bestFit="1" customWidth="1"/>
    <col min="15637" max="15638" width="24.42578125" style="194" bestFit="1" customWidth="1"/>
    <col min="15639" max="15639" width="39.5703125" style="194" bestFit="1" customWidth="1"/>
    <col min="15640" max="15640" width="22.28515625" style="194" bestFit="1" customWidth="1"/>
    <col min="15641" max="15642" width="39" style="194" bestFit="1" customWidth="1"/>
    <col min="15643" max="15643" width="22.140625" style="194" customWidth="1"/>
    <col min="15644" max="15644" width="23" style="194" bestFit="1" customWidth="1"/>
    <col min="15645" max="15645" width="20.85546875" style="194" bestFit="1" customWidth="1"/>
    <col min="15646" max="15646" width="39.5703125" style="194" bestFit="1" customWidth="1"/>
    <col min="15647" max="15648" width="23" style="194" bestFit="1" customWidth="1"/>
    <col min="15649" max="15650" width="34" style="194" bestFit="1" customWidth="1"/>
    <col min="15651" max="15651" width="34.140625" style="194" bestFit="1" customWidth="1"/>
    <col min="15652" max="15652" width="40.140625" style="194" bestFit="1" customWidth="1"/>
    <col min="15653" max="15872" width="9.140625" style="194"/>
    <col min="15873" max="15873" width="13.85546875" style="194" customWidth="1"/>
    <col min="15874" max="15874" width="10.42578125" style="194" customWidth="1"/>
    <col min="15875" max="15875" width="8.85546875" style="194" customWidth="1"/>
    <col min="15876" max="15876" width="6.5703125" style="194" customWidth="1"/>
    <col min="15877" max="15877" width="1.42578125" style="194" customWidth="1"/>
    <col min="15878" max="15879" width="15.42578125" style="194" customWidth="1"/>
    <col min="15880" max="15880" width="10.28515625" style="194" customWidth="1"/>
    <col min="15881" max="15881" width="12.7109375" style="194" customWidth="1"/>
    <col min="15882" max="15882" width="11" style="194" customWidth="1"/>
    <col min="15883" max="15883" width="6" style="194" customWidth="1"/>
    <col min="15884" max="15884" width="5" style="194" bestFit="1" customWidth="1"/>
    <col min="15885" max="15885" width="18.85546875" style="194" customWidth="1"/>
    <col min="15886" max="15886" width="13.28515625" style="194" customWidth="1"/>
    <col min="15887" max="15887" width="5.42578125" style="194" customWidth="1"/>
    <col min="15888" max="15888" width="10.42578125" style="194" bestFit="1" customWidth="1"/>
    <col min="15889" max="15889" width="12" style="194" customWidth="1"/>
    <col min="15890" max="15890" width="7.7109375" style="194" customWidth="1"/>
    <col min="15891" max="15891" width="12.42578125" style="194" customWidth="1"/>
    <col min="15892" max="15892" width="34.5703125" style="194" bestFit="1" customWidth="1"/>
    <col min="15893" max="15894" width="24.42578125" style="194" bestFit="1" customWidth="1"/>
    <col min="15895" max="15895" width="39.5703125" style="194" bestFit="1" customWidth="1"/>
    <col min="15896" max="15896" width="22.28515625" style="194" bestFit="1" customWidth="1"/>
    <col min="15897" max="15898" width="39" style="194" bestFit="1" customWidth="1"/>
    <col min="15899" max="15899" width="22.140625" style="194" customWidth="1"/>
    <col min="15900" max="15900" width="23" style="194" bestFit="1" customWidth="1"/>
    <col min="15901" max="15901" width="20.85546875" style="194" bestFit="1" customWidth="1"/>
    <col min="15902" max="15902" width="39.5703125" style="194" bestFit="1" customWidth="1"/>
    <col min="15903" max="15904" width="23" style="194" bestFit="1" customWidth="1"/>
    <col min="15905" max="15906" width="34" style="194" bestFit="1" customWidth="1"/>
    <col min="15907" max="15907" width="34.140625" style="194" bestFit="1" customWidth="1"/>
    <col min="15908" max="15908" width="40.140625" style="194" bestFit="1" customWidth="1"/>
    <col min="15909" max="16128" width="9.140625" style="194"/>
    <col min="16129" max="16129" width="13.85546875" style="194" customWidth="1"/>
    <col min="16130" max="16130" width="10.42578125" style="194" customWidth="1"/>
    <col min="16131" max="16131" width="8.85546875" style="194" customWidth="1"/>
    <col min="16132" max="16132" width="6.5703125" style="194" customWidth="1"/>
    <col min="16133" max="16133" width="1.42578125" style="194" customWidth="1"/>
    <col min="16134" max="16135" width="15.42578125" style="194" customWidth="1"/>
    <col min="16136" max="16136" width="10.28515625" style="194" customWidth="1"/>
    <col min="16137" max="16137" width="12.7109375" style="194" customWidth="1"/>
    <col min="16138" max="16138" width="11" style="194" customWidth="1"/>
    <col min="16139" max="16139" width="6" style="194" customWidth="1"/>
    <col min="16140" max="16140" width="5" style="194" bestFit="1" customWidth="1"/>
    <col min="16141" max="16141" width="18.85546875" style="194" customWidth="1"/>
    <col min="16142" max="16142" width="13.28515625" style="194" customWidth="1"/>
    <col min="16143" max="16143" width="5.42578125" style="194" customWidth="1"/>
    <col min="16144" max="16144" width="10.42578125" style="194" bestFit="1" customWidth="1"/>
    <col min="16145" max="16145" width="12" style="194" customWidth="1"/>
    <col min="16146" max="16146" width="7.7109375" style="194" customWidth="1"/>
    <col min="16147" max="16147" width="12.42578125" style="194" customWidth="1"/>
    <col min="16148" max="16148" width="34.5703125" style="194" bestFit="1" customWidth="1"/>
    <col min="16149" max="16150" width="24.42578125" style="194" bestFit="1" customWidth="1"/>
    <col min="16151" max="16151" width="39.5703125" style="194" bestFit="1" customWidth="1"/>
    <col min="16152" max="16152" width="22.28515625" style="194" bestFit="1" customWidth="1"/>
    <col min="16153" max="16154" width="39" style="194" bestFit="1" customWidth="1"/>
    <col min="16155" max="16155" width="22.140625" style="194" customWidth="1"/>
    <col min="16156" max="16156" width="23" style="194" bestFit="1" customWidth="1"/>
    <col min="16157" max="16157" width="20.85546875" style="194" bestFit="1" customWidth="1"/>
    <col min="16158" max="16158" width="39.5703125" style="194" bestFit="1" customWidth="1"/>
    <col min="16159" max="16160" width="23" style="194" bestFit="1" customWidth="1"/>
    <col min="16161" max="16162" width="34" style="194" bestFit="1" customWidth="1"/>
    <col min="16163" max="16163" width="34.140625" style="194" bestFit="1" customWidth="1"/>
    <col min="16164" max="16164" width="40.140625" style="194" bestFit="1" customWidth="1"/>
    <col min="16165" max="16384" width="9.140625" style="194"/>
  </cols>
  <sheetData>
    <row r="1" spans="1:31" ht="15" x14ac:dyDescent="0.25">
      <c r="A1" s="194" t="s">
        <v>479</v>
      </c>
      <c r="S1" s="299" t="s">
        <v>331</v>
      </c>
      <c r="T1" s="296"/>
      <c r="W1" s="299" t="s">
        <v>332</v>
      </c>
      <c r="AB1" s="321"/>
    </row>
    <row r="2" spans="1:31" ht="24" customHeight="1" thickBot="1" x14ac:dyDescent="0.25">
      <c r="T2" s="295"/>
      <c r="V2" s="295"/>
      <c r="AA2" s="322"/>
      <c r="AB2" s="298"/>
      <c r="AC2" s="322"/>
      <c r="AD2" s="322"/>
      <c r="AE2" s="322"/>
    </row>
    <row r="3" spans="1:31" x14ac:dyDescent="0.2">
      <c r="A3" s="183" t="s">
        <v>334</v>
      </c>
      <c r="B3" s="198"/>
      <c r="C3" s="199"/>
      <c r="F3" s="184" t="s">
        <v>335</v>
      </c>
      <c r="G3" s="200"/>
      <c r="H3" s="201"/>
      <c r="I3" s="202"/>
      <c r="J3" s="184" t="s">
        <v>336</v>
      </c>
      <c r="K3" s="185"/>
      <c r="M3" s="184" t="s">
        <v>337</v>
      </c>
      <c r="N3" s="200"/>
      <c r="O3" s="202"/>
      <c r="S3" s="317" t="str">
        <f>compensation!H6</f>
        <v>R_2</v>
      </c>
      <c r="T3" s="302">
        <f>compensation!I6</f>
        <v>1381.9026384429728</v>
      </c>
      <c r="U3" s="303">
        <f>IF((10^(LOG(T3)-INT(LOG(T3)))*100)-VLOOKUP((10^(LOG(T3)-INT(LOG(T3)))*100),S$7:S$75,1)&lt;VLOOKUP((10^(LOG(T3)-INT(LOG(T3)))*100),S$7:T$75,2)-(10^(LOG(T3)-INT(LOG(T3)))*100),VLOOKUP((10^(LOG(T3)-INT(LOG(T3)))*100),S$7:S$75,1),VLOOKUP((10^(LOG(T3)-INT(LOG(T3)))*100),S$7:T$75,2))</f>
        <v>140</v>
      </c>
      <c r="V3" s="301">
        <f>U3*10^INT(LOG(T3))/100</f>
        <v>1400</v>
      </c>
      <c r="W3" s="317" t="str">
        <f>compensation!H9</f>
        <v>C_1</v>
      </c>
      <c r="X3" s="302">
        <f>compensation!I9</f>
        <v>668.8407498416891</v>
      </c>
      <c r="Y3" s="303">
        <f>IF((10^(LOG(X3)-INT(LOG(X3))))-VLOOKUP((10^(LOG(X3)-INT(LOG(X3)))),W$7:W$18,1)&lt;VLOOKUP((10^(LOG(X3)-INT(LOG(X3)))),W$7:X$18,2)-(10^(LOG(X3)-INT(LOG(X3)))),VLOOKUP((10^(LOG(X3)-INT(LOG(X3)))),W$7:W$18,1),VLOOKUP((10^(LOG(X3)-INT(LOG(X3)))),W$7:X$18,2))</f>
        <v>6.8</v>
      </c>
      <c r="Z3" s="301">
        <f>IF(I9&gt;10000,Y6*10^INT(LOG(X3)),Y3*10^INT(LOG(X3)))</f>
        <v>680</v>
      </c>
      <c r="AA3" s="323" t="s">
        <v>333</v>
      </c>
      <c r="AB3" s="298"/>
      <c r="AC3" s="322"/>
      <c r="AD3" s="322"/>
      <c r="AE3" s="322"/>
    </row>
    <row r="4" spans="1:31" x14ac:dyDescent="0.2">
      <c r="A4" s="203" t="s">
        <v>74</v>
      </c>
      <c r="B4" s="276">
        <f>Vin_nom</f>
        <v>12</v>
      </c>
      <c r="C4" s="205" t="s">
        <v>88</v>
      </c>
      <c r="E4" s="206"/>
      <c r="F4" s="207"/>
      <c r="I4" s="208"/>
      <c r="J4" s="187" t="s">
        <v>480</v>
      </c>
      <c r="K4" s="209" t="str">
        <f>IF('Device Calculator'!C90=partData!A14, "Yes", "No")</f>
        <v>Yes</v>
      </c>
      <c r="M4" s="210" t="s">
        <v>343</v>
      </c>
      <c r="N4" s="211">
        <f>1/(2*PI()*SQRT(LOUT_1*10^-6*(COUT_1+MLCC)*10^-6))*10^-3</f>
        <v>8.8378506320590553</v>
      </c>
      <c r="O4" s="212" t="s">
        <v>150</v>
      </c>
      <c r="S4" s="317" t="str">
        <f>compensation!H7</f>
        <v>R_3</v>
      </c>
      <c r="T4" s="302">
        <f>compensation!I7</f>
        <v>22150.159215399792</v>
      </c>
      <c r="U4" s="303">
        <f>IF((10^(LOG(T4)-INT(LOG(T4)))*100)-VLOOKUP((10^(LOG(T4)-INT(LOG(T4)))*100),S$7:S$75,1)&lt;VLOOKUP((10^(LOG(T4)-INT(LOG(T4)))*100),S$7:T$75,2)-(10^(LOG(T4)-INT(LOG(T4)))*100),VLOOKUP((10^(LOG(T4)-INT(LOG(T4)))*100),S$7:S$75,1),VLOOKUP((10^(LOG(T4)-INT(LOG(T4)))*100),S$7:T$75,2))</f>
        <v>220</v>
      </c>
      <c r="V4" s="301">
        <f>U4*10^INT(LOG(T4))/100</f>
        <v>22000</v>
      </c>
      <c r="W4" s="317" t="str">
        <f>compensation!H10</f>
        <v>C_2</v>
      </c>
      <c r="X4" s="302">
        <f>compensation!I10</f>
        <v>343.68512755558964</v>
      </c>
      <c r="Y4" s="303">
        <f>IF((10^(LOG(X4)-INT(LOG(X4))))-VLOOKUP((10^(LOG(X4)-INT(LOG(X4)))),W$7:W$18,1)&lt;VLOOKUP((10^(LOG(X4)-INT(LOG(X4)))),W$7:X$18,2)-(10^(LOG(X4)-INT(LOG(X4)))),VLOOKUP((10^(LOG(X4)-INT(LOG(X4)))),W$7:W$18,1),VLOOKUP((10^(LOG(X4)-INT(LOG(X4)))),W$7:X$18,2))</f>
        <v>3.3</v>
      </c>
      <c r="Z4" s="301">
        <f>IF(I10&gt;10000,Y7*10^INT(LOG(X4)),Y4*10^INT(LOG(X4)))</f>
        <v>330</v>
      </c>
      <c r="AA4" s="298" t="s">
        <v>338</v>
      </c>
      <c r="AB4" s="298" t="s">
        <v>339</v>
      </c>
      <c r="AC4" s="298" t="s">
        <v>340</v>
      </c>
      <c r="AD4" s="298" t="s">
        <v>341</v>
      </c>
      <c r="AE4" s="298" t="s">
        <v>342</v>
      </c>
    </row>
    <row r="5" spans="1:31" x14ac:dyDescent="0.2">
      <c r="A5" s="335" t="s">
        <v>512</v>
      </c>
      <c r="B5" s="276">
        <f>Vout</f>
        <v>0.9</v>
      </c>
      <c r="C5" s="205" t="s">
        <v>88</v>
      </c>
      <c r="E5" s="206"/>
      <c r="F5" s="213" t="s">
        <v>346</v>
      </c>
      <c r="G5" s="214">
        <f>IF(K13="NO",B7/G9*1000,J14)</f>
        <v>20906.558126407977</v>
      </c>
      <c r="H5" s="215" t="s">
        <v>347</v>
      </c>
      <c r="I5" s="216">
        <f>J5</f>
        <v>10000</v>
      </c>
      <c r="J5" s="217">
        <f>'Device Calculator'!E98</f>
        <v>10000</v>
      </c>
      <c r="K5" s="218" t="s">
        <v>348</v>
      </c>
      <c r="M5" s="210" t="s">
        <v>349</v>
      </c>
      <c r="N5" s="211">
        <f>1/(2*PI()*COUT_1*10^-6*ESR_1*10^-3)*10^-3</f>
        <v>159154.94309189534</v>
      </c>
      <c r="O5" s="212" t="s">
        <v>150</v>
      </c>
      <c r="S5" s="317" t="str">
        <f>compensation!H8</f>
        <v>R_bias</v>
      </c>
      <c r="T5" s="302">
        <f>compensation!I8</f>
        <v>19999.999999999996</v>
      </c>
      <c r="U5" s="303">
        <f>IF((10^(LOG(T5)-INT(LOG(T5)))*100)-VLOOKUP((10^(LOG(T5)-INT(LOG(T5)))*100),S$7:S$75,1)&lt;VLOOKUP((10^(LOG(T5)-INT(LOG(T5)))*100),S$7:T$75,2)-(10^(LOG(T5)-INT(LOG(T5)))*100),VLOOKUP((10^(LOG(T5)-INT(LOG(T5)))*100),S$7:S$75,1),VLOOKUP((10^(LOG(T5)-INT(LOG(T5)))*100),S$7:T$75,2))</f>
        <v>200</v>
      </c>
      <c r="V5" s="301">
        <f>U5*10^INT(LOG(T5))/100</f>
        <v>20000</v>
      </c>
      <c r="W5" s="317" t="str">
        <f>compensation!H11</f>
        <v>C_3</v>
      </c>
      <c r="X5" s="302">
        <f>compensation!I11</f>
        <v>47.493938456267912</v>
      </c>
      <c r="Y5" s="303">
        <f>IF((10^(LOG(X5)-INT(LOG(X5))))-VLOOKUP((10^(LOG(X5)-INT(LOG(X5)))),W$7:W$18,1)&lt;VLOOKUP((10^(LOG(X5)-INT(LOG(X5)))),W$7:X$18,2)-(10^(LOG(X5)-INT(LOG(X5)))),VLOOKUP((10^(LOG(X5)-INT(LOG(X5)))),W$7:W$18,1),VLOOKUP((10^(LOG(X5)-INT(LOG(X5)))),W$7:X$18,2))</f>
        <v>4.7</v>
      </c>
      <c r="Z5" s="301">
        <f>IF(I11&gt;10000,Y8*10^INT(LOG(X5)),Y5*10^INT(LOG(X5)))</f>
        <v>47</v>
      </c>
      <c r="AA5" s="298"/>
      <c r="AB5" s="298" t="s">
        <v>88</v>
      </c>
      <c r="AC5" s="298" t="s">
        <v>88</v>
      </c>
      <c r="AD5" s="298" t="s">
        <v>344</v>
      </c>
      <c r="AE5" s="298" t="s">
        <v>345</v>
      </c>
    </row>
    <row r="6" spans="1:31" ht="13.5" thickBot="1" x14ac:dyDescent="0.25">
      <c r="A6" s="203" t="s">
        <v>350</v>
      </c>
      <c r="B6" s="276">
        <f>Iout</f>
        <v>35</v>
      </c>
      <c r="C6" s="205" t="s">
        <v>101</v>
      </c>
      <c r="E6" s="206"/>
      <c r="F6" s="213" t="s">
        <v>351</v>
      </c>
      <c r="G6" s="214">
        <f>IF(K13="NO",B7/G9*1000,J15)</f>
        <v>20906.558126407977</v>
      </c>
      <c r="H6" s="215" t="s">
        <v>352</v>
      </c>
      <c r="I6" s="219">
        <f>1/(2*PI()*Fp_1_1*I9*10^-12)</f>
        <v>1381.9026384429728</v>
      </c>
      <c r="J6" s="220">
        <f>'Device Calculator'!E99</f>
        <v>1381.9026384429728</v>
      </c>
      <c r="K6" s="221" t="s">
        <v>348</v>
      </c>
      <c r="M6" s="222" t="s">
        <v>353</v>
      </c>
      <c r="N6" s="223">
        <f>1/(2*PI()*MLCC*10^-6*MLCC_ESR*10^-3)*10^-3</f>
        <v>73.614682281172676</v>
      </c>
      <c r="O6" s="224" t="s">
        <v>150</v>
      </c>
      <c r="Q6" s="324">
        <f>F58</f>
        <v>5.5850966904069281</v>
      </c>
      <c r="T6" s="295"/>
      <c r="V6" s="295"/>
      <c r="W6" s="325" t="s">
        <v>354</v>
      </c>
      <c r="X6" s="326"/>
      <c r="Y6" s="303">
        <f>IF((10^(LOG(X3)-INT(LOG(X3))))-VLOOKUP((10^(LOG(X3)-INT(LOG(X3)))),W$20:W$25,1)&lt;VLOOKUP((10^(LOG(X3)-INT(LOG(X3)))),W$20:X$25,2)-(10^(LOG(X3)-INT(LOG(X3)))),VLOOKUP((10^(LOG(X3)-INT(LOG(X3)))),W$20:W$25,1),VLOOKUP((10^(LOG(X3)-INT(LOG(X3)))),W$20:X$25,2))</f>
        <v>6.8</v>
      </c>
      <c r="AA6" s="298" t="s">
        <v>481</v>
      </c>
      <c r="AB6" s="298">
        <v>0.87</v>
      </c>
      <c r="AC6" s="298">
        <v>0.7</v>
      </c>
      <c r="AD6" s="298">
        <v>5</v>
      </c>
      <c r="AE6" s="298">
        <v>55</v>
      </c>
    </row>
    <row r="7" spans="1:31" x14ac:dyDescent="0.2">
      <c r="A7" s="203" t="s">
        <v>326</v>
      </c>
      <c r="B7" s="276">
        <f>Fco</f>
        <v>60</v>
      </c>
      <c r="C7" s="205" t="s">
        <v>150</v>
      </c>
      <c r="E7" s="206"/>
      <c r="F7" s="213" t="s">
        <v>355</v>
      </c>
      <c r="G7" s="214">
        <f>IF(K13="NO",B7*G9*1000,J16)</f>
        <v>172194.77152734599</v>
      </c>
      <c r="H7" s="215" t="s">
        <v>356</v>
      </c>
      <c r="I7" s="219">
        <f>1/(2*PI()*Fz_2_1*I10*10^-12)</f>
        <v>22150.159215399792</v>
      </c>
      <c r="J7" s="220">
        <f>'Device Calculator'!E100</f>
        <v>22150.159215399792</v>
      </c>
      <c r="K7" s="221" t="s">
        <v>348</v>
      </c>
      <c r="S7" s="295">
        <v>100</v>
      </c>
      <c r="T7" s="295">
        <v>105</v>
      </c>
      <c r="U7" s="295" t="s">
        <v>357</v>
      </c>
      <c r="V7" s="295"/>
      <c r="W7" s="326">
        <v>1</v>
      </c>
      <c r="X7" s="326">
        <v>1.2</v>
      </c>
      <c r="Y7" s="303">
        <f>IF((10^(LOG(X4)-INT(LOG(X4))))-VLOOKUP((10^(LOG(X4)-INT(LOG(X4)))),W$20:W$25,1)&lt;VLOOKUP((10^(LOG(X4)-INT(LOG(X4)))),W$20:X$25,2)-(10^(LOG(X4)-INT(LOG(X4)))),VLOOKUP((10^(LOG(X4)-INT(LOG(X4)))),W$20:W$25,1),VLOOKUP((10^(LOG(X4)-INT(LOG(X4)))),W$20:X$25,2))</f>
        <v>3.3</v>
      </c>
      <c r="AA7" s="298" t="s">
        <v>482</v>
      </c>
      <c r="AB7" s="298">
        <v>0.87</v>
      </c>
      <c r="AC7" s="298">
        <v>0.7</v>
      </c>
      <c r="AD7" s="298">
        <v>5</v>
      </c>
      <c r="AE7" s="298">
        <v>55</v>
      </c>
    </row>
    <row r="8" spans="1:31" ht="13.5" thickBot="1" x14ac:dyDescent="0.25">
      <c r="A8" s="225" t="s">
        <v>358</v>
      </c>
      <c r="B8" s="276">
        <f>PM</f>
        <v>60</v>
      </c>
      <c r="C8" s="227" t="s">
        <v>359</v>
      </c>
      <c r="E8" s="206"/>
      <c r="F8" s="213" t="s">
        <v>360</v>
      </c>
      <c r="G8" s="214">
        <f>IF(K13="NO",B7*G9*1000,J17)</f>
        <v>172194.77152734599</v>
      </c>
      <c r="H8" s="215" t="s">
        <v>361</v>
      </c>
      <c r="I8" s="219">
        <f>VREF*I5/(VOUT_1-VREF)</f>
        <v>19999.999999999996</v>
      </c>
      <c r="J8" s="220">
        <f>'Device Calculator'!E101</f>
        <v>19999.999999999996</v>
      </c>
      <c r="K8" s="221" t="s">
        <v>348</v>
      </c>
      <c r="S8" s="295">
        <v>105</v>
      </c>
      <c r="T8" s="295">
        <v>110</v>
      </c>
      <c r="U8" s="295" t="s">
        <v>362</v>
      </c>
      <c r="V8" s="295"/>
      <c r="W8" s="326">
        <v>1.2</v>
      </c>
      <c r="X8" s="326">
        <v>1.5</v>
      </c>
      <c r="Y8" s="303">
        <f>IF((10^(LOG(X5)-INT(LOG(X5))))-VLOOKUP((10^(LOG(X5)-INT(LOG(X5)))),W$20:W$25,1)&lt;VLOOKUP((10^(LOG(X5)-INT(LOG(X5)))),W$20:X$25,2)-(10^(LOG(X5)-INT(LOG(X5)))),VLOOKUP((10^(LOG(X5)-INT(LOG(X5)))),W$20:W$25,1),VLOOKUP((10^(LOG(X5)-INT(LOG(X5)))),W$20:X$25,2))</f>
        <v>4.7</v>
      </c>
      <c r="AA8" s="298" t="s">
        <v>483</v>
      </c>
      <c r="AB8" s="298">
        <v>0.87</v>
      </c>
      <c r="AC8" s="298">
        <v>0.7</v>
      </c>
      <c r="AD8" s="298">
        <v>5</v>
      </c>
      <c r="AE8" s="298">
        <v>55</v>
      </c>
    </row>
    <row r="9" spans="1:31" x14ac:dyDescent="0.2">
      <c r="A9" s="188" t="s">
        <v>363</v>
      </c>
      <c r="B9" s="228"/>
      <c r="C9" s="229"/>
      <c r="E9" s="206"/>
      <c r="F9" s="213" t="s">
        <v>364</v>
      </c>
      <c r="G9" s="230">
        <f>TAN(RADIANS((B8-compensation!F57-180)/2+45))+SQRT((TAN(RADIANS((B8-compensation!F57-180)/2+45)))^2+1)</f>
        <v>2.8699128587890996</v>
      </c>
      <c r="H9" s="215" t="s">
        <v>365</v>
      </c>
      <c r="I9" s="231">
        <f>(Fp_1_1-Fz_1_1)/(2*PI()*Fp_1_1*Fz_1_1*I5)*10^12</f>
        <v>668.8407498416891</v>
      </c>
      <c r="J9" s="232">
        <f>'Device Calculator'!E102</f>
        <v>668.8407498416891</v>
      </c>
      <c r="K9" s="205" t="s">
        <v>124</v>
      </c>
      <c r="S9" s="295">
        <v>110</v>
      </c>
      <c r="T9" s="295">
        <v>115</v>
      </c>
      <c r="V9" s="295"/>
      <c r="W9" s="326">
        <v>1.5</v>
      </c>
      <c r="X9" s="326">
        <v>1.8</v>
      </c>
      <c r="AA9" s="298" t="s">
        <v>484</v>
      </c>
      <c r="AB9" s="298">
        <v>0.87</v>
      </c>
      <c r="AC9" s="298">
        <v>0.6</v>
      </c>
      <c r="AD9" s="298">
        <v>5</v>
      </c>
      <c r="AE9" s="298">
        <v>55</v>
      </c>
    </row>
    <row r="10" spans="1:31" x14ac:dyDescent="0.2">
      <c r="A10" s="203" t="s">
        <v>511</v>
      </c>
      <c r="B10" s="204">
        <f>Lout</f>
        <v>0.3</v>
      </c>
      <c r="C10" s="233" t="s">
        <v>366</v>
      </c>
      <c r="E10" s="206"/>
      <c r="F10" s="207"/>
      <c r="H10" s="215" t="s">
        <v>367</v>
      </c>
      <c r="I10" s="231">
        <f>((Fco*1000)/(2*PI()*I5*Fz_2_1*Fz_1_1*F58)*(1-Fz_2_1/Fp_2_1))*10^12</f>
        <v>343.68512755558964</v>
      </c>
      <c r="J10" s="232">
        <f>'Device Calculator'!E103</f>
        <v>343.68512755558964</v>
      </c>
      <c r="K10" s="205" t="s">
        <v>124</v>
      </c>
      <c r="S10" s="295">
        <v>115</v>
      </c>
      <c r="T10" s="295">
        <v>120</v>
      </c>
      <c r="V10" s="295"/>
      <c r="W10" s="326">
        <v>1.8</v>
      </c>
      <c r="X10" s="326">
        <v>2.2000000000000002</v>
      </c>
      <c r="Y10" s="327">
        <f>IF(compensation!I9&lt;1,"1000",1)</f>
        <v>1</v>
      </c>
      <c r="Z10" s="296" t="str">
        <f>IF(compensation!I9&lt;1,"pF","nF")</f>
        <v>nF</v>
      </c>
      <c r="AA10" s="298" t="s">
        <v>485</v>
      </c>
      <c r="AB10" s="298">
        <v>0.87</v>
      </c>
      <c r="AC10" s="298">
        <v>0.6</v>
      </c>
      <c r="AD10" s="298">
        <v>5</v>
      </c>
      <c r="AE10" s="298">
        <v>55</v>
      </c>
    </row>
    <row r="11" spans="1:31" ht="13.5" thickBot="1" x14ac:dyDescent="0.25">
      <c r="A11" s="225" t="s">
        <v>173</v>
      </c>
      <c r="B11" s="226">
        <f>DCR</f>
        <v>3</v>
      </c>
      <c r="C11" s="234" t="s">
        <v>130</v>
      </c>
      <c r="E11" s="206"/>
      <c r="F11" s="235"/>
      <c r="G11" s="236"/>
      <c r="H11" s="237" t="s">
        <v>368</v>
      </c>
      <c r="I11" s="238">
        <f>((Fco*1000)/(2*PI()*I5*Fz_2_1*Fz_1_1*F58)-I10*10^-12)*10^12</f>
        <v>47.493938456267912</v>
      </c>
      <c r="J11" s="239">
        <f>'Device Calculator'!E104</f>
        <v>47.493938456267912</v>
      </c>
      <c r="K11" s="240" t="s">
        <v>124</v>
      </c>
      <c r="S11" s="295">
        <v>120</v>
      </c>
      <c r="T11" s="295">
        <v>121</v>
      </c>
      <c r="V11" s="295"/>
      <c r="W11" s="326">
        <v>2.2000000000000002</v>
      </c>
      <c r="X11" s="326">
        <v>2.7</v>
      </c>
      <c r="Y11" s="328">
        <f>IF(compensation!I10&lt;1,"1000",1)</f>
        <v>1</v>
      </c>
      <c r="Z11" s="296" t="str">
        <f>IF(compensation!I10&lt;1,"pF","nF")</f>
        <v>nF</v>
      </c>
      <c r="AA11" s="298" t="s">
        <v>486</v>
      </c>
      <c r="AB11" s="329">
        <f>2*((VIN-3.48)/(G22*10^3)*(58.14*G21+1340))</f>
        <v>3.9334055414634146</v>
      </c>
      <c r="AC11" s="298">
        <v>0.7</v>
      </c>
      <c r="AD11" s="298">
        <v>5</v>
      </c>
      <c r="AE11" s="298">
        <v>80</v>
      </c>
    </row>
    <row r="12" spans="1:31" x14ac:dyDescent="0.2">
      <c r="A12" s="392" t="s">
        <v>369</v>
      </c>
      <c r="B12" s="393"/>
      <c r="C12" s="393"/>
      <c r="D12" s="189" t="s">
        <v>370</v>
      </c>
      <c r="E12" s="241"/>
      <c r="F12" s="242" t="s">
        <v>487</v>
      </c>
      <c r="G12" s="201"/>
      <c r="H12" s="201"/>
      <c r="I12" s="201"/>
      <c r="J12" s="184" t="s">
        <v>336</v>
      </c>
      <c r="K12" s="185"/>
      <c r="L12" s="206"/>
      <c r="S12" s="295">
        <v>121</v>
      </c>
      <c r="T12" s="295">
        <v>127</v>
      </c>
      <c r="V12" s="295"/>
      <c r="W12" s="326">
        <v>2.7</v>
      </c>
      <c r="X12" s="326">
        <v>3.3</v>
      </c>
      <c r="Y12" s="328">
        <f>IF(compensation!I11&lt;1,"1000",1)</f>
        <v>1</v>
      </c>
      <c r="Z12" s="296" t="str">
        <f>IF(compensation!I11&lt;1,"pF","nF")</f>
        <v>nF</v>
      </c>
      <c r="AA12" s="298" t="s">
        <v>488</v>
      </c>
      <c r="AB12" s="329">
        <f>2*((VIN-3.48)/(G22*10^3)*(58.14*G21+1340))</f>
        <v>3.9334055414634146</v>
      </c>
      <c r="AC12" s="298">
        <v>0.7</v>
      </c>
      <c r="AD12" s="298">
        <v>5</v>
      </c>
      <c r="AE12" s="298">
        <v>80</v>
      </c>
    </row>
    <row r="13" spans="1:31" ht="12.75" customHeight="1" x14ac:dyDescent="0.2">
      <c r="A13" s="203" t="s">
        <v>371</v>
      </c>
      <c r="B13" s="204">
        <v>470</v>
      </c>
      <c r="C13" s="243" t="s">
        <v>372</v>
      </c>
      <c r="D13" s="244">
        <v>0</v>
      </c>
      <c r="E13" s="241"/>
      <c r="F13" s="245" t="s">
        <v>347</v>
      </c>
      <c r="G13" s="246">
        <f>I5</f>
        <v>10000</v>
      </c>
      <c r="H13" s="206"/>
      <c r="I13" s="206"/>
      <c r="J13" s="247" t="s">
        <v>373</v>
      </c>
      <c r="K13" s="248" t="str">
        <f>IF('Device Calculator'!C90=partData!A15, "Yes", "No")</f>
        <v>No</v>
      </c>
      <c r="S13" s="295">
        <v>127</v>
      </c>
      <c r="T13" s="295">
        <v>130</v>
      </c>
      <c r="V13" s="295"/>
      <c r="W13" s="326">
        <v>3.3</v>
      </c>
      <c r="X13" s="326">
        <v>3.9</v>
      </c>
      <c r="AA13" s="298" t="s">
        <v>489</v>
      </c>
      <c r="AB13" s="329">
        <f>(VIN-0.4)/((-((0.131*G$21)+1.886)+SQRT(((0.131*G$21)+1.886)^2-4*(-1.61*10^-3)*(-1.363-0.02*G$21-4.87*10^-5*G$21^2-G$22)))/(2*(-1.61*10^-3))-0.4)</f>
        <v>5.9761440540833872</v>
      </c>
      <c r="AC13" s="298">
        <v>0.7</v>
      </c>
      <c r="AD13" s="298">
        <v>5</v>
      </c>
      <c r="AE13" s="298">
        <v>50</v>
      </c>
    </row>
    <row r="14" spans="1:31" ht="13.5" thickBot="1" x14ac:dyDescent="0.25">
      <c r="A14" s="225" t="s">
        <v>374</v>
      </c>
      <c r="B14" s="226">
        <v>4</v>
      </c>
      <c r="C14" s="249" t="s">
        <v>130</v>
      </c>
      <c r="D14" s="250"/>
      <c r="E14" s="241"/>
      <c r="F14" s="245" t="s">
        <v>352</v>
      </c>
      <c r="G14" s="246">
        <f>IF(K4="No",compensation!V3,J6)</f>
        <v>1381.9026384429728</v>
      </c>
      <c r="H14" s="251" t="s">
        <v>346</v>
      </c>
      <c r="I14" s="252">
        <f>1/(2*PI()*(R_1+R_2)*C_1*10^-12)</f>
        <v>20906.558126407974</v>
      </c>
      <c r="J14" s="253">
        <f>'Device Calculator'!E105</f>
        <v>1001</v>
      </c>
      <c r="K14" s="254" t="s">
        <v>375</v>
      </c>
      <c r="S14" s="295">
        <v>130</v>
      </c>
      <c r="T14" s="295">
        <v>133</v>
      </c>
      <c r="V14" s="295"/>
      <c r="W14" s="326">
        <v>3.9</v>
      </c>
      <c r="X14" s="326">
        <v>4.7</v>
      </c>
      <c r="AA14" s="298" t="s">
        <v>490</v>
      </c>
      <c r="AB14" s="329">
        <f>(VIN-0.4)/((-((0.131*G$21)+1.886)+SQRT(((0.131*G$21)+1.886)^2-4*(-1.61*10^-3)*(-1.363-0.02*G$21-4.87*10^-5*G$21^2-G$22)))/(2*(-1.61*10^-3))-0.4)</f>
        <v>5.9761440540833872</v>
      </c>
      <c r="AC14" s="298">
        <v>0.7</v>
      </c>
      <c r="AD14" s="298">
        <v>5</v>
      </c>
      <c r="AE14" s="298">
        <v>50</v>
      </c>
    </row>
    <row r="15" spans="1:31" x14ac:dyDescent="0.2">
      <c r="A15" s="188" t="s">
        <v>376</v>
      </c>
      <c r="B15" s="228"/>
      <c r="C15" s="228"/>
      <c r="D15" s="189" t="s">
        <v>370</v>
      </c>
      <c r="E15" s="241"/>
      <c r="F15" s="245" t="s">
        <v>356</v>
      </c>
      <c r="G15" s="246">
        <f>IF(K4="No",compensation!V4,J7)</f>
        <v>22150.159215399792</v>
      </c>
      <c r="H15" s="251" t="s">
        <v>351</v>
      </c>
      <c r="I15" s="252">
        <f>1/(2*PI()*(R_3)*C_2*10^-12)</f>
        <v>20906.558126407977</v>
      </c>
      <c r="J15" s="232">
        <f>'Device Calculator'!E106</f>
        <v>10000</v>
      </c>
      <c r="K15" s="254" t="s">
        <v>375</v>
      </c>
      <c r="S15" s="295">
        <v>133</v>
      </c>
      <c r="T15" s="295">
        <v>140</v>
      </c>
      <c r="V15" s="295"/>
      <c r="W15" s="326">
        <v>4.7</v>
      </c>
      <c r="X15" s="326">
        <v>5.6</v>
      </c>
      <c r="AA15" s="298" t="s">
        <v>491</v>
      </c>
      <c r="AB15" s="298">
        <v>0.5</v>
      </c>
      <c r="AC15" s="298">
        <v>0.69599999999999995</v>
      </c>
      <c r="AD15" s="298">
        <v>3.5</v>
      </c>
      <c r="AE15" s="298">
        <v>60</v>
      </c>
    </row>
    <row r="16" spans="1:31" x14ac:dyDescent="0.2">
      <c r="A16" s="203" t="s">
        <v>377</v>
      </c>
      <c r="B16" s="276">
        <f>Cout</f>
        <v>1081</v>
      </c>
      <c r="C16" s="243" t="s">
        <v>372</v>
      </c>
      <c r="D16" s="255">
        <v>1</v>
      </c>
      <c r="E16" s="241"/>
      <c r="F16" s="245" t="s">
        <v>361</v>
      </c>
      <c r="G16" s="246">
        <f>IF(K4="No",compensation!V5,J8)</f>
        <v>19999.999999999996</v>
      </c>
      <c r="H16" s="251" t="s">
        <v>355</v>
      </c>
      <c r="I16" s="252">
        <f>1/(2*PI()*R_2*C_1*10^-12)</f>
        <v>172194.77152734599</v>
      </c>
      <c r="J16" s="232">
        <f>'Device Calculator'!E107</f>
        <v>1002</v>
      </c>
      <c r="K16" s="254" t="s">
        <v>375</v>
      </c>
      <c r="S16" s="295">
        <v>140</v>
      </c>
      <c r="T16" s="295">
        <v>147</v>
      </c>
      <c r="V16" s="295"/>
      <c r="W16" s="326">
        <v>5.6</v>
      </c>
      <c r="X16" s="326">
        <v>6.8</v>
      </c>
      <c r="AA16" s="298" t="s">
        <v>492</v>
      </c>
      <c r="AB16" s="298">
        <f>VIN/15</f>
        <v>0.8</v>
      </c>
      <c r="AC16" s="298">
        <v>0.6</v>
      </c>
      <c r="AD16" s="298">
        <v>10</v>
      </c>
      <c r="AE16" s="298">
        <v>90</v>
      </c>
    </row>
    <row r="17" spans="1:68" ht="13.5" thickBot="1" x14ac:dyDescent="0.25">
      <c r="A17" s="256" t="s">
        <v>378</v>
      </c>
      <c r="B17" s="276">
        <f>ESR</f>
        <v>2</v>
      </c>
      <c r="C17" s="257" t="s">
        <v>130</v>
      </c>
      <c r="D17" s="258"/>
      <c r="E17" s="241"/>
      <c r="F17" s="245" t="s">
        <v>365</v>
      </c>
      <c r="G17" s="259">
        <f>IF(K4="No",Z3,J9)</f>
        <v>668.8407498416891</v>
      </c>
      <c r="H17" s="260" t="s">
        <v>360</v>
      </c>
      <c r="I17" s="252">
        <f>(C_2*10^-12+C_3*10^-12)/(2*PI()*R_3*C_2*10^-12*C_3*10^-12)</f>
        <v>172194.77152734593</v>
      </c>
      <c r="J17" s="261">
        <f>'Device Calculator'!E108</f>
        <v>10200</v>
      </c>
      <c r="K17" s="262" t="s">
        <v>375</v>
      </c>
      <c r="S17" s="295">
        <v>147</v>
      </c>
      <c r="T17" s="295">
        <v>150</v>
      </c>
      <c r="V17" s="295"/>
      <c r="W17" s="326">
        <v>6.8</v>
      </c>
      <c r="X17" s="326">
        <v>8.1999999999999993</v>
      </c>
      <c r="AA17" s="298" t="s">
        <v>493</v>
      </c>
      <c r="AB17" s="298">
        <v>0.75</v>
      </c>
      <c r="AC17" s="298">
        <v>0.59099999999999997</v>
      </c>
      <c r="AD17" s="298">
        <v>5</v>
      </c>
      <c r="AE17" s="298">
        <v>60</v>
      </c>
    </row>
    <row r="18" spans="1:68" x14ac:dyDescent="0.2">
      <c r="A18" s="263" t="s">
        <v>494</v>
      </c>
      <c r="B18" s="264" t="s">
        <v>495</v>
      </c>
      <c r="C18" s="200"/>
      <c r="D18" s="265"/>
      <c r="E18" s="241"/>
      <c r="F18" s="245" t="s">
        <v>367</v>
      </c>
      <c r="G18" s="266">
        <f>IF(K4="No",Z4,J10)</f>
        <v>343.68512755558964</v>
      </c>
      <c r="I18" s="394" t="s">
        <v>379</v>
      </c>
      <c r="J18" s="395"/>
      <c r="S18" s="295">
        <v>150</v>
      </c>
      <c r="T18" s="295">
        <v>154</v>
      </c>
      <c r="V18" s="295"/>
      <c r="W18" s="326">
        <v>8.1999999999999993</v>
      </c>
      <c r="X18" s="326">
        <v>10</v>
      </c>
      <c r="AA18" s="298" t="s">
        <v>496</v>
      </c>
      <c r="AB18" s="298">
        <v>1</v>
      </c>
      <c r="AC18" s="298">
        <v>0.59099999999999997</v>
      </c>
      <c r="AD18" s="298">
        <v>7</v>
      </c>
      <c r="AE18" s="298">
        <v>60</v>
      </c>
    </row>
    <row r="19" spans="1:68" ht="13.5" thickBot="1" x14ac:dyDescent="0.25">
      <c r="A19" s="267"/>
      <c r="B19" s="268" t="s">
        <v>399</v>
      </c>
      <c r="C19" s="269" t="s">
        <v>329</v>
      </c>
      <c r="D19" s="270"/>
      <c r="E19" s="206"/>
      <c r="F19" s="271" t="s">
        <v>368</v>
      </c>
      <c r="G19" s="272">
        <f>IF(K4="No",Z5,J11)</f>
        <v>47.493938456267912</v>
      </c>
      <c r="I19" s="245" t="s">
        <v>380</v>
      </c>
      <c r="J19" s="273">
        <f>D76</f>
        <v>59735.01913205372</v>
      </c>
      <c r="K19" s="206"/>
      <c r="L19" s="206"/>
      <c r="S19" s="295">
        <v>154</v>
      </c>
      <c r="T19" s="295">
        <v>160</v>
      </c>
      <c r="V19" s="295"/>
      <c r="W19" s="325" t="s">
        <v>381</v>
      </c>
      <c r="Y19" s="326"/>
      <c r="Z19" s="326"/>
      <c r="AA19" s="298" t="s">
        <v>497</v>
      </c>
      <c r="AB19" s="298">
        <v>1</v>
      </c>
      <c r="AC19" s="298">
        <v>0.59099999999999997</v>
      </c>
      <c r="AD19" s="298">
        <v>7</v>
      </c>
      <c r="AE19" s="298">
        <v>60</v>
      </c>
    </row>
    <row r="20" spans="1:68" x14ac:dyDescent="0.2">
      <c r="A20" s="274" t="s">
        <v>339</v>
      </c>
      <c r="B20" s="275">
        <f>IF(C19="NO",VLOOKUP(IC,AA6:AE31,2),C20)</f>
        <v>1.7647058823529411</v>
      </c>
      <c r="C20" s="276">
        <f>VIN/6.5</f>
        <v>1.8461538461538463</v>
      </c>
      <c r="D20" s="277" t="s">
        <v>88</v>
      </c>
      <c r="E20" s="206"/>
      <c r="F20" s="184" t="s">
        <v>498</v>
      </c>
      <c r="G20" s="278"/>
      <c r="I20" s="279" t="s">
        <v>382</v>
      </c>
      <c r="J20" s="280">
        <f>F48+F50</f>
        <v>58.238621034570883</v>
      </c>
      <c r="S20" s="295">
        <v>160</v>
      </c>
      <c r="T20" s="295">
        <v>162</v>
      </c>
      <c r="V20" s="295"/>
      <c r="W20" s="326">
        <v>1</v>
      </c>
      <c r="X20" s="326">
        <v>1.5</v>
      </c>
      <c r="AA20" s="298" t="s">
        <v>499</v>
      </c>
      <c r="AB20" s="298">
        <v>1</v>
      </c>
      <c r="AC20" s="298">
        <v>0.59099999999999997</v>
      </c>
      <c r="AD20" s="298">
        <v>7</v>
      </c>
      <c r="AE20" s="298">
        <v>60</v>
      </c>
    </row>
    <row r="21" spans="1:68" ht="13.5" thickBot="1" x14ac:dyDescent="0.25">
      <c r="A21" s="213" t="s">
        <v>340</v>
      </c>
      <c r="B21" s="281">
        <f>IF(C19="NO",VLOOKUP(IC,AA6:AE31,3),C21)</f>
        <v>0.6</v>
      </c>
      <c r="C21" s="276">
        <v>0.6</v>
      </c>
      <c r="D21" s="282" t="s">
        <v>88</v>
      </c>
      <c r="E21" s="206"/>
      <c r="F21" s="283" t="s">
        <v>27</v>
      </c>
      <c r="G21" s="284">
        <v>90.9</v>
      </c>
      <c r="I21" s="271" t="s">
        <v>513</v>
      </c>
      <c r="J21" s="285">
        <f>VREF/R_4*R_1+VREF</f>
        <v>0.9</v>
      </c>
      <c r="K21" s="206"/>
      <c r="L21" s="206"/>
      <c r="S21" s="295">
        <v>162</v>
      </c>
      <c r="T21" s="295">
        <v>169</v>
      </c>
      <c r="V21" s="295"/>
      <c r="W21" s="326">
        <v>1.5</v>
      </c>
      <c r="X21" s="326">
        <v>2.2000000000000002</v>
      </c>
      <c r="Z21" s="320"/>
      <c r="AA21" s="330" t="s">
        <v>500</v>
      </c>
      <c r="AB21" s="298">
        <f>VIN/10</f>
        <v>1.2</v>
      </c>
      <c r="AC21" s="298">
        <v>0.69599999999999995</v>
      </c>
      <c r="AD21" s="298">
        <v>1.5</v>
      </c>
      <c r="AE21" s="298">
        <v>60</v>
      </c>
    </row>
    <row r="22" spans="1:68" ht="13.5" thickBot="1" x14ac:dyDescent="0.25">
      <c r="A22" s="213" t="s">
        <v>341</v>
      </c>
      <c r="B22" s="286">
        <f>IF(C19="NO",VLOOKUP(IC,AA6:AE31,4),C22)</f>
        <v>15</v>
      </c>
      <c r="C22" s="276">
        <v>15</v>
      </c>
      <c r="D22" s="282" t="s">
        <v>400</v>
      </c>
      <c r="E22" s="206"/>
      <c r="F22" s="287" t="s">
        <v>383</v>
      </c>
      <c r="G22" s="288">
        <v>28.7</v>
      </c>
      <c r="S22" s="295">
        <v>169</v>
      </c>
      <c r="T22" s="295">
        <v>178</v>
      </c>
      <c r="V22" s="295"/>
      <c r="W22" s="326">
        <v>2.2000000000000002</v>
      </c>
      <c r="X22" s="326">
        <v>3.3</v>
      </c>
      <c r="Z22" s="320"/>
      <c r="AA22" s="298" t="s">
        <v>501</v>
      </c>
      <c r="AB22" s="298">
        <f>VIN/6</f>
        <v>2</v>
      </c>
      <c r="AC22" s="298">
        <v>0.6</v>
      </c>
      <c r="AD22" s="298">
        <v>24</v>
      </c>
      <c r="AE22" s="298">
        <v>60</v>
      </c>
    </row>
    <row r="23" spans="1:68" ht="13.5" thickBot="1" x14ac:dyDescent="0.25">
      <c r="A23" s="289" t="s">
        <v>401</v>
      </c>
      <c r="B23" s="290">
        <f>IF(C19="NO",VLOOKUP(IC,AA6:AE31,5),C23)</f>
        <v>60</v>
      </c>
      <c r="C23" s="291">
        <v>80</v>
      </c>
      <c r="D23" s="292" t="s">
        <v>345</v>
      </c>
      <c r="E23" s="206"/>
      <c r="H23" s="206"/>
      <c r="K23" s="190"/>
      <c r="S23" s="295">
        <v>178</v>
      </c>
      <c r="T23" s="295">
        <v>180</v>
      </c>
      <c r="V23" s="295"/>
      <c r="W23" s="326">
        <v>3.3</v>
      </c>
      <c r="X23" s="326">
        <v>4.7</v>
      </c>
      <c r="Z23" s="320"/>
      <c r="AA23" s="298" t="s">
        <v>502</v>
      </c>
      <c r="AB23" s="298">
        <f>VIN/6</f>
        <v>2</v>
      </c>
      <c r="AC23" s="298">
        <v>0.6</v>
      </c>
      <c r="AD23" s="298">
        <v>24</v>
      </c>
      <c r="AE23" s="298">
        <v>60</v>
      </c>
    </row>
    <row r="24" spans="1:68" s="195" customFormat="1" x14ac:dyDescent="0.2">
      <c r="E24" s="293"/>
      <c r="H24" s="293"/>
      <c r="Q24" s="192"/>
      <c r="R24" s="192"/>
      <c r="S24" s="295">
        <v>180</v>
      </c>
      <c r="T24" s="295">
        <v>187</v>
      </c>
      <c r="U24" s="296"/>
      <c r="V24" s="295"/>
      <c r="W24" s="326">
        <v>4.7</v>
      </c>
      <c r="X24" s="326">
        <v>6.8</v>
      </c>
      <c r="Y24" s="296"/>
      <c r="Z24" s="326"/>
      <c r="AA24" s="298" t="s">
        <v>503</v>
      </c>
      <c r="AB24" s="298">
        <f>VIN/6</f>
        <v>2</v>
      </c>
      <c r="AC24" s="298">
        <v>0.6</v>
      </c>
      <c r="AD24" s="298">
        <v>24</v>
      </c>
      <c r="AE24" s="298">
        <v>60</v>
      </c>
      <c r="AF24" s="296"/>
      <c r="AG24" s="296"/>
      <c r="AH24" s="296"/>
      <c r="AI24" s="296"/>
      <c r="AJ24" s="296"/>
      <c r="AK24" s="296"/>
      <c r="AL24" s="296"/>
      <c r="AM24" s="296"/>
      <c r="AN24" s="186"/>
      <c r="AO24" s="186"/>
      <c r="AP24" s="186"/>
      <c r="AQ24" s="186"/>
      <c r="AR24" s="186"/>
      <c r="AS24" s="186"/>
      <c r="AT24" s="186"/>
      <c r="AU24" s="186"/>
      <c r="AV24" s="186"/>
      <c r="AW24" s="186"/>
      <c r="AX24" s="186"/>
      <c r="AY24" s="186"/>
      <c r="AZ24" s="186"/>
      <c r="BA24" s="186"/>
      <c r="BB24" s="186"/>
      <c r="BC24" s="186"/>
      <c r="BD24" s="186"/>
      <c r="BE24" s="186"/>
      <c r="BF24" s="186"/>
      <c r="BG24" s="186"/>
      <c r="BH24" s="293"/>
      <c r="BI24" s="293"/>
      <c r="BJ24" s="293"/>
      <c r="BK24" s="293"/>
      <c r="BL24" s="293"/>
      <c r="BM24" s="293"/>
      <c r="BN24" s="293"/>
      <c r="BO24" s="293"/>
      <c r="BP24" s="293"/>
    </row>
    <row r="25" spans="1:68" s="195" customFormat="1" x14ac:dyDescent="0.2">
      <c r="E25" s="293"/>
      <c r="H25" s="293"/>
      <c r="Q25" s="192"/>
      <c r="R25" s="192"/>
      <c r="S25" s="295">
        <v>187</v>
      </c>
      <c r="T25" s="295">
        <v>196</v>
      </c>
      <c r="U25" s="296"/>
      <c r="V25" s="295"/>
      <c r="W25" s="326">
        <v>6.8</v>
      </c>
      <c r="X25" s="326">
        <v>10</v>
      </c>
      <c r="Y25" s="296"/>
      <c r="Z25" s="326"/>
      <c r="AA25" s="193" t="s">
        <v>504</v>
      </c>
      <c r="AB25" s="193">
        <f>VIN/8.5</f>
        <v>1.411764705882353</v>
      </c>
      <c r="AC25" s="193">
        <v>0.6</v>
      </c>
      <c r="AD25" s="193">
        <v>24</v>
      </c>
      <c r="AE25" s="193">
        <v>60</v>
      </c>
      <c r="AF25" s="296"/>
      <c r="AG25" s="296"/>
      <c r="AH25" s="296"/>
      <c r="AI25" s="296"/>
      <c r="AJ25" s="296"/>
      <c r="AK25" s="296"/>
      <c r="AL25" s="296"/>
      <c r="AM25" s="296"/>
      <c r="AN25" s="186"/>
      <c r="AO25" s="186"/>
      <c r="AP25" s="186"/>
      <c r="AQ25" s="186"/>
      <c r="AR25" s="186"/>
      <c r="AS25" s="186"/>
      <c r="AT25" s="186"/>
      <c r="AU25" s="186"/>
      <c r="AV25" s="186"/>
      <c r="AW25" s="186"/>
      <c r="AX25" s="186"/>
      <c r="AY25" s="186"/>
      <c r="AZ25" s="186"/>
      <c r="BA25" s="186"/>
      <c r="BB25" s="186"/>
      <c r="BC25" s="186"/>
      <c r="BD25" s="186"/>
      <c r="BE25" s="186"/>
      <c r="BF25" s="186"/>
      <c r="BG25" s="186"/>
      <c r="BH25" s="293"/>
      <c r="BI25" s="293"/>
      <c r="BJ25" s="293"/>
      <c r="BK25" s="293"/>
      <c r="BL25" s="293"/>
      <c r="BM25" s="293"/>
      <c r="BN25" s="293"/>
      <c r="BO25" s="293"/>
      <c r="BP25" s="293"/>
    </row>
    <row r="26" spans="1:68" s="195" customFormat="1" x14ac:dyDescent="0.2">
      <c r="E26" s="293"/>
      <c r="F26" s="293"/>
      <c r="G26" s="293"/>
      <c r="H26" s="293"/>
      <c r="I26" s="293"/>
      <c r="Q26" s="192"/>
      <c r="R26" s="192"/>
      <c r="S26" s="295">
        <v>196</v>
      </c>
      <c r="T26" s="295">
        <v>200</v>
      </c>
      <c r="U26" s="296"/>
      <c r="V26" s="296"/>
      <c r="W26" s="296"/>
      <c r="X26" s="296"/>
      <c r="Y26" s="296"/>
      <c r="Z26" s="296"/>
      <c r="AA26" s="193" t="s">
        <v>495</v>
      </c>
      <c r="AB26" s="193">
        <f>VIN/6.8</f>
        <v>1.7647058823529411</v>
      </c>
      <c r="AC26" s="193">
        <v>0.6</v>
      </c>
      <c r="AD26" s="193">
        <v>15</v>
      </c>
      <c r="AE26" s="193">
        <v>60</v>
      </c>
      <c r="AF26" s="296"/>
      <c r="AG26" s="296"/>
      <c r="AH26" s="296"/>
      <c r="AI26" s="296"/>
      <c r="AJ26" s="296"/>
      <c r="AK26" s="296"/>
      <c r="AL26" s="296"/>
      <c r="AM26" s="296"/>
      <c r="AN26" s="186"/>
      <c r="AO26" s="186"/>
      <c r="AP26" s="186"/>
      <c r="AQ26" s="186"/>
      <c r="AR26" s="186"/>
      <c r="AS26" s="186"/>
      <c r="AT26" s="186"/>
      <c r="AU26" s="186"/>
      <c r="AV26" s="186"/>
      <c r="AW26" s="186"/>
      <c r="AX26" s="186"/>
      <c r="AY26" s="186"/>
      <c r="AZ26" s="186"/>
      <c r="BA26" s="186"/>
      <c r="BB26" s="186"/>
      <c r="BC26" s="186"/>
      <c r="BD26" s="186"/>
      <c r="BE26" s="186"/>
      <c r="BF26" s="186"/>
      <c r="BG26" s="186"/>
      <c r="BH26" s="293"/>
      <c r="BI26" s="293"/>
      <c r="BJ26" s="293"/>
      <c r="BK26" s="293"/>
      <c r="BL26" s="293"/>
      <c r="BM26" s="293"/>
      <c r="BN26" s="293"/>
      <c r="BO26" s="293"/>
      <c r="BP26" s="293"/>
    </row>
    <row r="27" spans="1:68" s="195" customFormat="1" x14ac:dyDescent="0.2">
      <c r="E27" s="293"/>
      <c r="F27" s="293"/>
      <c r="G27" s="293"/>
      <c r="H27" s="293"/>
      <c r="I27" s="293"/>
      <c r="Q27" s="192"/>
      <c r="R27" s="192"/>
      <c r="S27" s="295">
        <v>200</v>
      </c>
      <c r="T27" s="295">
        <v>205</v>
      </c>
      <c r="U27" s="296"/>
      <c r="V27" s="296"/>
      <c r="W27" s="296"/>
      <c r="X27" s="296"/>
      <c r="Y27" s="296"/>
      <c r="Z27" s="295"/>
      <c r="AA27" s="193" t="s">
        <v>505</v>
      </c>
      <c r="AB27" s="193">
        <f>VIN/8.2</f>
        <v>1.4634146341463417</v>
      </c>
      <c r="AC27" s="193">
        <v>0.6</v>
      </c>
      <c r="AD27" s="193">
        <v>24</v>
      </c>
      <c r="AE27" s="193">
        <v>80</v>
      </c>
      <c r="AF27" s="296"/>
      <c r="AG27" s="296"/>
      <c r="AH27" s="296"/>
      <c r="AI27" s="296"/>
      <c r="AJ27" s="296"/>
      <c r="AK27" s="296"/>
      <c r="AL27" s="296"/>
      <c r="AM27" s="296"/>
      <c r="AN27" s="186"/>
      <c r="AO27" s="186"/>
      <c r="AP27" s="186"/>
      <c r="AQ27" s="186"/>
      <c r="AR27" s="186"/>
      <c r="AS27" s="186"/>
      <c r="AT27" s="186"/>
      <c r="AU27" s="186"/>
      <c r="AV27" s="186"/>
      <c r="AW27" s="186"/>
      <c r="AX27" s="186"/>
      <c r="AY27" s="186"/>
      <c r="AZ27" s="186"/>
      <c r="BA27" s="186"/>
      <c r="BB27" s="186"/>
      <c r="BC27" s="186"/>
      <c r="BD27" s="186"/>
      <c r="BE27" s="186"/>
      <c r="BF27" s="186"/>
      <c r="BG27" s="186"/>
      <c r="BH27" s="293"/>
      <c r="BI27" s="293"/>
      <c r="BJ27" s="293"/>
      <c r="BK27" s="293"/>
      <c r="BL27" s="293"/>
      <c r="BM27" s="293"/>
      <c r="BN27" s="293"/>
      <c r="BO27" s="293"/>
      <c r="BP27" s="293"/>
    </row>
    <row r="28" spans="1:68" s="195" customFormat="1" x14ac:dyDescent="0.2">
      <c r="E28" s="293"/>
      <c r="Q28" s="192"/>
      <c r="R28" s="192"/>
      <c r="S28" s="295">
        <v>205</v>
      </c>
      <c r="T28" s="295">
        <v>215</v>
      </c>
      <c r="U28" s="317"/>
      <c r="V28" s="296"/>
      <c r="W28" s="296"/>
      <c r="X28" s="296"/>
      <c r="Y28" s="296"/>
      <c r="Z28" s="296"/>
      <c r="AA28" s="193" t="s">
        <v>506</v>
      </c>
      <c r="AB28" s="193">
        <f>VIN/10</f>
        <v>1.2</v>
      </c>
      <c r="AC28" s="193">
        <v>0.6</v>
      </c>
      <c r="AD28" s="193">
        <v>50</v>
      </c>
      <c r="AE28" s="193">
        <v>80</v>
      </c>
      <c r="AF28" s="296"/>
      <c r="AG28" s="296"/>
      <c r="AH28" s="296"/>
      <c r="AI28" s="296"/>
      <c r="AJ28" s="296"/>
      <c r="AK28" s="296"/>
      <c r="AL28" s="296"/>
      <c r="AM28" s="296"/>
      <c r="AN28" s="186"/>
      <c r="AO28" s="186"/>
      <c r="AP28" s="186"/>
      <c r="AQ28" s="186"/>
      <c r="AR28" s="186"/>
      <c r="AS28" s="186"/>
      <c r="AT28" s="186"/>
      <c r="AU28" s="186"/>
      <c r="AV28" s="186"/>
      <c r="AW28" s="186"/>
      <c r="AX28" s="186"/>
      <c r="AY28" s="186"/>
      <c r="AZ28" s="186"/>
      <c r="BA28" s="186"/>
      <c r="BB28" s="186"/>
      <c r="BC28" s="186"/>
      <c r="BD28" s="186"/>
      <c r="BE28" s="186"/>
      <c r="BF28" s="186"/>
      <c r="BG28" s="186"/>
      <c r="BH28" s="293"/>
      <c r="BI28" s="293"/>
      <c r="BJ28" s="293"/>
      <c r="BK28" s="293"/>
      <c r="BL28" s="293"/>
      <c r="BM28" s="293"/>
      <c r="BN28" s="293"/>
      <c r="BO28" s="293"/>
      <c r="BP28" s="293"/>
    </row>
    <row r="29" spans="1:68" s="195" customFormat="1" x14ac:dyDescent="0.2">
      <c r="E29" s="293"/>
      <c r="Q29" s="192"/>
      <c r="R29" s="192"/>
      <c r="S29" s="295">
        <v>215</v>
      </c>
      <c r="T29" s="295">
        <v>220</v>
      </c>
      <c r="U29" s="296"/>
      <c r="V29" s="296"/>
      <c r="W29" s="296"/>
      <c r="X29" s="296"/>
      <c r="Y29" s="296"/>
      <c r="Z29" s="296"/>
      <c r="AA29" s="193" t="s">
        <v>507</v>
      </c>
      <c r="AB29" s="193">
        <f>VIN/10</f>
        <v>1.2</v>
      </c>
      <c r="AC29" s="193">
        <v>0.6</v>
      </c>
      <c r="AD29" s="193">
        <v>50</v>
      </c>
      <c r="AE29" s="193">
        <v>80</v>
      </c>
      <c r="AF29" s="296"/>
      <c r="AG29" s="296"/>
      <c r="AH29" s="296"/>
      <c r="AI29" s="296"/>
      <c r="AJ29" s="296"/>
      <c r="AK29" s="296"/>
      <c r="AL29" s="296"/>
      <c r="AM29" s="296"/>
      <c r="AN29" s="186"/>
      <c r="AO29" s="186"/>
      <c r="AP29" s="186"/>
      <c r="AQ29" s="186"/>
      <c r="AR29" s="186"/>
      <c r="AS29" s="186"/>
      <c r="AT29" s="186"/>
      <c r="AU29" s="186"/>
      <c r="AV29" s="186"/>
      <c r="AW29" s="186"/>
      <c r="AX29" s="186"/>
      <c r="AY29" s="186"/>
      <c r="AZ29" s="186"/>
      <c r="BA29" s="186"/>
      <c r="BB29" s="186"/>
      <c r="BC29" s="186"/>
      <c r="BD29" s="186"/>
      <c r="BE29" s="186"/>
      <c r="BF29" s="186"/>
      <c r="BG29" s="186"/>
      <c r="BH29" s="293"/>
      <c r="BI29" s="293"/>
      <c r="BJ29" s="293"/>
      <c r="BK29" s="293"/>
      <c r="BL29" s="293"/>
      <c r="BM29" s="293"/>
      <c r="BN29" s="293"/>
      <c r="BO29" s="293"/>
      <c r="BP29" s="293"/>
    </row>
    <row r="30" spans="1:68" s="195" customFormat="1" x14ac:dyDescent="0.2">
      <c r="B30" s="294"/>
      <c r="C30" s="294"/>
      <c r="D30" s="294"/>
      <c r="Q30" s="192"/>
      <c r="R30" s="192"/>
      <c r="S30" s="295">
        <v>220</v>
      </c>
      <c r="T30" s="295">
        <v>226</v>
      </c>
      <c r="U30" s="296"/>
      <c r="V30" s="296"/>
      <c r="W30" s="296"/>
      <c r="X30" s="296"/>
      <c r="Y30" s="296"/>
      <c r="Z30" s="296"/>
      <c r="AA30" s="298" t="s">
        <v>508</v>
      </c>
      <c r="AB30" s="298">
        <f>VIN/6</f>
        <v>2</v>
      </c>
      <c r="AC30" s="298">
        <v>0.6</v>
      </c>
      <c r="AD30" s="298">
        <v>24</v>
      </c>
      <c r="AE30" s="298">
        <v>60</v>
      </c>
      <c r="AF30" s="296"/>
      <c r="AG30" s="296"/>
      <c r="AH30" s="296"/>
      <c r="AI30" s="296"/>
      <c r="AJ30" s="296"/>
      <c r="AK30" s="296"/>
      <c r="AL30" s="296"/>
      <c r="AM30" s="296"/>
      <c r="AN30" s="186"/>
      <c r="AO30" s="186"/>
      <c r="AP30" s="186"/>
      <c r="AQ30" s="186"/>
      <c r="AR30" s="186"/>
      <c r="AS30" s="186"/>
      <c r="AT30" s="186"/>
      <c r="AU30" s="186"/>
      <c r="AV30" s="186"/>
      <c r="AW30" s="186"/>
      <c r="AX30" s="186"/>
      <c r="AY30" s="186"/>
      <c r="AZ30" s="186"/>
      <c r="BA30" s="186"/>
      <c r="BB30" s="186"/>
      <c r="BC30" s="186"/>
      <c r="BD30" s="186"/>
      <c r="BE30" s="186"/>
      <c r="BF30" s="186"/>
      <c r="BG30" s="186"/>
      <c r="BH30" s="293"/>
      <c r="BI30" s="293"/>
      <c r="BJ30" s="293"/>
      <c r="BK30" s="293"/>
      <c r="BL30" s="293"/>
      <c r="BM30" s="293"/>
      <c r="BN30" s="293"/>
      <c r="BO30" s="293"/>
      <c r="BP30" s="293"/>
    </row>
    <row r="31" spans="1:68" s="195" customFormat="1" x14ac:dyDescent="0.2">
      <c r="Q31" s="192"/>
      <c r="R31" s="192"/>
      <c r="S31" s="295">
        <v>226</v>
      </c>
      <c r="T31" s="295">
        <v>237</v>
      </c>
      <c r="U31" s="296"/>
      <c r="V31" s="296"/>
      <c r="W31" s="296"/>
      <c r="X31" s="331"/>
      <c r="Y31" s="296"/>
      <c r="Z31" s="296"/>
      <c r="AA31" s="298" t="s">
        <v>509</v>
      </c>
      <c r="AB31" s="298">
        <f>VIN/6</f>
        <v>2</v>
      </c>
      <c r="AC31" s="298">
        <v>0.6</v>
      </c>
      <c r="AD31" s="298">
        <v>24</v>
      </c>
      <c r="AE31" s="298">
        <v>60</v>
      </c>
      <c r="AF31" s="296"/>
      <c r="AG31" s="296"/>
      <c r="AH31" s="296"/>
      <c r="AI31" s="296"/>
      <c r="AJ31" s="296"/>
      <c r="AK31" s="296"/>
      <c r="AL31" s="296"/>
      <c r="AM31" s="296"/>
      <c r="AN31" s="186"/>
      <c r="AO31" s="186"/>
      <c r="AP31" s="186"/>
      <c r="AQ31" s="186"/>
      <c r="AR31" s="186"/>
      <c r="AS31" s="186"/>
      <c r="AT31" s="186"/>
      <c r="AU31" s="186"/>
      <c r="AV31" s="186"/>
      <c r="AW31" s="186"/>
      <c r="AX31" s="186"/>
      <c r="AY31" s="186"/>
      <c r="AZ31" s="186"/>
      <c r="BA31" s="186"/>
      <c r="BB31" s="186"/>
      <c r="BC31" s="186"/>
      <c r="BD31" s="186"/>
      <c r="BE31" s="186"/>
      <c r="BF31" s="186"/>
      <c r="BG31" s="186"/>
      <c r="BH31" s="293"/>
      <c r="BI31" s="293"/>
      <c r="BJ31" s="293"/>
      <c r="BK31" s="293"/>
      <c r="BL31" s="293"/>
      <c r="BM31" s="293"/>
      <c r="BN31" s="293"/>
      <c r="BO31" s="293"/>
      <c r="BP31" s="293"/>
    </row>
    <row r="32" spans="1:68" s="195" customFormat="1" x14ac:dyDescent="0.2">
      <c r="Q32" s="192"/>
      <c r="R32" s="192"/>
      <c r="S32" s="295">
        <v>237</v>
      </c>
      <c r="T32" s="295">
        <v>240</v>
      </c>
      <c r="U32" s="296"/>
      <c r="V32" s="296"/>
      <c r="W32" s="296"/>
      <c r="X32" s="331"/>
      <c r="Y32" s="296"/>
      <c r="Z32" s="296"/>
      <c r="AA32" s="322"/>
      <c r="AB32" s="332"/>
      <c r="AC32" s="298"/>
      <c r="AD32" s="322"/>
      <c r="AE32" s="322"/>
      <c r="AF32" s="296"/>
      <c r="AG32" s="296"/>
      <c r="AH32" s="296"/>
      <c r="AI32" s="296"/>
      <c r="AJ32" s="296"/>
      <c r="AK32" s="296"/>
      <c r="AL32" s="296"/>
      <c r="AM32" s="296"/>
      <c r="AN32" s="186"/>
      <c r="AO32" s="186"/>
      <c r="AP32" s="186"/>
      <c r="AQ32" s="186"/>
      <c r="AR32" s="186"/>
      <c r="AS32" s="186"/>
      <c r="AT32" s="186"/>
      <c r="AU32" s="186"/>
      <c r="AV32" s="186"/>
      <c r="AW32" s="186"/>
      <c r="AX32" s="186"/>
      <c r="AY32" s="186"/>
      <c r="AZ32" s="186"/>
      <c r="BA32" s="186"/>
      <c r="BB32" s="186"/>
      <c r="BC32" s="186"/>
      <c r="BD32" s="186"/>
      <c r="BE32" s="186"/>
      <c r="BF32" s="186"/>
      <c r="BG32" s="186"/>
      <c r="BH32" s="293"/>
      <c r="BI32" s="293"/>
      <c r="BJ32" s="293"/>
      <c r="BK32" s="293"/>
      <c r="BL32" s="293"/>
      <c r="BM32" s="293"/>
      <c r="BN32" s="293"/>
      <c r="BO32" s="293"/>
      <c r="BP32" s="293"/>
    </row>
    <row r="33" spans="1:68" s="195" customFormat="1" x14ac:dyDescent="0.2">
      <c r="D33" s="294"/>
      <c r="Q33" s="192"/>
      <c r="R33" s="192"/>
      <c r="S33" s="295">
        <v>240</v>
      </c>
      <c r="T33" s="295">
        <v>249</v>
      </c>
      <c r="U33" s="296"/>
      <c r="V33" s="296"/>
      <c r="W33" s="296"/>
      <c r="X33" s="296"/>
      <c r="Y33" s="296"/>
      <c r="Z33" s="296"/>
      <c r="AA33" s="322"/>
      <c r="AB33" s="332"/>
      <c r="AC33" s="298"/>
      <c r="AD33" s="322"/>
      <c r="AE33" s="322"/>
      <c r="AF33" s="296"/>
      <c r="AG33" s="296"/>
      <c r="AH33" s="296"/>
      <c r="AI33" s="296"/>
      <c r="AJ33" s="296"/>
      <c r="AK33" s="296"/>
      <c r="AL33" s="296"/>
      <c r="AM33" s="296"/>
      <c r="AN33" s="186"/>
      <c r="AO33" s="186"/>
      <c r="AP33" s="186"/>
      <c r="AQ33" s="186"/>
      <c r="AR33" s="186"/>
      <c r="AS33" s="186"/>
      <c r="AT33" s="186"/>
      <c r="AU33" s="186"/>
      <c r="AV33" s="186"/>
      <c r="AW33" s="186"/>
      <c r="AX33" s="186"/>
      <c r="AY33" s="186"/>
      <c r="AZ33" s="186"/>
      <c r="BA33" s="186"/>
      <c r="BB33" s="186"/>
      <c r="BC33" s="186"/>
      <c r="BD33" s="186"/>
      <c r="BE33" s="186"/>
      <c r="BF33" s="186"/>
      <c r="BG33" s="186"/>
      <c r="BH33" s="293"/>
      <c r="BI33" s="293"/>
      <c r="BJ33" s="293"/>
      <c r="BK33" s="293"/>
      <c r="BL33" s="293"/>
      <c r="BM33" s="293"/>
      <c r="BN33" s="293"/>
      <c r="BO33" s="293"/>
      <c r="BP33" s="293"/>
    </row>
    <row r="34" spans="1:68" s="195" customFormat="1" x14ac:dyDescent="0.2">
      <c r="D34" s="294"/>
      <c r="Q34" s="192"/>
      <c r="R34" s="192"/>
      <c r="S34" s="295">
        <v>249</v>
      </c>
      <c r="T34" s="295">
        <v>261</v>
      </c>
      <c r="U34" s="296"/>
      <c r="V34" s="296"/>
      <c r="W34" s="296"/>
      <c r="X34" s="296"/>
      <c r="Y34" s="296"/>
      <c r="Z34" s="296"/>
      <c r="AA34" s="322"/>
      <c r="AB34" s="332"/>
      <c r="AC34" s="298"/>
      <c r="AD34" s="322"/>
      <c r="AE34" s="322"/>
      <c r="AF34" s="296"/>
      <c r="AG34" s="296"/>
      <c r="AH34" s="296"/>
      <c r="AI34" s="296"/>
      <c r="AJ34" s="296"/>
      <c r="AK34" s="296"/>
      <c r="AL34" s="296"/>
      <c r="AM34" s="296"/>
      <c r="AN34" s="186"/>
      <c r="AO34" s="186"/>
      <c r="AP34" s="186"/>
      <c r="AQ34" s="186"/>
      <c r="AR34" s="186"/>
      <c r="AS34" s="186"/>
      <c r="AT34" s="186"/>
      <c r="AU34" s="186"/>
      <c r="AV34" s="186"/>
      <c r="AW34" s="186"/>
      <c r="AX34" s="186"/>
      <c r="AY34" s="186"/>
      <c r="AZ34" s="186"/>
      <c r="BA34" s="186"/>
      <c r="BB34" s="186"/>
      <c r="BC34" s="186"/>
      <c r="BD34" s="186"/>
      <c r="BE34" s="186"/>
      <c r="BF34" s="186"/>
      <c r="BG34" s="186"/>
      <c r="BH34" s="293"/>
      <c r="BI34" s="293"/>
      <c r="BJ34" s="293"/>
      <c r="BK34" s="293"/>
      <c r="BL34" s="293"/>
      <c r="BM34" s="293"/>
      <c r="BN34" s="293"/>
      <c r="BO34" s="293"/>
      <c r="BP34" s="293"/>
    </row>
    <row r="35" spans="1:68" s="195" customFormat="1" x14ac:dyDescent="0.2">
      <c r="Q35" s="192"/>
      <c r="R35" s="192"/>
      <c r="S35" s="295">
        <v>261</v>
      </c>
      <c r="T35" s="295">
        <v>270</v>
      </c>
      <c r="U35" s="296"/>
      <c r="V35" s="296"/>
      <c r="W35" s="296"/>
      <c r="X35" s="296"/>
      <c r="Y35" s="296"/>
      <c r="Z35" s="296"/>
      <c r="AA35" s="322"/>
      <c r="AB35" s="297"/>
      <c r="AC35" s="298"/>
      <c r="AD35" s="322"/>
      <c r="AE35" s="322"/>
      <c r="AF35" s="296"/>
      <c r="AG35" s="296"/>
      <c r="AH35" s="296"/>
      <c r="AI35" s="296"/>
      <c r="AJ35" s="296"/>
      <c r="AK35" s="296"/>
      <c r="AL35" s="296"/>
      <c r="AM35" s="296"/>
      <c r="AN35" s="186"/>
      <c r="AO35" s="186"/>
      <c r="AP35" s="186"/>
      <c r="AQ35" s="186"/>
      <c r="AR35" s="186"/>
      <c r="AS35" s="186"/>
      <c r="AT35" s="186"/>
      <c r="AU35" s="186"/>
      <c r="AV35" s="186"/>
      <c r="AW35" s="186"/>
      <c r="AX35" s="186"/>
      <c r="AY35" s="186"/>
      <c r="AZ35" s="186"/>
      <c r="BA35" s="186"/>
      <c r="BB35" s="186"/>
      <c r="BC35" s="186"/>
      <c r="BD35" s="186"/>
      <c r="BE35" s="186"/>
      <c r="BF35" s="186"/>
      <c r="BG35" s="186"/>
      <c r="BH35" s="293"/>
      <c r="BI35" s="293"/>
      <c r="BJ35" s="293"/>
      <c r="BK35" s="293"/>
      <c r="BL35" s="293"/>
      <c r="BM35" s="293"/>
      <c r="BN35" s="293"/>
      <c r="BO35" s="293"/>
      <c r="BP35" s="293"/>
    </row>
    <row r="36" spans="1:68" s="195" customFormat="1" x14ac:dyDescent="0.2">
      <c r="Q36" s="192"/>
      <c r="R36" s="192"/>
      <c r="S36" s="295">
        <v>270</v>
      </c>
      <c r="T36" s="295">
        <v>274</v>
      </c>
      <c r="U36" s="317"/>
      <c r="V36" s="333"/>
      <c r="W36" s="296"/>
      <c r="X36" s="296"/>
      <c r="Y36" s="334"/>
      <c r="Z36" s="296"/>
      <c r="AA36" s="322"/>
      <c r="AB36" s="332"/>
      <c r="AC36" s="298"/>
      <c r="AD36" s="322"/>
      <c r="AE36" s="322"/>
      <c r="AF36" s="296"/>
      <c r="AG36" s="296"/>
      <c r="AH36" s="296"/>
      <c r="AI36" s="296"/>
      <c r="AJ36" s="296"/>
      <c r="AK36" s="296"/>
      <c r="AL36" s="296"/>
      <c r="AM36" s="296"/>
      <c r="AN36" s="186"/>
      <c r="AO36" s="186"/>
      <c r="AP36" s="186"/>
      <c r="AQ36" s="186"/>
      <c r="AR36" s="186"/>
      <c r="AS36" s="186"/>
      <c r="AT36" s="186"/>
      <c r="AU36" s="186"/>
      <c r="AV36" s="186"/>
      <c r="AW36" s="186"/>
      <c r="AX36" s="186"/>
      <c r="AY36" s="186"/>
      <c r="AZ36" s="186"/>
      <c r="BA36" s="186"/>
      <c r="BB36" s="186"/>
      <c r="BC36" s="186"/>
      <c r="BD36" s="186"/>
      <c r="BE36" s="186"/>
      <c r="BF36" s="186"/>
      <c r="BG36" s="186"/>
      <c r="BH36" s="293"/>
      <c r="BI36" s="293"/>
      <c r="BJ36" s="293"/>
      <c r="BK36" s="293"/>
      <c r="BL36" s="293"/>
      <c r="BM36" s="293"/>
      <c r="BN36" s="293"/>
      <c r="BO36" s="293"/>
      <c r="BP36" s="293"/>
    </row>
    <row r="37" spans="1:68" s="195" customFormat="1" x14ac:dyDescent="0.2">
      <c r="Q37" s="192"/>
      <c r="R37" s="192"/>
      <c r="S37" s="295">
        <v>274</v>
      </c>
      <c r="T37" s="295">
        <v>287</v>
      </c>
      <c r="U37" s="296"/>
      <c r="V37" s="296"/>
      <c r="W37" s="296"/>
      <c r="X37" s="296"/>
      <c r="Y37" s="334"/>
      <c r="Z37" s="296"/>
      <c r="AA37" s="296"/>
      <c r="AB37" s="332"/>
      <c r="AC37" s="298"/>
      <c r="AD37" s="296"/>
      <c r="AE37" s="296"/>
      <c r="AF37" s="296"/>
      <c r="AG37" s="296"/>
      <c r="AH37" s="296"/>
      <c r="AI37" s="296"/>
      <c r="AJ37" s="296"/>
      <c r="AK37" s="296"/>
      <c r="AL37" s="296"/>
      <c r="AM37" s="296"/>
      <c r="AN37" s="186"/>
      <c r="AO37" s="186"/>
      <c r="AP37" s="186"/>
      <c r="AQ37" s="186"/>
      <c r="AR37" s="186"/>
      <c r="AS37" s="186"/>
      <c r="AT37" s="186"/>
      <c r="AU37" s="186"/>
      <c r="AV37" s="186"/>
      <c r="AW37" s="186"/>
      <c r="AX37" s="186"/>
      <c r="AY37" s="186"/>
      <c r="AZ37" s="186"/>
      <c r="BA37" s="186"/>
      <c r="BB37" s="186"/>
      <c r="BC37" s="186"/>
      <c r="BD37" s="186"/>
      <c r="BE37" s="186"/>
      <c r="BF37" s="186"/>
      <c r="BG37" s="186"/>
      <c r="BH37" s="293"/>
      <c r="BI37" s="293"/>
      <c r="BJ37" s="293"/>
      <c r="BK37" s="293"/>
      <c r="BL37" s="293"/>
      <c r="BM37" s="293"/>
      <c r="BN37" s="293"/>
      <c r="BO37" s="293"/>
      <c r="BP37" s="293"/>
    </row>
    <row r="38" spans="1:68" s="195" customFormat="1" x14ac:dyDescent="0.2">
      <c r="Q38" s="192"/>
      <c r="R38" s="192"/>
      <c r="S38" s="295">
        <v>287</v>
      </c>
      <c r="T38" s="295">
        <v>300</v>
      </c>
      <c r="U38" s="296"/>
      <c r="V38" s="296"/>
      <c r="W38" s="296"/>
      <c r="X38" s="296"/>
      <c r="Y38" s="334"/>
      <c r="Z38" s="296"/>
      <c r="AA38" s="296"/>
      <c r="AB38" s="332"/>
      <c r="AC38" s="298"/>
      <c r="AD38" s="296"/>
      <c r="AE38" s="296"/>
      <c r="AF38" s="296"/>
      <c r="AG38" s="296"/>
      <c r="AH38" s="296"/>
      <c r="AI38" s="296"/>
      <c r="AJ38" s="296"/>
      <c r="AK38" s="296"/>
      <c r="AL38" s="296"/>
      <c r="AM38" s="296"/>
      <c r="AN38" s="186"/>
      <c r="AO38" s="186"/>
      <c r="AP38" s="186"/>
      <c r="AQ38" s="186"/>
      <c r="AR38" s="186"/>
      <c r="AS38" s="186"/>
      <c r="AT38" s="186"/>
      <c r="AU38" s="186"/>
      <c r="AV38" s="186"/>
      <c r="AW38" s="186"/>
      <c r="AX38" s="186"/>
      <c r="AY38" s="186"/>
      <c r="AZ38" s="186"/>
      <c r="BA38" s="186"/>
      <c r="BB38" s="186"/>
      <c r="BC38" s="186"/>
      <c r="BD38" s="186"/>
      <c r="BE38" s="186"/>
      <c r="BF38" s="186"/>
      <c r="BG38" s="186"/>
      <c r="BH38" s="293"/>
      <c r="BI38" s="293"/>
      <c r="BJ38" s="293"/>
      <c r="BK38" s="293"/>
      <c r="BL38" s="293"/>
      <c r="BM38" s="293"/>
      <c r="BN38" s="293"/>
      <c r="BO38" s="293"/>
      <c r="BP38" s="293"/>
    </row>
    <row r="39" spans="1:68" s="195" customFormat="1" x14ac:dyDescent="0.2">
      <c r="Q39" s="192"/>
      <c r="R39" s="192"/>
      <c r="S39" s="295">
        <v>300</v>
      </c>
      <c r="T39" s="295">
        <v>301</v>
      </c>
      <c r="U39" s="296"/>
      <c r="V39" s="296"/>
      <c r="W39" s="296"/>
      <c r="X39" s="331"/>
      <c r="Y39" s="296"/>
      <c r="Z39" s="296"/>
      <c r="AA39" s="296"/>
      <c r="AB39" s="297"/>
      <c r="AC39" s="298"/>
      <c r="AD39" s="296"/>
      <c r="AE39" s="296"/>
      <c r="AF39" s="296"/>
      <c r="AG39" s="296"/>
      <c r="AH39" s="296"/>
      <c r="AI39" s="296"/>
      <c r="AJ39" s="296"/>
      <c r="AK39" s="296"/>
      <c r="AL39" s="296"/>
      <c r="AM39" s="296"/>
      <c r="AN39" s="186"/>
      <c r="AO39" s="186"/>
      <c r="AP39" s="186"/>
      <c r="AQ39" s="186"/>
      <c r="AR39" s="186"/>
      <c r="AS39" s="186"/>
      <c r="AT39" s="186"/>
      <c r="AU39" s="186"/>
      <c r="AV39" s="186"/>
      <c r="AW39" s="186"/>
      <c r="AX39" s="186"/>
      <c r="AY39" s="186"/>
      <c r="AZ39" s="186"/>
      <c r="BA39" s="186"/>
      <c r="BB39" s="186"/>
      <c r="BC39" s="186"/>
      <c r="BD39" s="186"/>
      <c r="BE39" s="186"/>
      <c r="BF39" s="186"/>
      <c r="BG39" s="186"/>
      <c r="BH39" s="293"/>
      <c r="BI39" s="293"/>
      <c r="BJ39" s="293"/>
      <c r="BK39" s="293"/>
      <c r="BL39" s="293"/>
      <c r="BM39" s="293"/>
      <c r="BN39" s="293"/>
      <c r="BO39" s="293"/>
      <c r="BP39" s="293"/>
    </row>
    <row r="40" spans="1:68" s="195" customFormat="1" x14ac:dyDescent="0.2">
      <c r="Q40" s="192"/>
      <c r="R40" s="192"/>
      <c r="S40" s="295">
        <v>301</v>
      </c>
      <c r="T40" s="295">
        <v>316</v>
      </c>
      <c r="U40" s="296"/>
      <c r="V40" s="296"/>
      <c r="W40" s="296"/>
      <c r="X40" s="331"/>
      <c r="Y40" s="296"/>
      <c r="Z40" s="296"/>
      <c r="AA40" s="296"/>
      <c r="AB40" s="332"/>
      <c r="AC40" s="298"/>
      <c r="AD40" s="296"/>
      <c r="AE40" s="296"/>
      <c r="AF40" s="296"/>
      <c r="AG40" s="296"/>
      <c r="AH40" s="296"/>
      <c r="AI40" s="296"/>
      <c r="AJ40" s="296"/>
      <c r="AK40" s="296"/>
      <c r="AL40" s="296"/>
      <c r="AM40" s="296"/>
      <c r="AN40" s="186"/>
      <c r="AO40" s="186"/>
      <c r="AP40" s="186"/>
      <c r="AQ40" s="186"/>
      <c r="AR40" s="186"/>
      <c r="AS40" s="186"/>
      <c r="AT40" s="186"/>
      <c r="AU40" s="186"/>
      <c r="AV40" s="186"/>
      <c r="AW40" s="186"/>
      <c r="AX40" s="186"/>
      <c r="AY40" s="186"/>
      <c r="AZ40" s="186"/>
      <c r="BA40" s="186"/>
      <c r="BB40" s="186"/>
      <c r="BC40" s="186"/>
      <c r="BD40" s="186"/>
      <c r="BE40" s="186"/>
      <c r="BF40" s="186"/>
      <c r="BG40" s="186"/>
      <c r="BH40" s="293"/>
      <c r="BI40" s="293"/>
      <c r="BJ40" s="293"/>
      <c r="BK40" s="293"/>
      <c r="BL40" s="293"/>
      <c r="BM40" s="293"/>
      <c r="BN40" s="293"/>
      <c r="BO40" s="293"/>
      <c r="BP40" s="293"/>
    </row>
    <row r="41" spans="1:68" s="195" customFormat="1" x14ac:dyDescent="0.2">
      <c r="Q41" s="192"/>
      <c r="R41" s="192"/>
      <c r="S41" s="295">
        <v>316</v>
      </c>
      <c r="T41" s="295">
        <v>330</v>
      </c>
      <c r="U41" s="296"/>
      <c r="V41" s="296"/>
      <c r="W41" s="296"/>
      <c r="X41" s="331"/>
      <c r="Y41" s="296"/>
      <c r="Z41" s="296"/>
      <c r="AA41" s="296"/>
      <c r="AB41" s="332"/>
      <c r="AC41" s="298"/>
      <c r="AD41" s="296"/>
      <c r="AE41" s="296"/>
      <c r="AF41" s="296"/>
      <c r="AG41" s="296"/>
      <c r="AH41" s="296"/>
      <c r="AI41" s="296"/>
      <c r="AJ41" s="296"/>
      <c r="AK41" s="296"/>
      <c r="AL41" s="296"/>
      <c r="AM41" s="296"/>
      <c r="AN41" s="186"/>
      <c r="AO41" s="186"/>
      <c r="AP41" s="186"/>
      <c r="AQ41" s="186"/>
      <c r="AR41" s="186"/>
      <c r="AS41" s="186"/>
      <c r="AT41" s="186"/>
      <c r="AU41" s="186"/>
      <c r="AV41" s="186"/>
      <c r="AW41" s="186"/>
      <c r="AX41" s="186"/>
      <c r="AY41" s="186"/>
      <c r="AZ41" s="186"/>
      <c r="BA41" s="186"/>
      <c r="BB41" s="186"/>
      <c r="BC41" s="186"/>
      <c r="BD41" s="186"/>
      <c r="BE41" s="186"/>
      <c r="BF41" s="186"/>
      <c r="BG41" s="186"/>
      <c r="BH41" s="293"/>
      <c r="BI41" s="293"/>
      <c r="BJ41" s="293"/>
      <c r="BK41" s="293"/>
      <c r="BL41" s="293"/>
      <c r="BM41" s="293"/>
      <c r="BN41" s="293"/>
      <c r="BO41" s="293"/>
      <c r="BP41" s="293"/>
    </row>
    <row r="42" spans="1:68" s="195" customFormat="1" x14ac:dyDescent="0.2">
      <c r="Q42" s="192"/>
      <c r="R42" s="192"/>
      <c r="S42" s="295">
        <v>330</v>
      </c>
      <c r="T42" s="295">
        <v>332</v>
      </c>
      <c r="U42" s="296"/>
      <c r="V42" s="296"/>
      <c r="W42" s="296"/>
      <c r="X42" s="331"/>
      <c r="Y42" s="296"/>
      <c r="Z42" s="296"/>
      <c r="AA42" s="296"/>
      <c r="AB42" s="332"/>
      <c r="AC42" s="298"/>
      <c r="AD42" s="296"/>
      <c r="AE42" s="296"/>
      <c r="AF42" s="296"/>
      <c r="AG42" s="296"/>
      <c r="AH42" s="296"/>
      <c r="AI42" s="296"/>
      <c r="AJ42" s="296"/>
      <c r="AK42" s="296"/>
      <c r="AL42" s="296"/>
      <c r="AM42" s="296"/>
      <c r="AN42" s="186"/>
      <c r="AO42" s="186"/>
      <c r="AP42" s="186"/>
      <c r="AQ42" s="186"/>
      <c r="AR42" s="186"/>
      <c r="AS42" s="186"/>
      <c r="AT42" s="186"/>
      <c r="AU42" s="186"/>
      <c r="AV42" s="186"/>
      <c r="AW42" s="186"/>
      <c r="AX42" s="186"/>
      <c r="AY42" s="186"/>
      <c r="AZ42" s="186"/>
      <c r="BA42" s="186"/>
      <c r="BB42" s="186"/>
      <c r="BC42" s="186"/>
      <c r="BD42" s="186"/>
      <c r="BE42" s="186"/>
      <c r="BF42" s="186"/>
      <c r="BG42" s="186"/>
      <c r="BH42" s="293"/>
      <c r="BI42" s="293"/>
      <c r="BJ42" s="293"/>
      <c r="BK42" s="293"/>
      <c r="BL42" s="293"/>
      <c r="BM42" s="293"/>
      <c r="BN42" s="293"/>
      <c r="BO42" s="293"/>
      <c r="BP42" s="293"/>
    </row>
    <row r="43" spans="1:68" s="192" customFormat="1" x14ac:dyDescent="0.2">
      <c r="S43" s="295">
        <v>332</v>
      </c>
      <c r="T43" s="295">
        <v>348</v>
      </c>
      <c r="U43" s="296"/>
      <c r="V43" s="296"/>
      <c r="W43" s="296"/>
      <c r="X43" s="296"/>
      <c r="Y43" s="296"/>
      <c r="Z43" s="296"/>
      <c r="AA43" s="297"/>
      <c r="AB43" s="297"/>
      <c r="AC43" s="298"/>
      <c r="AD43" s="296"/>
      <c r="AE43" s="296"/>
      <c r="AF43" s="296"/>
      <c r="AG43" s="296"/>
      <c r="AH43" s="296"/>
      <c r="AI43" s="296"/>
      <c r="AJ43" s="296"/>
      <c r="AK43" s="296"/>
      <c r="AL43" s="296"/>
      <c r="AM43" s="296"/>
      <c r="AN43" s="296"/>
      <c r="AO43" s="296"/>
      <c r="AP43" s="296"/>
      <c r="AQ43" s="296"/>
      <c r="AR43" s="296"/>
      <c r="AS43" s="296"/>
      <c r="AT43" s="296"/>
      <c r="AU43" s="296"/>
      <c r="AV43" s="296"/>
      <c r="AW43" s="296"/>
      <c r="AX43" s="296"/>
      <c r="AY43" s="296"/>
      <c r="AZ43" s="296"/>
      <c r="BA43" s="296"/>
      <c r="BB43" s="296"/>
      <c r="BC43" s="296"/>
      <c r="BD43" s="296"/>
      <c r="BE43" s="296"/>
      <c r="BF43" s="296"/>
      <c r="BG43" s="296"/>
      <c r="BH43" s="296"/>
      <c r="BI43" s="296"/>
      <c r="BJ43" s="296"/>
      <c r="BK43" s="296"/>
      <c r="BL43" s="296"/>
      <c r="BM43" s="296"/>
      <c r="BN43" s="296"/>
      <c r="BO43" s="296"/>
      <c r="BP43" s="296"/>
    </row>
    <row r="44" spans="1:68" s="192" customFormat="1" ht="14.25" customHeight="1" x14ac:dyDescent="0.2">
      <c r="S44" s="295">
        <v>348</v>
      </c>
      <c r="T44" s="295">
        <v>360</v>
      </c>
      <c r="U44" s="296"/>
      <c r="V44" s="296"/>
      <c r="W44" s="296"/>
      <c r="X44" s="296"/>
      <c r="Y44" s="296"/>
      <c r="Z44" s="296"/>
      <c r="AA44" s="297"/>
      <c r="AB44" s="297"/>
      <c r="AC44" s="298"/>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row>
    <row r="45" spans="1:68" s="192" customFormat="1" x14ac:dyDescent="0.2">
      <c r="B45" s="296"/>
      <c r="S45" s="295">
        <v>360</v>
      </c>
      <c r="T45" s="295">
        <v>365</v>
      </c>
      <c r="U45" s="296"/>
      <c r="V45" s="296"/>
      <c r="W45" s="296"/>
      <c r="X45" s="296"/>
      <c r="Y45" s="296"/>
      <c r="Z45" s="296"/>
      <c r="AA45" s="297"/>
      <c r="AB45" s="297"/>
      <c r="AC45" s="298"/>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6"/>
      <c r="BJ45" s="296"/>
      <c r="BK45" s="296"/>
      <c r="BL45" s="296"/>
      <c r="BM45" s="296"/>
      <c r="BN45" s="296"/>
      <c r="BO45" s="296"/>
      <c r="BP45" s="296"/>
    </row>
    <row r="46" spans="1:68" s="192" customFormat="1" x14ac:dyDescent="0.2">
      <c r="A46" s="296" t="s">
        <v>371</v>
      </c>
      <c r="B46" s="299">
        <f>IF(D13=0,10^-50,B13*D13)</f>
        <v>9.9999999999999989E-51</v>
      </c>
      <c r="C46" s="300" t="s">
        <v>384</v>
      </c>
      <c r="F46" s="301">
        <f>2*PI()*J19</f>
        <v>375326.19453461142</v>
      </c>
      <c r="S46" s="295">
        <v>365</v>
      </c>
      <c r="T46" s="295">
        <v>383</v>
      </c>
      <c r="U46" s="296"/>
      <c r="V46" s="296"/>
      <c r="W46" s="296"/>
      <c r="X46" s="296"/>
      <c r="Y46" s="296"/>
      <c r="Z46" s="296"/>
      <c r="AA46" s="297"/>
      <c r="AB46" s="297"/>
      <c r="AC46" s="298"/>
      <c r="AD46" s="296"/>
      <c r="AE46" s="296"/>
      <c r="AF46" s="296"/>
      <c r="AG46" s="296"/>
      <c r="AH46" s="296"/>
      <c r="AI46" s="296"/>
      <c r="AJ46" s="296"/>
      <c r="AK46" s="296"/>
      <c r="AL46" s="296"/>
      <c r="AM46" s="296"/>
      <c r="AN46" s="296"/>
      <c r="AO46" s="296"/>
      <c r="AP46" s="296"/>
      <c r="AQ46" s="296"/>
      <c r="AR46" s="296"/>
      <c r="AS46" s="296"/>
      <c r="AT46" s="296"/>
      <c r="AU46" s="296"/>
      <c r="AV46" s="296"/>
      <c r="AW46" s="296"/>
      <c r="AX46" s="296"/>
      <c r="AY46" s="296"/>
      <c r="AZ46" s="296"/>
      <c r="BA46" s="296"/>
      <c r="BB46" s="296"/>
      <c r="BC46" s="296"/>
      <c r="BD46" s="296"/>
      <c r="BE46" s="296"/>
      <c r="BF46" s="296"/>
      <c r="BG46" s="296"/>
      <c r="BH46" s="296"/>
      <c r="BI46" s="296"/>
      <c r="BJ46" s="296"/>
      <c r="BK46" s="296"/>
      <c r="BL46" s="296"/>
      <c r="BM46" s="296"/>
      <c r="BN46" s="296"/>
      <c r="BO46" s="296"/>
      <c r="BP46" s="296"/>
    </row>
    <row r="47" spans="1:68" s="192" customFormat="1" x14ac:dyDescent="0.2">
      <c r="A47" s="296" t="s">
        <v>374</v>
      </c>
      <c r="B47" s="299">
        <f>IF(D13=0,10^50,B14/D13)</f>
        <v>1.0000000000000001E+50</v>
      </c>
      <c r="C47" s="300" t="s">
        <v>385</v>
      </c>
      <c r="F47" s="302">
        <f>20*LOG(VIN/VRAMP*IMABS(IMDIV(IMDIV(IMPRODUCT(ROUT_min,COMPLEX(1,F46*COUT_1*10^-6*ESR_1*10^-3),COMPLEX(1,F46*MLCC*10^-6*MLCC_ESR*10^-3)),IMSUM(-(ROUT_min*ESR_1*10^-3+ROUT_min*MLCC_ESR*10^-3+MLCC_ESR*ESR_1*10^-6)*COUT_1*MLCC*10^-12*F46^2,COMPLEX(1,F46*((ROUT_min+ESR_1*10^-3)*COUT_1*10^-6+(ROUT_min+MLCC_ESR*10^-3)*MLCC*10^-6)))),IMSUM(COMPLEX(DCR_1*10^-3,F46*LOUT_1*10^-6),IMDIV(IMPRODUCT(ROUT_min,COMPLEX(1,F46*COUT_1*10^-6*ESR_1*10^-3),COMPLEX(1,F46*MLCC*10^-6*MLCC_ESR*10^-3)),IMSUM(-(ROUT_min*ESR_1*10^-3+ROUT_min*MLCC_ESR*10^-3+MLCC_ESR*ESR_1*10^-6)*COUT_1*MLCC*10^-12*F46^2,COMPLEX(1,F46*((ROUT_min+ESR_1*10^-3)*COUT_1*10^-6+(ROUT_min+MLCC_ESR*10^-3)*MLCC*10^-6))))))))</f>
        <v>-14.877970443482733</v>
      </c>
      <c r="H47" s="192" t="str">
        <f>IMDIV(IMPRODUCT(IMDIV(IMPRODUCT(IMSUM(IMDIV(1,COMPLEX(0,F46*COUT_1*10^-6)),ESR_1*10^-3),IMSUM(IMDIV(1,COMPLEX(0,F46*MLCC*10^-6)),MLCC_ESR*10^-3)),IMSUM(IMSUM(IMDIV(1,COMPLEX(0,F46*COUT_1*10^-6)),ESR_1*10^-3),IMSUM(IMDIV(1,COMPLEX(0,F46*MLCC*10^-6)),MLCC_ESR*10^-3))),VOUT_1/IOUT_max),IMSUM(IMDIV(IMPRODUCT(IMSUM(IMDIV(1,COMPLEX(0,F46*COUT_1*10^-6)),ESR_1*10^-3),IMSUM(IMDIV(1,COMPLEX(0,F46*MLCC*10^-6)),MLCC_ESR*10^-3)),IMSUM(IMSUM(IMDIV(1,COMPLEX(0,F46*COUT_1*10^-6)),ESR_1*10^-3),IMSUM(IMDIV(1,COMPLEX(0,F46*MLCC*10^-6)),MLCC_ESR*10^-3))),VOUT_1/IOUT_max))</f>
        <v>0.00204288800908313-0.00210516258522534i</v>
      </c>
      <c r="S47" s="295">
        <v>383</v>
      </c>
      <c r="T47" s="295">
        <v>390</v>
      </c>
      <c r="U47" s="296"/>
      <c r="V47" s="296"/>
      <c r="W47" s="296"/>
      <c r="X47" s="296"/>
      <c r="Y47" s="296"/>
      <c r="Z47" s="296"/>
      <c r="AA47" s="297"/>
      <c r="AB47" s="297"/>
      <c r="AC47" s="298"/>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row>
    <row r="48" spans="1:68" s="192" customFormat="1" x14ac:dyDescent="0.2">
      <c r="B48" s="296"/>
      <c r="C48" s="300" t="s">
        <v>386</v>
      </c>
      <c r="F48" s="303">
        <f>180/PI()*IMARGUMENT(IMDIV(IMDIV(IMPRODUCT(ROUT_min,COMPLEX(1,F46*COUT_1*10^-6*ESR_1*10^-3),COMPLEX(1,F46*MLCC*10^-6*MLCC_ESR*10^-3)),IMSUM(-(ROUT_min*ESR_1*10^-3+ROUT_min*MLCC_ESR*10^-3+MLCC_ESR*ESR_1*10^-6)*COUT_1*MLCC*10^-12*F46^2,COMPLEX(1,F46*((ROUT_min+ESR_1*10^-3)*COUT_1*10^-6+(ROUT_min+MLCC_ESR*10^-3)*MLCC*10^-6)))),IMSUM(COMPLEX(DCR_1*10^-3,F46*LOUT_1*10^-6),IMDIV(IMPRODUCT(ROUT_min,COMPLEX(1,F46*COUT_1*10^-6*ESR_1*10^-3),COMPLEX(1,F46*MLCC*10^-6*MLCC_ESR*10^-3)),IMSUM(-(ROUT_min*ESR_1*10^-3+ROUT_min*MLCC_ESR*10^-3+MLCC_ESR*ESR_1*10^-6)*COUT_1*MLCC*10^-12*F46^2,COMPLEX(1,F46*((ROUT_min+ESR_1*10^-3)*COUT_1*10^-6+(ROUT_min+MLCC_ESR*10^-3)*MLCC*10^-6)))))))</f>
        <v>-133.24694875942708</v>
      </c>
      <c r="H48" s="192">
        <f>20*LOG(VIN/VRAMP*IMABS(IMDIV(H47,IMSUM(COMPLEX(DCR_1*10^-3,F46*LOUT_1*10^-6),H47))))</f>
        <v>-14.877970443482781</v>
      </c>
      <c r="S48" s="295">
        <v>390</v>
      </c>
      <c r="T48" s="295">
        <v>402</v>
      </c>
      <c r="U48" s="296"/>
      <c r="V48" s="296"/>
      <c r="W48" s="296"/>
      <c r="X48" s="296"/>
      <c r="Y48" s="296"/>
      <c r="Z48" s="296"/>
      <c r="AA48" s="297"/>
      <c r="AB48" s="297"/>
      <c r="AC48" s="298"/>
      <c r="AD48" s="296"/>
      <c r="AE48" s="296"/>
      <c r="AF48" s="296"/>
      <c r="AG48" s="296"/>
      <c r="AH48" s="296"/>
      <c r="AI48" s="296"/>
      <c r="AJ48" s="296"/>
      <c r="AK48" s="296"/>
      <c r="AL48" s="296"/>
      <c r="AM48" s="296"/>
      <c r="AN48" s="296"/>
      <c r="AO48" s="296"/>
      <c r="AP48" s="296"/>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c r="BM48" s="296"/>
      <c r="BN48" s="296"/>
      <c r="BO48" s="296"/>
    </row>
    <row r="49" spans="1:68" s="192" customFormat="1" x14ac:dyDescent="0.2">
      <c r="A49" s="296" t="s">
        <v>377</v>
      </c>
      <c r="B49" s="299">
        <f>IF(D16=0,10^-50,B16*D16)</f>
        <v>1081</v>
      </c>
      <c r="C49" s="300" t="s">
        <v>387</v>
      </c>
      <c r="F49" s="302">
        <f>20*LOG(IMABS(I49))</f>
        <v>14.877217850808282</v>
      </c>
      <c r="G49" s="192" t="str">
        <f>IMDIV(IMPRODUCT(IMDIV(1,COMPLEX(0,F46*C_3*10^-12)),IMSUM(R_3,IMDIV(1,COMPLEX(0,F46*C_2*10^-12)))),IMSUM(IMDIV(1,COMPLEX(0,F46*C_3*10^-12)),IMSUM(R_3,IMDIV(1,COMPLEX(0,F46*C_2*10^-12)))))</f>
        <v>15261.4714668278-12105.335067259i</v>
      </c>
      <c r="H49" s="192" t="str">
        <f>IMDIV(IMPRODUCT(IMSUM(R_2,IMDIV(1,COMPLEX(0,F46*C_1*10^-12))),R_1),IMSUM(IMSUM(R_2,IMDIV(1,COMPLEX(0,F46*C_1*10^-12))),R_1))</f>
        <v>2172.88073866231-2739.40020740155i</v>
      </c>
      <c r="I49" s="192" t="str">
        <f>IMDIV(IMPRODUCT(-1,IMDIV(10^(DCGAIN/20),IMPRODUCT(COMPLEX(1,F46/(2*PI()*(GBWP*10^6/10^(DCGAIN/20)))),COMPLEX(1,F46/(2*PI()*EAP*10^6))))),IMSUM(1,IMDIV(H49,R_4),IMPRODUCT(IMDIV(H49,G49),IMSUM(1,IMDIV(10^(DCGAIN/20),IMPRODUCT(COMPLEX(1,F46/(2*PI()*(GBWP*10^6/10^(DCGAIN/20)))),COMPLEX(1,F46/(2*PI()*EAP*10^6))))))))</f>
        <v>-5.43345204406998-1.10402330162367i</v>
      </c>
      <c r="S49" s="295">
        <v>402</v>
      </c>
      <c r="T49" s="295">
        <v>422</v>
      </c>
      <c r="U49" s="296"/>
      <c r="V49" s="296"/>
      <c r="W49" s="296"/>
      <c r="X49" s="296"/>
      <c r="Y49" s="296"/>
      <c r="Z49" s="296"/>
      <c r="AA49" s="297"/>
      <c r="AB49" s="297"/>
      <c r="AC49" s="298"/>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c r="BM49" s="296"/>
      <c r="BN49" s="296"/>
      <c r="BO49" s="296"/>
    </row>
    <row r="50" spans="1:68" s="192" customFormat="1" x14ac:dyDescent="0.2">
      <c r="A50" s="296" t="s">
        <v>378</v>
      </c>
      <c r="B50" s="299">
        <f>IF(D16=0,10^50,B17/D16)</f>
        <v>2</v>
      </c>
      <c r="C50" s="300" t="s">
        <v>388</v>
      </c>
      <c r="F50" s="304">
        <f>IF(180/PI()*IMARGUMENT(I49)&lt;0,180/PI()*IMARGUMENT(I49)+360,180/PI()*IMARGUMENT(I49))</f>
        <v>191.48556979399797</v>
      </c>
      <c r="S50" s="295">
        <v>422</v>
      </c>
      <c r="T50" s="295">
        <v>430</v>
      </c>
      <c r="U50" s="296"/>
      <c r="V50" s="296"/>
      <c r="W50" s="296"/>
      <c r="X50" s="296"/>
      <c r="Y50" s="296"/>
      <c r="Z50" s="296"/>
      <c r="AA50" s="297"/>
      <c r="AB50" s="297"/>
      <c r="AC50" s="298"/>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row>
    <row r="51" spans="1:68" s="192" customFormat="1" x14ac:dyDescent="0.2">
      <c r="A51" s="192" t="s">
        <v>389</v>
      </c>
      <c r="B51" s="192">
        <v>10</v>
      </c>
      <c r="C51" s="300" t="s">
        <v>390</v>
      </c>
      <c r="F51" s="304">
        <f>IF(20*(LOG(GBWP*10^6)-LOG(J19))&gt;DCGAIN,DCGAIN,20*(LOG(GBWP*10^6)-LOG(J19)))</f>
        <v>47.997245038599402</v>
      </c>
      <c r="S51" s="295">
        <v>430</v>
      </c>
      <c r="T51" s="295">
        <v>442</v>
      </c>
      <c r="U51" s="296"/>
      <c r="V51" s="296"/>
      <c r="W51" s="296"/>
      <c r="X51" s="296"/>
      <c r="Y51" s="296"/>
      <c r="Z51" s="296"/>
      <c r="AA51" s="297"/>
      <c r="AB51" s="297"/>
      <c r="AC51" s="298"/>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row>
    <row r="52" spans="1:68" s="192" customFormat="1" x14ac:dyDescent="0.2">
      <c r="C52" s="305" t="s">
        <v>329</v>
      </c>
      <c r="F52" s="306"/>
      <c r="S52" s="295">
        <v>442</v>
      </c>
      <c r="T52" s="295">
        <v>464</v>
      </c>
      <c r="U52" s="296"/>
      <c r="V52" s="296"/>
      <c r="W52" s="296"/>
      <c r="X52" s="296"/>
      <c r="Y52" s="296"/>
      <c r="Z52" s="296"/>
      <c r="AA52" s="297"/>
      <c r="AB52" s="297"/>
      <c r="AC52" s="298"/>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row>
    <row r="53" spans="1:68" s="192" customFormat="1" x14ac:dyDescent="0.2">
      <c r="C53" s="305" t="s">
        <v>330</v>
      </c>
      <c r="F53" s="306"/>
      <c r="S53" s="295">
        <v>464</v>
      </c>
      <c r="T53" s="295">
        <v>470</v>
      </c>
      <c r="U53" s="296"/>
      <c r="V53" s="296"/>
      <c r="W53" s="296"/>
      <c r="X53" s="296"/>
      <c r="Y53" s="296"/>
      <c r="Z53" s="296"/>
      <c r="AA53" s="297"/>
      <c r="AB53" s="297"/>
      <c r="AC53" s="298"/>
      <c r="AD53" s="296"/>
      <c r="AE53" s="296"/>
      <c r="AF53" s="296"/>
      <c r="AG53" s="296"/>
      <c r="AH53" s="296"/>
      <c r="AI53" s="296"/>
      <c r="AJ53" s="296"/>
      <c r="AK53" s="296"/>
      <c r="AL53" s="296"/>
      <c r="AM53" s="296"/>
      <c r="AN53" s="296"/>
      <c r="AO53" s="296"/>
      <c r="AP53" s="296"/>
      <c r="AQ53" s="296"/>
      <c r="AR53" s="296"/>
      <c r="AS53" s="296"/>
      <c r="AT53" s="296"/>
      <c r="AU53" s="296"/>
      <c r="AV53" s="296"/>
      <c r="AW53" s="296"/>
      <c r="AX53" s="296"/>
      <c r="AY53" s="296"/>
      <c r="AZ53" s="296"/>
      <c r="BA53" s="296"/>
      <c r="BB53" s="296"/>
      <c r="BC53" s="296"/>
      <c r="BD53" s="296"/>
      <c r="BE53" s="296"/>
      <c r="BF53" s="296"/>
      <c r="BG53" s="296"/>
      <c r="BH53" s="296"/>
      <c r="BI53" s="296"/>
      <c r="BJ53" s="296"/>
      <c r="BK53" s="296"/>
      <c r="BL53" s="296"/>
      <c r="BM53" s="296"/>
      <c r="BN53" s="296"/>
      <c r="BO53" s="296"/>
    </row>
    <row r="54" spans="1:68" s="192" customFormat="1" x14ac:dyDescent="0.2">
      <c r="C54" s="300" t="s">
        <v>391</v>
      </c>
      <c r="F54" s="303">
        <f>B5/B6</f>
        <v>2.5714285714285714E-2</v>
      </c>
      <c r="G54" s="296" t="s">
        <v>392</v>
      </c>
      <c r="S54" s="295">
        <v>470</v>
      </c>
      <c r="T54" s="295">
        <v>487</v>
      </c>
      <c r="U54" s="296"/>
      <c r="V54" s="296"/>
      <c r="W54" s="296"/>
      <c r="X54" s="296"/>
      <c r="Y54" s="296"/>
      <c r="Z54" s="296"/>
      <c r="AA54" s="297"/>
      <c r="AB54" s="297"/>
      <c r="AC54" s="298"/>
      <c r="AD54" s="296"/>
      <c r="AE54" s="296"/>
      <c r="AF54" s="296"/>
      <c r="AG54" s="296"/>
      <c r="AH54" s="296"/>
      <c r="AI54" s="296"/>
      <c r="AJ54" s="296"/>
      <c r="AK54" s="296"/>
      <c r="AL54" s="296"/>
      <c r="AM54" s="296"/>
      <c r="AN54" s="296"/>
      <c r="AO54" s="296"/>
      <c r="AP54" s="296"/>
      <c r="AQ54" s="296"/>
      <c r="AR54" s="296"/>
      <c r="AS54" s="296"/>
      <c r="AT54" s="296"/>
      <c r="AU54" s="296"/>
      <c r="AV54" s="296"/>
      <c r="AW54" s="296"/>
      <c r="AX54" s="296"/>
      <c r="AY54" s="296"/>
      <c r="AZ54" s="296"/>
      <c r="BA54" s="296"/>
      <c r="BB54" s="296"/>
      <c r="BC54" s="296"/>
      <c r="BD54" s="296"/>
      <c r="BE54" s="296"/>
      <c r="BF54" s="296"/>
      <c r="BG54" s="296"/>
      <c r="BH54" s="296"/>
      <c r="BI54" s="296"/>
      <c r="BJ54" s="296"/>
      <c r="BK54" s="296"/>
      <c r="BL54" s="296"/>
      <c r="BM54" s="296"/>
      <c r="BN54" s="296"/>
      <c r="BO54" s="296"/>
    </row>
    <row r="55" spans="1:68" s="192" customFormat="1" x14ac:dyDescent="0.2">
      <c r="C55" s="296" t="s">
        <v>393</v>
      </c>
      <c r="F55" s="300">
        <f>2*PI()*Fco*1000</f>
        <v>376991.11843077512</v>
      </c>
      <c r="S55" s="295">
        <v>487</v>
      </c>
      <c r="T55" s="295">
        <v>510</v>
      </c>
      <c r="U55" s="296"/>
      <c r="V55" s="296"/>
      <c r="W55" s="296"/>
      <c r="X55" s="296"/>
      <c r="Y55" s="296"/>
      <c r="Z55" s="296"/>
      <c r="AA55" s="296"/>
      <c r="AB55" s="296"/>
      <c r="AC55" s="298"/>
      <c r="AD55" s="296"/>
      <c r="AE55" s="296"/>
      <c r="AF55" s="296"/>
      <c r="AG55" s="296"/>
      <c r="AH55" s="296"/>
      <c r="AI55" s="296"/>
      <c r="AJ55" s="296"/>
      <c r="AK55" s="296"/>
      <c r="AL55" s="296"/>
      <c r="AM55" s="296"/>
      <c r="AN55" s="296"/>
      <c r="AO55" s="296"/>
      <c r="AP55" s="296"/>
      <c r="AQ55" s="296"/>
      <c r="AR55" s="296"/>
      <c r="AS55" s="296"/>
      <c r="AT55" s="296"/>
      <c r="AU55" s="296"/>
      <c r="AV55" s="296"/>
      <c r="AW55" s="296"/>
      <c r="AX55" s="296"/>
      <c r="AY55" s="296"/>
      <c r="AZ55" s="296"/>
      <c r="BA55" s="296"/>
      <c r="BB55" s="296"/>
      <c r="BC55" s="296"/>
      <c r="BD55" s="296"/>
      <c r="BE55" s="296"/>
      <c r="BF55" s="296"/>
      <c r="BG55" s="296"/>
      <c r="BH55" s="296"/>
      <c r="BI55" s="296"/>
      <c r="BJ55" s="296"/>
      <c r="BK55" s="296"/>
      <c r="BL55" s="296"/>
      <c r="BM55" s="296"/>
      <c r="BN55" s="296"/>
      <c r="BO55" s="296"/>
    </row>
    <row r="56" spans="1:68" s="192" customFormat="1" x14ac:dyDescent="0.2">
      <c r="C56" s="296" t="s">
        <v>385</v>
      </c>
      <c r="F56" s="307">
        <f>(IMABS(F61)*$F$62)</f>
        <v>0.17904792977310843</v>
      </c>
      <c r="S56" s="295">
        <v>510</v>
      </c>
      <c r="T56" s="295">
        <v>511</v>
      </c>
      <c r="U56" s="296"/>
      <c r="V56" s="296"/>
      <c r="W56" s="296"/>
      <c r="X56" s="296"/>
      <c r="Y56" s="296"/>
      <c r="Z56" s="296"/>
      <c r="AA56" s="296"/>
      <c r="AB56" s="296"/>
      <c r="AC56" s="298"/>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row>
    <row r="57" spans="1:68" s="192" customFormat="1" x14ac:dyDescent="0.2">
      <c r="C57" s="296" t="s">
        <v>386</v>
      </c>
      <c r="F57" s="307">
        <f>180/PI()*IMARGUMENT(F61)</f>
        <v>-133.15793970152558</v>
      </c>
      <c r="S57" s="295">
        <v>511</v>
      </c>
      <c r="T57" s="295">
        <v>536</v>
      </c>
      <c r="U57" s="296"/>
      <c r="V57" s="296"/>
      <c r="W57" s="296"/>
      <c r="X57" s="296"/>
      <c r="Y57" s="296"/>
      <c r="Z57" s="296"/>
      <c r="AA57" s="296"/>
      <c r="AB57" s="296"/>
      <c r="AC57" s="298"/>
      <c r="AD57" s="29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c r="BM57" s="296"/>
      <c r="BN57" s="296"/>
      <c r="BO57" s="296"/>
    </row>
    <row r="58" spans="1:68" s="192" customFormat="1" x14ac:dyDescent="0.2">
      <c r="C58" s="296" t="s">
        <v>394</v>
      </c>
      <c r="F58" s="308">
        <f>1/F56</f>
        <v>5.5850966904069281</v>
      </c>
      <c r="S58" s="295">
        <v>536</v>
      </c>
      <c r="T58" s="295">
        <v>560</v>
      </c>
      <c r="U58" s="296"/>
      <c r="V58" s="296"/>
      <c r="W58" s="296"/>
      <c r="X58" s="296"/>
      <c r="Y58" s="296"/>
      <c r="Z58" s="296"/>
      <c r="AA58" s="296"/>
      <c r="AB58" s="296"/>
      <c r="AC58" s="298"/>
      <c r="AD58" s="296"/>
      <c r="AE58" s="296"/>
      <c r="AF58" s="296"/>
      <c r="AG58" s="296"/>
      <c r="AH58" s="296"/>
      <c r="AI58" s="296"/>
      <c r="AJ58" s="296"/>
      <c r="AK58" s="296"/>
      <c r="AL58" s="296"/>
      <c r="AM58" s="296"/>
      <c r="AN58" s="296"/>
      <c r="AO58" s="296"/>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c r="BM58" s="296"/>
      <c r="BN58" s="296"/>
      <c r="BO58" s="296"/>
    </row>
    <row r="59" spans="1:68" s="192" customFormat="1" x14ac:dyDescent="0.2">
      <c r="C59" s="309" t="s">
        <v>395</v>
      </c>
      <c r="F59" s="301" t="str">
        <f>IMDIV(IMPRODUCT(IMDIV(IMPRODUCT(IMSUM(IMDIV(1,COMPLEX(0,wCO*COUT_1*10^-6)),ESR_1*10^-3),IMSUM(IMDIV(1,COMPLEX(0,wCO*MLCC*10^-6)),MLCC_ESR*10^-3)),IMSUM(IMSUM(IMDIV(1,COMPLEX(0,wCO*COUT_1*10^-6)),ESR_1*10^-3),IMSUM(IMDIV(1,COMPLEX(0,wCO*MLCC*10^-6)),MLCC_ESR*10^-3))),VOUT_1/IOUT_max),IMSUM(IMDIV(IMPRODUCT(IMSUM(IMDIV(1,COMPLEX(0,wCO*COUT_1*10^-6)),ESR_1*10^-3),IMSUM(IMDIV(1,COMPLEX(0,wCO*MLCC*10^-6)),MLCC_ESR*10^-3)),IMSUM(IMSUM(IMDIV(1,COMPLEX(0,wCO*COUT_1*10^-6)),ESR_1*10^-3),IMSUM(IMDIV(1,COMPLEX(0,wCO*MLCC*10^-6)),MLCC_ESR*10^-3))),VOUT_1/IOUT_max))</f>
        <v>0.00204125085601554-0.00209601040860117i</v>
      </c>
      <c r="S59" s="295">
        <v>560</v>
      </c>
      <c r="T59" s="295">
        <v>562</v>
      </c>
      <c r="U59" s="296"/>
      <c r="V59" s="296"/>
      <c r="W59" s="296"/>
      <c r="X59" s="296"/>
      <c r="Y59" s="296"/>
      <c r="Z59" s="296"/>
      <c r="AA59" s="296"/>
      <c r="AB59" s="296"/>
      <c r="AC59" s="298"/>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6"/>
      <c r="BO59" s="296"/>
      <c r="BP59" s="296"/>
    </row>
    <row r="60" spans="1:68" s="192" customFormat="1" x14ac:dyDescent="0.2">
      <c r="C60" s="309" t="s">
        <v>396</v>
      </c>
      <c r="F60" s="301" t="str">
        <f>COMPLEX(DCR_1*10^-3,wCO*LOUT_1*10^-6)</f>
        <v>0.003+0.113097335529233i</v>
      </c>
      <c r="S60" s="295">
        <v>562</v>
      </c>
      <c r="T60" s="295">
        <v>590</v>
      </c>
      <c r="U60" s="296"/>
      <c r="V60" s="296"/>
      <c r="W60" s="296"/>
      <c r="X60" s="296"/>
      <c r="Y60" s="296"/>
      <c r="Z60" s="296"/>
      <c r="AA60" s="296"/>
      <c r="AB60" s="296"/>
      <c r="AC60" s="298"/>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c r="BM60" s="296"/>
      <c r="BN60" s="296"/>
      <c r="BO60" s="296"/>
      <c r="BP60" s="296"/>
    </row>
    <row r="61" spans="1:68" s="192" customFormat="1" x14ac:dyDescent="0.2">
      <c r="C61" s="309" t="s">
        <v>397</v>
      </c>
      <c r="E61" s="309"/>
      <c r="F61" s="301" t="str">
        <f>IMDIV(F59,IMSUM(F60,F59))</f>
        <v>-0.0180104257908223-0.0192073916967541i</v>
      </c>
      <c r="S61" s="295">
        <v>590</v>
      </c>
      <c r="T61" s="295">
        <v>619</v>
      </c>
      <c r="U61" s="296"/>
      <c r="V61" s="296"/>
      <c r="W61" s="296"/>
      <c r="X61" s="296"/>
      <c r="Y61" s="296"/>
      <c r="Z61" s="296"/>
      <c r="AA61" s="296"/>
      <c r="AB61" s="296"/>
      <c r="AC61" s="298"/>
      <c r="AD61" s="296"/>
      <c r="AE61" s="296"/>
      <c r="AF61" s="296"/>
      <c r="AG61" s="296"/>
      <c r="AH61" s="296"/>
      <c r="AI61" s="296"/>
      <c r="AJ61" s="296"/>
      <c r="AK61" s="296"/>
      <c r="AL61" s="296"/>
      <c r="AM61" s="296"/>
      <c r="AN61" s="296"/>
      <c r="AO61" s="296"/>
      <c r="AP61" s="296"/>
      <c r="AQ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c r="BM61" s="296"/>
      <c r="BN61" s="296"/>
      <c r="BO61" s="296"/>
      <c r="BP61" s="296"/>
    </row>
    <row r="62" spans="1:68" s="192" customFormat="1" x14ac:dyDescent="0.2">
      <c r="C62" s="299" t="s">
        <v>398</v>
      </c>
      <c r="F62" s="300">
        <f>VIN/VRAMP</f>
        <v>6.8</v>
      </c>
      <c r="S62" s="295">
        <v>619</v>
      </c>
      <c r="T62" s="295">
        <v>620</v>
      </c>
      <c r="U62" s="296"/>
      <c r="V62" s="296"/>
      <c r="W62" s="296"/>
      <c r="X62" s="296"/>
      <c r="Y62" s="296"/>
      <c r="Z62" s="296"/>
      <c r="AA62" s="295"/>
      <c r="AB62" s="296"/>
      <c r="AC62" s="298"/>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row>
    <row r="63" spans="1:68" s="192" customFormat="1" x14ac:dyDescent="0.2">
      <c r="S63" s="295">
        <v>620</v>
      </c>
      <c r="T63" s="295">
        <v>649</v>
      </c>
      <c r="U63" s="296"/>
      <c r="V63" s="296"/>
      <c r="W63" s="296"/>
      <c r="X63" s="296"/>
      <c r="Y63" s="296"/>
      <c r="Z63" s="296"/>
      <c r="AA63" s="296"/>
      <c r="AB63" s="296"/>
      <c r="AC63" s="298"/>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row>
    <row r="64" spans="1:68" s="192" customFormat="1" x14ac:dyDescent="0.2">
      <c r="S64" s="295">
        <v>649</v>
      </c>
      <c r="T64" s="295">
        <v>680</v>
      </c>
      <c r="U64" s="296"/>
      <c r="V64" s="296"/>
      <c r="W64" s="296"/>
      <c r="X64" s="296"/>
      <c r="Y64" s="296"/>
      <c r="Z64" s="296"/>
      <c r="AA64" s="295"/>
      <c r="AB64" s="296"/>
      <c r="AC64" s="298"/>
      <c r="AD64" s="296"/>
      <c r="AE64" s="296"/>
      <c r="AF64" s="296"/>
      <c r="AG64" s="296"/>
      <c r="AH64" s="296"/>
      <c r="AI64" s="296"/>
      <c r="AJ64" s="296"/>
      <c r="AK64" s="296"/>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296"/>
      <c r="BN64" s="296"/>
      <c r="BO64" s="296"/>
      <c r="BP64" s="296"/>
    </row>
    <row r="65" spans="1:248" s="192" customFormat="1" x14ac:dyDescent="0.2">
      <c r="S65" s="295">
        <v>680</v>
      </c>
      <c r="T65" s="295">
        <v>681</v>
      </c>
      <c r="U65" s="296"/>
      <c r="V65" s="296"/>
      <c r="W65" s="296"/>
      <c r="X65" s="296"/>
      <c r="Y65" s="296"/>
      <c r="Z65" s="296"/>
      <c r="AA65" s="296"/>
      <c r="AB65" s="296"/>
      <c r="AC65" s="298"/>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row>
    <row r="66" spans="1:248" s="192" customFormat="1" x14ac:dyDescent="0.2">
      <c r="S66" s="295">
        <v>681</v>
      </c>
      <c r="T66" s="295">
        <v>715</v>
      </c>
      <c r="U66" s="296"/>
      <c r="V66" s="296"/>
      <c r="W66" s="296"/>
      <c r="X66" s="296"/>
      <c r="Y66" s="296"/>
      <c r="Z66" s="296"/>
      <c r="AA66" s="295"/>
      <c r="AB66" s="296"/>
      <c r="AC66" s="298"/>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c r="BM66" s="296"/>
      <c r="BN66" s="296"/>
      <c r="BO66" s="296"/>
      <c r="BP66" s="296"/>
    </row>
    <row r="67" spans="1:248" s="192" customFormat="1" x14ac:dyDescent="0.2">
      <c r="S67" s="295">
        <v>715</v>
      </c>
      <c r="T67" s="295">
        <v>750</v>
      </c>
      <c r="U67" s="296"/>
      <c r="V67" s="296"/>
      <c r="W67" s="296"/>
      <c r="X67" s="296"/>
      <c r="Y67" s="296"/>
      <c r="Z67" s="296"/>
      <c r="AA67" s="296"/>
      <c r="AB67" s="296"/>
      <c r="AC67" s="298"/>
      <c r="AD67" s="296"/>
      <c r="AE67" s="296"/>
      <c r="AF67" s="296"/>
      <c r="AG67" s="296"/>
      <c r="AH67" s="296"/>
      <c r="AI67" s="296"/>
      <c r="AJ67" s="296"/>
      <c r="AK67" s="296"/>
      <c r="AL67" s="296"/>
      <c r="AM67" s="296"/>
      <c r="AN67" s="296"/>
      <c r="AO67" s="296"/>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c r="BM67" s="296"/>
      <c r="BN67" s="296"/>
      <c r="BO67" s="296"/>
      <c r="BP67" s="296"/>
    </row>
    <row r="68" spans="1:248" s="192" customFormat="1" x14ac:dyDescent="0.2">
      <c r="S68" s="295">
        <v>750</v>
      </c>
      <c r="T68" s="295">
        <v>787</v>
      </c>
      <c r="U68" s="296"/>
      <c r="V68" s="296"/>
      <c r="W68" s="296"/>
      <c r="X68" s="296"/>
      <c r="Y68" s="296"/>
      <c r="Z68" s="296"/>
      <c r="AA68" s="295"/>
      <c r="AB68" s="296"/>
      <c r="AC68" s="298"/>
      <c r="AD68" s="296"/>
      <c r="AE68" s="296"/>
      <c r="AF68" s="296"/>
      <c r="AG68" s="296"/>
      <c r="AH68" s="296"/>
      <c r="AI68" s="296"/>
      <c r="AJ68" s="296"/>
      <c r="AK68" s="296"/>
      <c r="AL68" s="296"/>
      <c r="AM68" s="296"/>
      <c r="AN68" s="296"/>
      <c r="AO68" s="296"/>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c r="BM68" s="296"/>
      <c r="BN68" s="296"/>
      <c r="BO68" s="296"/>
      <c r="BP68" s="296"/>
    </row>
    <row r="69" spans="1:248" s="192" customFormat="1" x14ac:dyDescent="0.2">
      <c r="S69" s="295">
        <v>787</v>
      </c>
      <c r="T69" s="295">
        <v>820</v>
      </c>
      <c r="U69" s="296"/>
      <c r="V69" s="296"/>
      <c r="W69" s="296"/>
      <c r="X69" s="296"/>
      <c r="Y69" s="296"/>
      <c r="Z69" s="296"/>
      <c r="AA69" s="296"/>
      <c r="AB69" s="296"/>
      <c r="AC69" s="298"/>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row>
    <row r="70" spans="1:248" s="192" customFormat="1" x14ac:dyDescent="0.2">
      <c r="S70" s="295">
        <v>820</v>
      </c>
      <c r="T70" s="295">
        <v>825</v>
      </c>
      <c r="U70" s="296"/>
      <c r="V70" s="296"/>
      <c r="W70" s="296"/>
      <c r="X70" s="296"/>
      <c r="Y70" s="296"/>
      <c r="Z70" s="296"/>
      <c r="AA70" s="295"/>
      <c r="AB70" s="296"/>
      <c r="AC70" s="298"/>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row>
    <row r="71" spans="1:248" s="192" customFormat="1" x14ac:dyDescent="0.2">
      <c r="S71" s="295">
        <v>825</v>
      </c>
      <c r="T71" s="295">
        <v>866</v>
      </c>
      <c r="U71" s="296"/>
      <c r="V71" s="296"/>
      <c r="W71" s="296"/>
      <c r="X71" s="296"/>
      <c r="Y71" s="296"/>
      <c r="Z71" s="296"/>
      <c r="AA71" s="296"/>
      <c r="AB71" s="296"/>
      <c r="AC71" s="298"/>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row>
    <row r="72" spans="1:248" s="192" customFormat="1" x14ac:dyDescent="0.2">
      <c r="S72" s="295">
        <v>866</v>
      </c>
      <c r="T72" s="295">
        <v>909</v>
      </c>
      <c r="U72" s="296"/>
      <c r="V72" s="296"/>
      <c r="W72" s="296"/>
      <c r="X72" s="296"/>
      <c r="Y72" s="296"/>
      <c r="Z72" s="296"/>
      <c r="AA72" s="295"/>
      <c r="AB72" s="296"/>
      <c r="AC72" s="298"/>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row>
    <row r="73" spans="1:248" s="192" customFormat="1" x14ac:dyDescent="0.2">
      <c r="D73" s="192">
        <f>MIN(A80:A330)</f>
        <v>8.1000000000000003E-2</v>
      </c>
      <c r="G73" s="192" t="s">
        <v>402</v>
      </c>
      <c r="S73" s="295">
        <v>909</v>
      </c>
      <c r="T73" s="295">
        <v>910</v>
      </c>
      <c r="U73" s="296"/>
      <c r="V73" s="296"/>
      <c r="W73" s="296"/>
      <c r="X73" s="296"/>
      <c r="Y73" s="296"/>
      <c r="Z73" s="296"/>
      <c r="AA73" s="296"/>
      <c r="AB73" s="296"/>
      <c r="AC73" s="298"/>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row>
    <row r="74" spans="1:248" s="192" customFormat="1" x14ac:dyDescent="0.2">
      <c r="C74" s="310"/>
      <c r="D74" s="192">
        <f>VLOOKUP(MIN(A80:A330),A80:E330,3,FALSE)</f>
        <v>60255.95860743388</v>
      </c>
      <c r="E74" s="309"/>
      <c r="F74" s="311">
        <f>VLOOKUP(D73,A80:E330,4,FALSE)</f>
        <v>-8.0623608014617432E-2</v>
      </c>
      <c r="G74" s="312">
        <f>VLOOKUP(D73,A80:E330,5,FALSE)</f>
        <v>58.393034929129328</v>
      </c>
      <c r="I74" s="313">
        <f>F74-F75</f>
        <v>-0.4275988351216462</v>
      </c>
      <c r="J74" s="309"/>
      <c r="K74" s="314"/>
      <c r="L74" s="309"/>
      <c r="M74" s="309"/>
      <c r="N74" s="299"/>
      <c r="O74" s="299"/>
      <c r="S74" s="295">
        <v>910</v>
      </c>
      <c r="T74" s="295">
        <v>953</v>
      </c>
      <c r="U74" s="296"/>
      <c r="V74" s="296"/>
      <c r="W74" s="296"/>
      <c r="X74" s="296"/>
      <c r="Y74" s="296"/>
      <c r="Z74" s="296"/>
      <c r="AA74" s="295"/>
      <c r="AB74" s="296"/>
      <c r="AC74" s="298"/>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row>
    <row r="75" spans="1:248" s="192" customFormat="1" x14ac:dyDescent="0.2">
      <c r="A75" s="301"/>
      <c r="B75" s="315"/>
      <c r="C75" s="301"/>
      <c r="D75" s="301">
        <f>IF(F74&gt;0,10^(LOG(D74)+0.02),10^(LOG(D74)-0.02))</f>
        <v>57543.993733714</v>
      </c>
      <c r="E75" s="301"/>
      <c r="F75" s="312">
        <f>VLOOKUP(D75,C80:E330,2)</f>
        <v>0.34697522710702877</v>
      </c>
      <c r="G75" s="312">
        <f>VLOOKUP(D75,C80:E330,3)</f>
        <v>57.536100306779701</v>
      </c>
      <c r="I75" s="316">
        <f>F74/((F74-F75)/0.02)</f>
        <v>3.7709928742757724E-3</v>
      </c>
      <c r="J75" s="316">
        <f>(G75-G74)/0.02*I75</f>
        <v>-0.16157471773003212</v>
      </c>
      <c r="K75" s="306"/>
      <c r="L75" s="301"/>
      <c r="M75" s="301"/>
      <c r="N75" s="300"/>
      <c r="O75" s="308"/>
      <c r="S75" s="295">
        <v>953</v>
      </c>
      <c r="T75" s="295">
        <v>1000</v>
      </c>
      <c r="U75" s="296"/>
      <c r="V75" s="296"/>
      <c r="W75" s="296"/>
      <c r="X75" s="296"/>
      <c r="Y75" s="296"/>
      <c r="Z75" s="296"/>
      <c r="AA75" s="296"/>
      <c r="AB75" s="296"/>
      <c r="AC75" s="298"/>
      <c r="AD75" s="298"/>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row>
    <row r="76" spans="1:248" s="192" customFormat="1" x14ac:dyDescent="0.2">
      <c r="A76" s="296"/>
      <c r="B76" s="308"/>
      <c r="C76" s="296" t="s">
        <v>403</v>
      </c>
      <c r="D76" s="317">
        <f>IF(F74&gt;0,10^(LOG(D74)+I75),10^(LOG(D74)-I75))</f>
        <v>59735.01913205372</v>
      </c>
      <c r="E76" s="296"/>
      <c r="F76" s="296"/>
      <c r="G76" s="318">
        <f>G74+J75</f>
        <v>58.231460211399295</v>
      </c>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c r="CA76" s="296"/>
      <c r="CB76" s="296"/>
      <c r="CC76" s="296"/>
      <c r="CD76" s="296"/>
      <c r="CE76" s="296"/>
      <c r="CF76" s="296"/>
      <c r="CG76" s="296"/>
      <c r="CH76" s="296"/>
      <c r="CI76" s="296"/>
      <c r="CJ76" s="296"/>
      <c r="CK76" s="296"/>
      <c r="CL76" s="296"/>
      <c r="CM76" s="296"/>
      <c r="CN76" s="296"/>
      <c r="CO76" s="296"/>
      <c r="CP76" s="296"/>
      <c r="CQ76" s="296"/>
      <c r="CR76" s="296"/>
      <c r="CS76" s="296"/>
      <c r="CT76" s="296"/>
      <c r="CU76" s="296"/>
      <c r="CV76" s="296"/>
      <c r="CW76" s="296"/>
      <c r="CX76" s="296"/>
      <c r="CY76" s="296"/>
      <c r="CZ76" s="296"/>
      <c r="DA76" s="296"/>
      <c r="DB76" s="296"/>
      <c r="DC76" s="296"/>
      <c r="DD76" s="296"/>
      <c r="DE76" s="296"/>
      <c r="DF76" s="296"/>
      <c r="DG76" s="296"/>
      <c r="DH76" s="296"/>
      <c r="DI76" s="296"/>
      <c r="DJ76" s="296"/>
      <c r="DK76" s="296"/>
      <c r="DL76" s="296"/>
      <c r="DM76" s="296"/>
      <c r="DN76" s="296"/>
      <c r="DO76" s="296"/>
      <c r="DP76" s="296"/>
      <c r="DQ76" s="296"/>
      <c r="DR76" s="296"/>
      <c r="DS76" s="296"/>
      <c r="DT76" s="296"/>
      <c r="DU76" s="296"/>
      <c r="DV76" s="296"/>
      <c r="DW76" s="296"/>
      <c r="DX76" s="296"/>
      <c r="DY76" s="296"/>
      <c r="DZ76" s="296"/>
      <c r="EA76" s="296"/>
      <c r="EB76" s="296"/>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G76" s="296"/>
      <c r="FH76" s="296"/>
      <c r="FI76" s="296"/>
      <c r="FJ76" s="296"/>
      <c r="FK76" s="296"/>
      <c r="FL76" s="296"/>
      <c r="FM76" s="296"/>
      <c r="FN76" s="296"/>
      <c r="FO76" s="296"/>
      <c r="FP76" s="296"/>
      <c r="FQ76" s="296"/>
      <c r="FR76" s="296"/>
      <c r="FS76" s="296"/>
      <c r="FT76" s="296"/>
      <c r="FU76" s="296"/>
      <c r="FV76" s="296"/>
      <c r="FW76" s="296"/>
      <c r="FX76" s="296"/>
      <c r="FY76" s="296"/>
      <c r="FZ76" s="296"/>
      <c r="GA76" s="296"/>
      <c r="GB76" s="296"/>
      <c r="GC76" s="296"/>
      <c r="GD76" s="296"/>
      <c r="GE76" s="296"/>
      <c r="GF76" s="296"/>
      <c r="GG76" s="296"/>
      <c r="GH76" s="296"/>
      <c r="GI76" s="296"/>
      <c r="GJ76" s="296"/>
      <c r="GK76" s="296"/>
      <c r="GL76" s="296"/>
      <c r="GM76" s="296"/>
      <c r="GN76" s="296"/>
      <c r="GO76" s="296"/>
      <c r="GP76" s="296"/>
      <c r="GQ76" s="296"/>
      <c r="GR76" s="296"/>
      <c r="GS76" s="296"/>
      <c r="GT76" s="296"/>
      <c r="GU76" s="296"/>
      <c r="GV76" s="296"/>
      <c r="GW76" s="296"/>
      <c r="GX76" s="296"/>
      <c r="GY76" s="296"/>
      <c r="GZ76" s="296"/>
      <c r="HA76" s="296"/>
      <c r="HB76" s="296"/>
      <c r="HC76" s="296"/>
      <c r="HD76" s="296"/>
      <c r="HE76" s="296"/>
      <c r="HF76" s="296"/>
      <c r="HG76" s="296"/>
      <c r="HH76" s="296"/>
      <c r="HI76" s="296"/>
      <c r="HJ76" s="296"/>
      <c r="HK76" s="296"/>
      <c r="HL76" s="296"/>
      <c r="HM76" s="296"/>
      <c r="HN76" s="296"/>
      <c r="HO76" s="296"/>
      <c r="HP76" s="296"/>
      <c r="HQ76" s="296"/>
      <c r="HR76" s="296"/>
      <c r="HS76" s="296"/>
      <c r="HT76" s="296"/>
      <c r="HU76" s="296"/>
      <c r="HV76" s="296"/>
      <c r="HW76" s="296"/>
      <c r="HX76" s="296"/>
      <c r="HY76" s="296"/>
      <c r="HZ76" s="296"/>
      <c r="IA76" s="296"/>
      <c r="IB76" s="296"/>
      <c r="IC76" s="296"/>
      <c r="ID76" s="296"/>
      <c r="IE76" s="296"/>
      <c r="IF76" s="296"/>
      <c r="IG76" s="296"/>
      <c r="IH76" s="296"/>
      <c r="II76" s="296"/>
      <c r="IJ76" s="296"/>
      <c r="IK76" s="296"/>
      <c r="IL76" s="296"/>
      <c r="IM76" s="296"/>
      <c r="IN76" s="296"/>
    </row>
    <row r="77" spans="1:248" s="192" customFormat="1" x14ac:dyDescent="0.2">
      <c r="D77" s="299" t="s">
        <v>404</v>
      </c>
      <c r="H77" s="299" t="s">
        <v>405</v>
      </c>
      <c r="N77" s="306"/>
      <c r="S77" s="299" t="s">
        <v>406</v>
      </c>
      <c r="U77" s="299" t="s">
        <v>407</v>
      </c>
      <c r="V77" s="296"/>
      <c r="W77" s="301"/>
      <c r="X77" s="296"/>
      <c r="Y77" s="296"/>
      <c r="Z77" s="296"/>
      <c r="AA77" s="296"/>
      <c r="AB77" s="296"/>
      <c r="AC77" s="296"/>
      <c r="AF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row>
    <row r="78" spans="1:248" s="319" customFormat="1" x14ac:dyDescent="0.2">
      <c r="D78" s="309" t="s">
        <v>408</v>
      </c>
      <c r="E78" s="309" t="s">
        <v>409</v>
      </c>
      <c r="T78" s="309" t="s">
        <v>410</v>
      </c>
      <c r="U78" s="309" t="s">
        <v>411</v>
      </c>
      <c r="V78" s="309" t="s">
        <v>412</v>
      </c>
      <c r="W78" s="309" t="s">
        <v>390</v>
      </c>
      <c r="X78" s="309" t="s">
        <v>413</v>
      </c>
      <c r="Y78" s="319" t="s">
        <v>414</v>
      </c>
      <c r="Z78" s="192" t="s">
        <v>415</v>
      </c>
      <c r="AA78" s="192" t="s">
        <v>423</v>
      </c>
      <c r="AB78" s="192" t="s">
        <v>424</v>
      </c>
      <c r="AC78" s="192" t="s">
        <v>425</v>
      </c>
      <c r="AD78" s="192" t="s">
        <v>426</v>
      </c>
      <c r="AE78" s="192" t="s">
        <v>427</v>
      </c>
      <c r="AF78" s="299"/>
      <c r="AG78" s="299"/>
      <c r="AH78" s="299"/>
      <c r="AI78" s="299"/>
      <c r="AJ78" s="299"/>
      <c r="AK78" s="299"/>
      <c r="AL78" s="299"/>
      <c r="AM78" s="299"/>
      <c r="AN78" s="299"/>
      <c r="AO78" s="299"/>
      <c r="AP78" s="299"/>
      <c r="AQ78" s="299"/>
      <c r="AR78" s="299"/>
      <c r="AS78" s="299"/>
    </row>
    <row r="79" spans="1:248" s="319" customFormat="1" x14ac:dyDescent="0.2">
      <c r="C79" s="309" t="s">
        <v>416</v>
      </c>
      <c r="D79" s="309"/>
      <c r="E79" s="309"/>
      <c r="F79" s="309"/>
      <c r="G79" s="309"/>
      <c r="H79" s="309" t="s">
        <v>417</v>
      </c>
      <c r="I79" s="309" t="s">
        <v>418</v>
      </c>
      <c r="J79" s="309" t="s">
        <v>419</v>
      </c>
      <c r="K79" s="309"/>
      <c r="L79" s="309" t="s">
        <v>395</v>
      </c>
      <c r="M79" s="309" t="s">
        <v>396</v>
      </c>
      <c r="N79" s="309" t="s">
        <v>397</v>
      </c>
      <c r="O79" s="309" t="s">
        <v>420</v>
      </c>
      <c r="P79" s="309" t="s">
        <v>421</v>
      </c>
      <c r="Q79" s="309" t="s">
        <v>384</v>
      </c>
      <c r="R79" s="309"/>
      <c r="S79" s="299" t="s">
        <v>422</v>
      </c>
      <c r="T79" s="309"/>
      <c r="U79" s="301"/>
      <c r="V79" s="301"/>
      <c r="W79" s="301"/>
      <c r="X79" s="301"/>
      <c r="Y79" s="299"/>
      <c r="Z79" s="299"/>
      <c r="AA79" s="299"/>
      <c r="AB79" s="299"/>
      <c r="AC79" s="299"/>
      <c r="AD79" s="299"/>
      <c r="AE79" s="299"/>
      <c r="AF79" s="299"/>
      <c r="AG79" s="299"/>
      <c r="AH79" s="299"/>
      <c r="AI79" s="299"/>
      <c r="AJ79" s="299"/>
      <c r="AK79" s="299"/>
      <c r="AL79" s="299"/>
      <c r="AM79" s="299"/>
      <c r="AN79" s="299"/>
      <c r="AO79" s="299"/>
      <c r="AP79" s="299"/>
      <c r="AQ79" s="299"/>
      <c r="AR79" s="299"/>
      <c r="AS79" s="299"/>
    </row>
    <row r="80" spans="1:248" s="192" customFormat="1" x14ac:dyDescent="0.2">
      <c r="A80" s="301">
        <f t="shared" ref="A80:A144" si="0">ROUND(ABS(D80),3)</f>
        <v>72.052999999999997</v>
      </c>
      <c r="B80" s="301">
        <f>LOG(C80)</f>
        <v>1</v>
      </c>
      <c r="C80" s="301">
        <v>10</v>
      </c>
      <c r="D80" s="302">
        <f t="shared" ref="D80:D143" si="1">S80+U80</f>
        <v>72.052697578112387</v>
      </c>
      <c r="E80" s="302">
        <f t="shared" ref="E80:E143" si="2">P80+V80</f>
        <v>170.60902268172811</v>
      </c>
      <c r="G80" s="301"/>
      <c r="H80" s="315" t="str">
        <f t="shared" ref="H80:H143" si="3">IMSUM(IMDIV(1,COMPLEX(0,Q80*COUT_1*10^-6)),ESR_1*10^-3)</f>
        <v>1E+47-1.59154943091895E+54i</v>
      </c>
      <c r="I80" s="301" t="str">
        <f t="shared" ref="I80:I143" si="4">IMSUM(IMDIV(1,COMPLEX(0,Q80*MLCC*10^-6)),MLCC_ESR*10^-3)</f>
        <v>0.002-14.7229364562345i</v>
      </c>
      <c r="J80" s="301" t="str">
        <f t="shared" ref="J80:J143" si="5">IMDIV(IMPRODUCT(H80,I80),IMSUM(H80,I80))</f>
        <v>0.002-14.7229364562345i</v>
      </c>
      <c r="K80" s="301"/>
      <c r="L80" s="301" t="str">
        <f t="shared" ref="L80:L143" si="6">IMDIV(IMPRODUCT(J80,VOUT_1/IOUT_max),IMSUM(J80,VOUT_1/IOUT_max))</f>
        <v>0.025714201174293-0.0000449110236124404i</v>
      </c>
      <c r="M80" s="301" t="str">
        <f t="shared" ref="M80:M143" si="7">COMPLEX(DCR_1*10^-3,Q80*LOUT_1*10^-6)</f>
        <v>0.003+0.0000188495559215388i</v>
      </c>
      <c r="N80" s="301" t="str">
        <f t="shared" ref="N80:N143" si="8">IMDIV(L80,IMSUM(M80,L80))</f>
        <v>0.89552276233115-0.000751279338907513i</v>
      </c>
      <c r="O80" s="316">
        <f t="shared" ref="O80:O143" si="9">20*LOG(IMABS(N80))</f>
        <v>-0.95846435962843535</v>
      </c>
      <c r="P80" s="316">
        <f t="shared" ref="P80:P143" si="10">180/PI()*IMARGUMENT(N80)</f>
        <v>-4.8067036447331117E-2</v>
      </c>
      <c r="Q80" s="301">
        <f t="shared" ref="Q80:Q143" si="11">2*PI()*C80</f>
        <v>62.831853071795862</v>
      </c>
      <c r="R80" s="301">
        <v>1</v>
      </c>
      <c r="S80" s="308">
        <f t="shared" ref="S80:S143" si="12">20*LOG(IMABS(N80)*$F$62)</f>
        <v>15.69171389449629</v>
      </c>
      <c r="T80" s="301" t="str">
        <f t="shared" ref="T80:T143" si="13">COMPLEX(1,Q80*(R_1+R_2)*C_1*10^-12)</f>
        <v>1+0.000478318809798183i</v>
      </c>
      <c r="U80" s="303">
        <f t="shared" ref="U80:U143" si="14">20*LOG(IMABS(AE80))</f>
        <v>56.360983683616098</v>
      </c>
      <c r="V80" s="301">
        <f t="shared" ref="V80:V143" si="15">IF(180/PI()*IMARGUMENT(AE80)&lt;0,180/PI()*IMARGUMENT(AE80)+360,180/PI()*IMARGUMENT(AE80))</f>
        <v>170.65708971817543</v>
      </c>
      <c r="W80" s="301">
        <f t="shared" ref="W80:W143" si="16">20*LOG(IMABS(Y80))</f>
        <v>59.999998069798394</v>
      </c>
      <c r="X80" s="303">
        <f t="shared" ref="X80:X143" si="17">180/PI()*IMARGUMENT(Y80)</f>
        <v>-3.8254476462727068E-2</v>
      </c>
      <c r="Y80" s="192" t="str">
        <f t="shared" ref="Y80:Y143" si="18">IMDIV(10^(DCGAIN/20),IMPRODUCT(COMPLEX(1,2*PI()*C80/(2*PI()*(GBWP*10^6/10^(DCGAIN/20)))),COMPLEX(1,2*PI()*C80/(2*PI()*EAP*10^6))))</f>
        <v>999.999554888087-0.667666369925391i</v>
      </c>
      <c r="Z80" s="192" t="str">
        <f t="shared" ref="Z80:Z143" si="19">IMDIV(1,COMPLEX(0,2*PI()*C80*C_3*10^-12))</f>
        <v>-335105801.424416i</v>
      </c>
      <c r="AA80" s="192" t="str">
        <f t="shared" ref="AA80:AA143" si="20">IMSUM(R_3,IMDIV(1,COMPLEX(0,2*PI()*C80*C_2*10^-12)))</f>
        <v>22150.1592153998-46308359.1145948i</v>
      </c>
      <c r="AB80" s="192" t="str">
        <f t="shared" ref="AB80:AB143" si="21">IMSUM(R_2,IMDIV(1,COMPLEX(0,2*PI()*C80*C_1*10^-12)))</f>
        <v>1381.90263844297-23795640.9099724i</v>
      </c>
      <c r="AC80" s="192" t="str">
        <f t="shared" ref="AC80:AC143" si="22">IMDIV(IMPRODUCT(Z80,AA80),IMSUM(Z80,AA80))</f>
        <v>17098.0710804628-40685957.0985535i</v>
      </c>
      <c r="AD80" s="192" t="str">
        <f t="shared" ref="AD80:AD143" si="23">IMDIV(IMPRODUCT(AB80,R_1),IMSUM(AB80,R_1))</f>
        <v>9999.9979898894-4.20244941077459i</v>
      </c>
      <c r="AE80" s="192" t="str">
        <f t="shared" ref="AE80:AE143" si="24">IMDIV(IMPRODUCT(-1,Y80),IMSUM(1,IMDIV(AD80,R_4),IMPRODUCT(IMDIV(AD80,AC80),IMSUM(1,Y80))))</f>
        <v>-649.007114778986+106.778144478138i</v>
      </c>
      <c r="AF80" s="296"/>
      <c r="AG80" s="296"/>
      <c r="AH80" s="296"/>
      <c r="AI80" s="296"/>
      <c r="AJ80" s="296"/>
      <c r="AK80" s="296"/>
      <c r="AL80" s="296"/>
      <c r="AM80" s="296"/>
      <c r="AN80" s="296"/>
      <c r="AO80" s="296"/>
      <c r="AP80" s="296"/>
      <c r="AQ80" s="296"/>
      <c r="AR80" s="296"/>
      <c r="AS80" s="296"/>
    </row>
    <row r="81" spans="1:45" s="192" customFormat="1" x14ac:dyDescent="0.2">
      <c r="A81" s="301">
        <f t="shared" si="0"/>
        <v>72.042000000000002</v>
      </c>
      <c r="B81" s="301">
        <f t="shared" ref="B81:B144" si="25">LOG(C81)</f>
        <v>1.0200000000000002</v>
      </c>
      <c r="C81" s="303">
        <f t="shared" ref="C81:C144" si="26">10^R81</f>
        <v>10.471285480509</v>
      </c>
      <c r="D81" s="302">
        <f t="shared" si="1"/>
        <v>72.041557325778072</v>
      </c>
      <c r="E81" s="301">
        <f t="shared" si="2"/>
        <v>170.17487625226127</v>
      </c>
      <c r="G81" s="303"/>
      <c r="H81" s="315" t="str">
        <f t="shared" si="3"/>
        <v>1E+47-1.51991790681423E+54i</v>
      </c>
      <c r="I81" s="301" t="str">
        <f t="shared" si="4"/>
        <v>0.002-14.0602951601687i</v>
      </c>
      <c r="J81" s="301" t="str">
        <f t="shared" si="5"/>
        <v>0.002-14.0602951601687i</v>
      </c>
      <c r="K81" s="301"/>
      <c r="L81" s="301" t="str">
        <f t="shared" si="6"/>
        <v>0.0257141930180588-0.0000470275988699988i</v>
      </c>
      <c r="M81" s="301" t="str">
        <f t="shared" si="7"/>
        <v>0.003+0.0000197379081235251i</v>
      </c>
      <c r="N81" s="301" t="str">
        <f t="shared" si="8"/>
        <v>0.8955227984401-0.000786686173974841i</v>
      </c>
      <c r="O81" s="316">
        <f t="shared" si="9"/>
        <v>-0.95846371450638135</v>
      </c>
      <c r="P81" s="316">
        <f t="shared" si="10"/>
        <v>-5.0332371274137644E-2</v>
      </c>
      <c r="Q81" s="301">
        <f t="shared" si="11"/>
        <v>65.793027078417083</v>
      </c>
      <c r="R81" s="301">
        <f t="shared" ref="R81:R144" si="27">R80+0.02</f>
        <v>1.02</v>
      </c>
      <c r="S81" s="308">
        <f t="shared" si="12"/>
        <v>15.691714539618344</v>
      </c>
      <c r="T81" s="301" t="str">
        <f t="shared" si="13"/>
        <v>1+0.000500861280809406i</v>
      </c>
      <c r="U81" s="303">
        <f t="shared" si="14"/>
        <v>56.349842786159726</v>
      </c>
      <c r="V81" s="301">
        <f t="shared" si="15"/>
        <v>170.22520862353539</v>
      </c>
      <c r="W81" s="301">
        <f t="shared" si="16"/>
        <v>59.999997883576064</v>
      </c>
      <c r="X81" s="303">
        <f t="shared" si="17"/>
        <v>-4.005735382317803E-2</v>
      </c>
      <c r="Y81" s="192" t="str">
        <f t="shared" si="18"/>
        <v>999.999511944513-0.699132486544094i</v>
      </c>
      <c r="Z81" s="192" t="str">
        <f t="shared" si="19"/>
        <v>-320023555.893088i</v>
      </c>
      <c r="AA81" s="192" t="str">
        <f t="shared" si="20"/>
        <v>22150.1592153998-44224139.6252562i</v>
      </c>
      <c r="AB81" s="192" t="str">
        <f t="shared" si="21"/>
        <v>1381.90263844297-22724660.6486521i</v>
      </c>
      <c r="AC81" s="192" t="str">
        <f t="shared" si="22"/>
        <v>17098.0710748995-38854787.475791i</v>
      </c>
      <c r="AD81" s="192" t="str">
        <f t="shared" si="23"/>
        <v>9999.9977959576-4.40050465262881i</v>
      </c>
      <c r="AE81" s="192" t="str">
        <f t="shared" si="24"/>
        <v>-647.352962697557+111.523978956739i</v>
      </c>
      <c r="AF81" s="296"/>
      <c r="AG81" s="296"/>
      <c r="AH81" s="296"/>
      <c r="AI81" s="296"/>
      <c r="AJ81" s="296"/>
      <c r="AK81" s="296"/>
      <c r="AL81" s="296"/>
      <c r="AM81" s="296"/>
      <c r="AN81" s="296"/>
      <c r="AO81" s="296"/>
      <c r="AP81" s="296"/>
      <c r="AQ81" s="296"/>
      <c r="AR81" s="296"/>
      <c r="AS81" s="296"/>
    </row>
    <row r="82" spans="1:45" s="192" customFormat="1" x14ac:dyDescent="0.2">
      <c r="A82" s="301">
        <f t="shared" si="0"/>
        <v>72.028999999999996</v>
      </c>
      <c r="B82" s="301">
        <f t="shared" si="25"/>
        <v>1.04</v>
      </c>
      <c r="C82" s="303">
        <f t="shared" si="26"/>
        <v>10.964781961431854</v>
      </c>
      <c r="D82" s="302">
        <f t="shared" si="1"/>
        <v>72.029375042248887</v>
      </c>
      <c r="E82" s="301">
        <f t="shared" si="2"/>
        <v>169.72148784215941</v>
      </c>
      <c r="G82" s="303"/>
      <c r="H82" s="315" t="str">
        <f t="shared" si="3"/>
        <v>1E+47-1.45151033236881E+54i</v>
      </c>
      <c r="I82" s="301" t="str">
        <f t="shared" si="4"/>
        <v>0.002-13.4274776352342i</v>
      </c>
      <c r="J82" s="301" t="str">
        <f t="shared" si="5"/>
        <v>0.002-13.4274776352342i</v>
      </c>
      <c r="K82" s="301"/>
      <c r="L82" s="301" t="str">
        <f t="shared" si="6"/>
        <v>0.0257141840749321-0.0000492439228644672i</v>
      </c>
      <c r="M82" s="301" t="str">
        <f t="shared" si="7"/>
        <v>0.003+0.0000206681270749489i</v>
      </c>
      <c r="N82" s="301" t="str">
        <f t="shared" si="8"/>
        <v>0.895522838032759-0.000823761701125375i</v>
      </c>
      <c r="O82" s="316">
        <f t="shared" si="9"/>
        <v>-0.95846300714415134</v>
      </c>
      <c r="P82" s="316">
        <f t="shared" si="10"/>
        <v>-5.2704468811089443E-2</v>
      </c>
      <c r="Q82" s="301">
        <f t="shared" si="11"/>
        <v>68.893756916496386</v>
      </c>
      <c r="R82" s="301">
        <f t="shared" si="27"/>
        <v>1.04</v>
      </c>
      <c r="S82" s="308">
        <f t="shared" si="12"/>
        <v>15.691715246980573</v>
      </c>
      <c r="T82" s="301" t="str">
        <f t="shared" si="13"/>
        <v>1+0.000524466145748867i</v>
      </c>
      <c r="U82" s="303">
        <f t="shared" si="14"/>
        <v>56.337659795268316</v>
      </c>
      <c r="V82" s="301">
        <f t="shared" si="15"/>
        <v>169.77419231097051</v>
      </c>
      <c r="W82" s="301">
        <f t="shared" si="16"/>
        <v>59.999997679387356</v>
      </c>
      <c r="X82" s="303">
        <f t="shared" si="17"/>
        <v>-4.1945198091243772E-2</v>
      </c>
      <c r="Y82" s="192" t="str">
        <f t="shared" si="18"/>
        <v>999.999464857826-0.732081551110448i</v>
      </c>
      <c r="Z82" s="192" t="str">
        <f t="shared" si="19"/>
        <v>-305620123.230116i</v>
      </c>
      <c r="AA82" s="192" t="str">
        <f t="shared" si="20"/>
        <v>22150.1592153998-42233725.4652965i</v>
      </c>
      <c r="AB82" s="192" t="str">
        <f t="shared" si="21"/>
        <v>1381.90263844297-21701882.4393158i</v>
      </c>
      <c r="AC82" s="192" t="str">
        <f t="shared" si="22"/>
        <v>17098.0710687994-37106034.0666169i</v>
      </c>
      <c r="AD82" s="192" t="str">
        <f t="shared" si="23"/>
        <v>9999.99758331563-4.60789393607492i</v>
      </c>
      <c r="AE82" s="192" t="str">
        <f t="shared" si="24"/>
        <v>-645.548935805052+116.452798668434i</v>
      </c>
      <c r="AF82" s="296"/>
      <c r="AG82" s="296"/>
      <c r="AH82" s="296"/>
      <c r="AI82" s="296"/>
      <c r="AJ82" s="296"/>
      <c r="AK82" s="296"/>
      <c r="AL82" s="296"/>
      <c r="AM82" s="296"/>
      <c r="AN82" s="296"/>
      <c r="AO82" s="296"/>
      <c r="AP82" s="296"/>
      <c r="AQ82" s="296"/>
      <c r="AR82" s="296"/>
      <c r="AS82" s="296"/>
    </row>
    <row r="83" spans="1:45" s="192" customFormat="1" x14ac:dyDescent="0.2">
      <c r="A83" s="301">
        <f t="shared" si="0"/>
        <v>72.016000000000005</v>
      </c>
      <c r="B83" s="301">
        <f t="shared" si="25"/>
        <v>1.0600000000000003</v>
      </c>
      <c r="C83" s="303">
        <f t="shared" si="26"/>
        <v>11.481536214968834</v>
      </c>
      <c r="D83" s="302">
        <f t="shared" si="1"/>
        <v>72.016056599532163</v>
      </c>
      <c r="E83" s="301">
        <f t="shared" si="2"/>
        <v>169.24812331468351</v>
      </c>
      <c r="G83" s="303"/>
      <c r="H83" s="315" t="str">
        <f t="shared" si="3"/>
        <v>1E+47-1.38618160594573E+54i</v>
      </c>
      <c r="I83" s="301" t="str">
        <f t="shared" si="4"/>
        <v>0.002-12.8231415906173i</v>
      </c>
      <c r="J83" s="301" t="str">
        <f t="shared" si="5"/>
        <v>0.002-12.8231415906173i</v>
      </c>
      <c r="K83" s="301"/>
      <c r="L83" s="301" t="str">
        <f t="shared" si="6"/>
        <v>0.0257141742689963-0.0000515646962561143i</v>
      </c>
      <c r="M83" s="301" t="str">
        <f t="shared" si="7"/>
        <v>0.003+0.0000216421858949228i</v>
      </c>
      <c r="N83" s="301" t="str">
        <f t="shared" si="8"/>
        <v>0.895522881445226-0.000862584566261715i</v>
      </c>
      <c r="O83" s="316">
        <f t="shared" si="9"/>
        <v>-0.95846223153692955</v>
      </c>
      <c r="P83" s="316">
        <f t="shared" si="10"/>
        <v>-5.5188360743618152E-2</v>
      </c>
      <c r="Q83" s="301">
        <f t="shared" si="11"/>
        <v>72.140619649742504</v>
      </c>
      <c r="R83" s="301">
        <f t="shared" si="27"/>
        <v>1.06</v>
      </c>
      <c r="S83" s="308">
        <f t="shared" si="12"/>
        <v>15.691716022587796</v>
      </c>
      <c r="T83" s="301" t="str">
        <f t="shared" si="13"/>
        <v>1+0.000549183473699863i</v>
      </c>
      <c r="U83" s="303">
        <f t="shared" si="14"/>
        <v>56.324340576944365</v>
      </c>
      <c r="V83" s="301">
        <f t="shared" si="15"/>
        <v>169.30331167542712</v>
      </c>
      <c r="W83" s="301">
        <f t="shared" si="16"/>
        <v>59.9999974554989</v>
      </c>
      <c r="X83" s="303">
        <f t="shared" si="17"/>
        <v>-4.3922013621364449E-2</v>
      </c>
      <c r="Y83" s="192" t="str">
        <f t="shared" si="18"/>
        <v>999.999413228304-0.766583452150053i</v>
      </c>
      <c r="Z83" s="192" t="str">
        <f t="shared" si="19"/>
        <v>-291864951.823719i</v>
      </c>
      <c r="AA83" s="192" t="str">
        <f t="shared" si="20"/>
        <v>22150.1592153998-40332894.6994228i</v>
      </c>
      <c r="AB83" s="192" t="str">
        <f t="shared" si="21"/>
        <v>1381.90263844297-20725136.8322553i</v>
      </c>
      <c r="AC83" s="192" t="str">
        <f t="shared" si="22"/>
        <v>17098.0710621108-35435987.5305909i</v>
      </c>
      <c r="AD83" s="192" t="str">
        <f t="shared" si="23"/>
        <v>9999.99735015835-4.82505715880857i</v>
      </c>
      <c r="AE83" s="192" t="str">
        <f t="shared" si="24"/>
        <v>-643.582441274434+121.567638203749i</v>
      </c>
      <c r="AF83" s="296"/>
      <c r="AG83" s="296"/>
      <c r="AH83" s="296"/>
      <c r="AI83" s="296"/>
      <c r="AJ83" s="296"/>
      <c r="AK83" s="296"/>
      <c r="AL83" s="296"/>
      <c r="AM83" s="296"/>
      <c r="AN83" s="296"/>
      <c r="AO83" s="296"/>
      <c r="AP83" s="296"/>
      <c r="AQ83" s="296"/>
      <c r="AR83" s="296"/>
      <c r="AS83" s="296"/>
    </row>
    <row r="84" spans="1:45" s="192" customFormat="1" x14ac:dyDescent="0.2">
      <c r="A84" s="301">
        <f t="shared" si="0"/>
        <v>72.001999999999995</v>
      </c>
      <c r="B84" s="301">
        <f t="shared" si="25"/>
        <v>1.08</v>
      </c>
      <c r="C84" s="303">
        <f t="shared" si="26"/>
        <v>12.022644346174133</v>
      </c>
      <c r="D84" s="302">
        <f t="shared" si="1"/>
        <v>72.001500016149578</v>
      </c>
      <c r="E84" s="301">
        <f t="shared" si="2"/>
        <v>168.75403757717413</v>
      </c>
      <c r="G84" s="303"/>
      <c r="H84" s="315" t="str">
        <f t="shared" si="3"/>
        <v>1E+47-1.32379315655746E+54i</v>
      </c>
      <c r="I84" s="301" t="str">
        <f t="shared" si="4"/>
        <v>0.002-12.2460051485426i</v>
      </c>
      <c r="J84" s="301" t="str">
        <f t="shared" si="5"/>
        <v>0.002-12.2460051485426i</v>
      </c>
      <c r="K84" s="301"/>
      <c r="L84" s="301" t="str">
        <f t="shared" si="6"/>
        <v>0.0257141635170109-0.000053994841188224i</v>
      </c>
      <c r="M84" s="301" t="str">
        <f t="shared" si="7"/>
        <v>0.003+0.0000226621506927981i</v>
      </c>
      <c r="N84" s="301" t="str">
        <f t="shared" si="8"/>
        <v>0.895522929046024-0.000903237122178495i</v>
      </c>
      <c r="O84" s="316">
        <f t="shared" si="9"/>
        <v>-0.95846138110058043</v>
      </c>
      <c r="P84" s="316">
        <f t="shared" si="10"/>
        <v>-5.7789315910060784E-2</v>
      </c>
      <c r="Q84" s="301">
        <f t="shared" si="11"/>
        <v>75.540502309327039</v>
      </c>
      <c r="R84" s="301">
        <f t="shared" si="27"/>
        <v>1.08</v>
      </c>
      <c r="S84" s="308">
        <f t="shared" si="12"/>
        <v>15.691716873024147</v>
      </c>
      <c r="T84" s="301" t="str">
        <f t="shared" si="13"/>
        <v>1+0.000575065693428887i</v>
      </c>
      <c r="U84" s="303">
        <f t="shared" si="14"/>
        <v>56.309783143125429</v>
      </c>
      <c r="V84" s="301">
        <f t="shared" si="15"/>
        <v>168.8118268930842</v>
      </c>
      <c r="W84" s="301">
        <f t="shared" si="16"/>
        <v>59.999997210010108</v>
      </c>
      <c r="X84" s="303">
        <f t="shared" si="17"/>
        <v>-4.599199348553161E-2</v>
      </c>
      <c r="Y84" s="192" t="str">
        <f t="shared" si="18"/>
        <v>999.999356617666-0.80271137183576i</v>
      </c>
      <c r="Z84" s="192" t="str">
        <f t="shared" si="19"/>
        <v>-278728865.111155i</v>
      </c>
      <c r="AA84" s="192" t="str">
        <f t="shared" si="20"/>
        <v>22150.1592153998-38517615.410732i</v>
      </c>
      <c r="AB84" s="192" t="str">
        <f t="shared" si="21"/>
        <v>1381.90263844297-19792352.0190837i</v>
      </c>
      <c r="AC84" s="192" t="str">
        <f t="shared" si="22"/>
        <v>17098.0710547769-33841105.4751027i</v>
      </c>
      <c r="AD84" s="192" t="str">
        <f t="shared" si="23"/>
        <v>9999.99709450649-5.05245494994918i</v>
      </c>
      <c r="AE84" s="192" t="str">
        <f t="shared" si="24"/>
        <v>-641.440019222103+126.870953599361i</v>
      </c>
      <c r="AF84" s="296"/>
      <c r="AG84" s="296"/>
      <c r="AH84" s="296"/>
      <c r="AI84" s="296"/>
      <c r="AJ84" s="296"/>
      <c r="AK84" s="296"/>
      <c r="AL84" s="296"/>
      <c r="AM84" s="296"/>
      <c r="AN84" s="296"/>
      <c r="AO84" s="296"/>
      <c r="AP84" s="296"/>
      <c r="AQ84" s="296"/>
      <c r="AR84" s="296"/>
      <c r="AS84" s="296"/>
    </row>
    <row r="85" spans="1:45" s="192" customFormat="1" x14ac:dyDescent="0.2">
      <c r="A85" s="301">
        <f t="shared" si="0"/>
        <v>71.986000000000004</v>
      </c>
      <c r="B85" s="301">
        <f t="shared" si="25"/>
        <v>1.1000000000000003</v>
      </c>
      <c r="C85" s="303">
        <f t="shared" si="26"/>
        <v>12.58925411794168</v>
      </c>
      <c r="D85" s="302">
        <f t="shared" si="1"/>
        <v>71.985594927324357</v>
      </c>
      <c r="E85" s="301">
        <f t="shared" si="2"/>
        <v>168.23847709555338</v>
      </c>
      <c r="G85" s="303"/>
      <c r="H85" s="315" t="str">
        <f t="shared" si="3"/>
        <v>1E+47-1.26421264993829E+54i</v>
      </c>
      <c r="I85" s="301" t="str">
        <f t="shared" si="4"/>
        <v>0.002-11.6948441252385i</v>
      </c>
      <c r="J85" s="301" t="str">
        <f t="shared" si="5"/>
        <v>0.002-11.6948441252385i</v>
      </c>
      <c r="K85" s="301"/>
      <c r="L85" s="301" t="str">
        <f t="shared" si="6"/>
        <v>0.0257141517277046-0.0000565395117175229i</v>
      </c>
      <c r="M85" s="301" t="str">
        <f t="shared" si="7"/>
        <v>0.003+0.0000237301849506604i</v>
      </c>
      <c r="N85" s="301" t="str">
        <f t="shared" si="8"/>
        <v>0.895522981239233-0.000945805603325793i</v>
      </c>
      <c r="O85" s="316">
        <f t="shared" si="9"/>
        <v>-0.95846044861570845</v>
      </c>
      <c r="P85" s="316">
        <f t="shared" si="10"/>
        <v>-6.0512851480833824E-2</v>
      </c>
      <c r="Q85" s="301">
        <f t="shared" si="11"/>
        <v>79.100616502201262</v>
      </c>
      <c r="R85" s="301">
        <f t="shared" si="27"/>
        <v>1.1000000000000001</v>
      </c>
      <c r="S85" s="308">
        <f t="shared" si="12"/>
        <v>15.691717805509018</v>
      </c>
      <c r="T85" s="301" t="str">
        <f t="shared" si="13"/>
        <v>1+0.000602167704594074i</v>
      </c>
      <c r="U85" s="303">
        <f t="shared" si="14"/>
        <v>56.293877121815342</v>
      </c>
      <c r="V85" s="301">
        <f t="shared" si="15"/>
        <v>168.29898994703422</v>
      </c>
      <c r="W85" s="301">
        <f t="shared" si="16"/>
        <v>59.999996940837008</v>
      </c>
      <c r="X85" s="303">
        <f t="shared" si="17"/>
        <v>-4.815952836699728E-2</v>
      </c>
      <c r="Y85" s="192" t="str">
        <f t="shared" si="18"/>
        <v>999.999294545342-0.84054194119804i</v>
      </c>
      <c r="Z85" s="192" t="str">
        <f t="shared" si="19"/>
        <v>-266183999.691321i</v>
      </c>
      <c r="AA85" s="192" t="str">
        <f t="shared" si="20"/>
        <v>22150.1592153998-36784037.1484741i</v>
      </c>
      <c r="AB85" s="192" t="str">
        <f t="shared" si="21"/>
        <v>1381.90263844297-18901549.4381513i</v>
      </c>
      <c r="AC85" s="192" t="str">
        <f t="shared" si="22"/>
        <v>17098.0710467354-32318004.9414832i</v>
      </c>
      <c r="AD85" s="192" t="str">
        <f t="shared" si="23"/>
        <v>9999.99681418982-5.29056964703523i</v>
      </c>
      <c r="AE85" s="192" t="str">
        <f t="shared" si="24"/>
        <v>-639.107320603521+132.364513309339i</v>
      </c>
      <c r="AF85" s="296"/>
      <c r="AG85" s="296"/>
      <c r="AH85" s="296"/>
      <c r="AI85" s="296"/>
      <c r="AJ85" s="296"/>
      <c r="AK85" s="296"/>
      <c r="AL85" s="296"/>
      <c r="AM85" s="296"/>
      <c r="AN85" s="296"/>
      <c r="AO85" s="296"/>
      <c r="AP85" s="296"/>
      <c r="AQ85" s="296"/>
      <c r="AR85" s="296"/>
      <c r="AS85" s="296"/>
    </row>
    <row r="86" spans="1:45" s="192" customFormat="1" x14ac:dyDescent="0.2">
      <c r="A86" s="301">
        <f t="shared" si="0"/>
        <v>71.968000000000004</v>
      </c>
      <c r="B86" s="301">
        <f t="shared" si="25"/>
        <v>1.1200000000000001</v>
      </c>
      <c r="C86" s="303">
        <f t="shared" si="26"/>
        <v>13.182567385564075</v>
      </c>
      <c r="D86" s="302">
        <f t="shared" si="1"/>
        <v>71.968222044094901</v>
      </c>
      <c r="E86" s="301">
        <f t="shared" si="2"/>
        <v>167.70068286545751</v>
      </c>
      <c r="G86" s="303"/>
      <c r="H86" s="315" t="str">
        <f t="shared" si="3"/>
        <v>1E+47-1.20731370784558E+54i</v>
      </c>
      <c r="I86" s="301" t="str">
        <f t="shared" si="4"/>
        <v>0.002-11.1684894342792i</v>
      </c>
      <c r="J86" s="301" t="str">
        <f t="shared" si="5"/>
        <v>0.002-11.1684894342792i</v>
      </c>
      <c r="K86" s="301"/>
      <c r="L86" s="301" t="str">
        <f t="shared" si="6"/>
        <v>0.0257141388010005-0.0000592041047350313i</v>
      </c>
      <c r="M86" s="301" t="str">
        <f t="shared" si="7"/>
        <v>0.003+0.0000248485541123643i</v>
      </c>
      <c r="N86" s="301" t="str">
        <f t="shared" si="8"/>
        <v>0.895523038467912-0.00099038030881816i</v>
      </c>
      <c r="O86" s="316">
        <f t="shared" si="9"/>
        <v>-0.95845942616646251</v>
      </c>
      <c r="P86" s="316">
        <f t="shared" si="10"/>
        <v>-6.3364744664833314E-2</v>
      </c>
      <c r="Q86" s="301">
        <f t="shared" si="11"/>
        <v>82.828513707881015</v>
      </c>
      <c r="R86" s="301">
        <f t="shared" si="27"/>
        <v>1.1200000000000001</v>
      </c>
      <c r="S86" s="308">
        <f t="shared" si="12"/>
        <v>15.691718827958264</v>
      </c>
      <c r="T86" s="301" t="str">
        <f t="shared" si="13"/>
        <v>1+0.000630546994194736i</v>
      </c>
      <c r="U86" s="303">
        <f t="shared" si="14"/>
        <v>56.276503216136639</v>
      </c>
      <c r="V86" s="301">
        <f t="shared" si="15"/>
        <v>167.76404761012233</v>
      </c>
      <c r="W86" s="301">
        <f t="shared" si="16"/>
        <v>59.999996645694587</v>
      </c>
      <c r="X86" s="303">
        <f t="shared" si="17"/>
        <v>-5.0429215873089524E-2</v>
      </c>
      <c r="Y86" s="192" t="str">
        <f t="shared" si="18"/>
        <v>999.999226484402-0.88015540264806i</v>
      </c>
      <c r="Z86" s="192" t="str">
        <f t="shared" si="19"/>
        <v>-254203746.222745i</v>
      </c>
      <c r="AA86" s="192" t="str">
        <f t="shared" si="20"/>
        <v>22150.1592153998-35128482.7607298i</v>
      </c>
      <c r="AB86" s="192" t="str">
        <f t="shared" si="21"/>
        <v>1381.90263844297-18050839.5777521i</v>
      </c>
      <c r="AC86" s="192" t="str">
        <f t="shared" si="22"/>
        <v>17098.0710379181-30863455.229295i</v>
      </c>
      <c r="AD86" s="192" t="str">
        <f t="shared" si="23"/>
        <v>9999.99650682873-5.53990631905655i</v>
      </c>
      <c r="AE86" s="192" t="str">
        <f t="shared" si="24"/>
        <v>-636.569092886882+138.049277580033i</v>
      </c>
      <c r="AF86" s="296"/>
      <c r="AG86" s="296"/>
      <c r="AH86" s="296"/>
      <c r="AI86" s="296"/>
      <c r="AJ86" s="296"/>
      <c r="AK86" s="296"/>
      <c r="AL86" s="296"/>
      <c r="AM86" s="296"/>
      <c r="AN86" s="296"/>
      <c r="AO86" s="296"/>
      <c r="AP86" s="296"/>
      <c r="AQ86" s="296"/>
      <c r="AR86" s="296"/>
      <c r="AS86" s="296"/>
    </row>
    <row r="87" spans="1:45" s="192" customFormat="1" x14ac:dyDescent="0.2">
      <c r="A87" s="301">
        <f t="shared" si="0"/>
        <v>71.948999999999998</v>
      </c>
      <c r="B87" s="301">
        <f t="shared" si="25"/>
        <v>1.1400000000000003</v>
      </c>
      <c r="C87" s="303">
        <f t="shared" si="26"/>
        <v>13.803842646028857</v>
      </c>
      <c r="D87" s="302">
        <f t="shared" si="1"/>
        <v>71.949252606650418</v>
      </c>
      <c r="E87" s="301">
        <f t="shared" si="2"/>
        <v>167.13989388685644</v>
      </c>
      <c r="G87" s="303"/>
      <c r="H87" s="315" t="str">
        <f t="shared" si="3"/>
        <v>1E+47-1.15297563999458E+54i</v>
      </c>
      <c r="I87" s="301" t="str">
        <f t="shared" si="4"/>
        <v>0.002-10.6658246067953i</v>
      </c>
      <c r="J87" s="301" t="str">
        <f t="shared" si="5"/>
        <v>0.002-10.6658246067953i</v>
      </c>
      <c r="K87" s="301"/>
      <c r="L87" s="301" t="str">
        <f t="shared" si="6"/>
        <v>0.0257141246271674-0.000061994271400284i</v>
      </c>
      <c r="M87" s="301" t="str">
        <f t="shared" si="7"/>
        <v>0.003+0.0000260196303888442i</v>
      </c>
      <c r="N87" s="301" t="str">
        <f t="shared" si="8"/>
        <v>0.895523101217868-0.00103705579407933i</v>
      </c>
      <c r="O87" s="316">
        <f t="shared" si="9"/>
        <v>-0.95845830507323926</v>
      </c>
      <c r="P87" s="316">
        <f t="shared" si="10"/>
        <v>-6.6351044967966677E-2</v>
      </c>
      <c r="Q87" s="301">
        <f t="shared" si="11"/>
        <v>86.732101296147491</v>
      </c>
      <c r="R87" s="301">
        <f t="shared" si="27"/>
        <v>1.1400000000000001</v>
      </c>
      <c r="S87" s="308">
        <f t="shared" si="12"/>
        <v>15.691719949051489</v>
      </c>
      <c r="T87" s="301" t="str">
        <f t="shared" si="13"/>
        <v>1+0.000660263758508993i</v>
      </c>
      <c r="U87" s="303">
        <f t="shared" si="14"/>
        <v>56.257532657598937</v>
      </c>
      <c r="V87" s="301">
        <f t="shared" si="15"/>
        <v>167.20624493182441</v>
      </c>
      <c r="W87" s="301">
        <f t="shared" si="16"/>
        <v>59.999996322077386</v>
      </c>
      <c r="X87" s="303">
        <f t="shared" si="17"/>
        <v>-5.280587028688026E-2</v>
      </c>
      <c r="Y87" s="192" t="str">
        <f t="shared" si="18"/>
        <v>999.999151857075-0.921635780157759i</v>
      </c>
      <c r="Z87" s="192" t="str">
        <f t="shared" si="19"/>
        <v>-242762692.981596i</v>
      </c>
      <c r="AA87" s="192" t="str">
        <f t="shared" si="20"/>
        <v>22150.1592153998-33547440.5946788i</v>
      </c>
      <c r="AB87" s="192" t="str">
        <f t="shared" si="21"/>
        <v>1381.90263844297-17238417.9682156i</v>
      </c>
      <c r="AC87" s="192" t="str">
        <f t="shared" si="22"/>
        <v>17098.0710282501-29474371.0435838i</v>
      </c>
      <c r="AD87" s="192" t="str">
        <f t="shared" si="23"/>
        <v>9999.99616981401-5.80099383769307i</v>
      </c>
      <c r="AE87" s="192" t="str">
        <f t="shared" si="24"/>
        <v>-633.809175560718+143.925265898639i</v>
      </c>
      <c r="AF87" s="296"/>
      <c r="AG87" s="296"/>
      <c r="AH87" s="296"/>
      <c r="AI87" s="296"/>
      <c r="AJ87" s="296"/>
      <c r="AK87" s="296"/>
      <c r="AL87" s="296"/>
      <c r="AM87" s="296"/>
      <c r="AN87" s="296"/>
      <c r="AO87" s="296"/>
      <c r="AP87" s="296"/>
      <c r="AQ87" s="296"/>
      <c r="AR87" s="296"/>
      <c r="AS87" s="296"/>
    </row>
    <row r="88" spans="1:45" s="192" customFormat="1" x14ac:dyDescent="0.2">
      <c r="A88" s="301">
        <f t="shared" si="0"/>
        <v>71.929000000000002</v>
      </c>
      <c r="B88" s="301">
        <f t="shared" si="25"/>
        <v>1.1600000000000001</v>
      </c>
      <c r="C88" s="303">
        <f t="shared" si="26"/>
        <v>14.454397707459282</v>
      </c>
      <c r="D88" s="302">
        <f t="shared" si="1"/>
        <v>71.928547838512685</v>
      </c>
      <c r="E88" s="301">
        <f t="shared" si="2"/>
        <v>166.55535118989056</v>
      </c>
      <c r="G88" s="303"/>
      <c r="H88" s="315" t="str">
        <f t="shared" si="3"/>
        <v>1E+47-1.10108318805814E+54i</v>
      </c>
      <c r="I88" s="301" t="str">
        <f t="shared" si="4"/>
        <v>0.002-10.1857834232945i</v>
      </c>
      <c r="J88" s="301" t="str">
        <f t="shared" si="5"/>
        <v>0.002-10.1857834232945i</v>
      </c>
      <c r="K88" s="301"/>
      <c r="L88" s="301" t="str">
        <f t="shared" si="6"/>
        <v>0.0257141090858879-0.0000649159291129095i</v>
      </c>
      <c r="M88" s="301" t="str">
        <f t="shared" si="7"/>
        <v>0.003+0.0000272458977898915i</v>
      </c>
      <c r="N88" s="301" t="str">
        <f t="shared" si="8"/>
        <v>0.895523170021775-0.00108593107153116i</v>
      </c>
      <c r="O88" s="316">
        <f t="shared" si="9"/>
        <v>-0.95845707581907069</v>
      </c>
      <c r="P88" s="316">
        <f t="shared" si="10"/>
        <v>-6.9478087029900451E-2</v>
      </c>
      <c r="Q88" s="301">
        <f t="shared" si="11"/>
        <v>90.81965929963846</v>
      </c>
      <c r="R88" s="301">
        <f t="shared" si="27"/>
        <v>1.1600000000000001</v>
      </c>
      <c r="S88" s="308">
        <f t="shared" si="12"/>
        <v>15.691721178305656</v>
      </c>
      <c r="T88" s="301" t="str">
        <f t="shared" si="13"/>
        <v>1+0.000691381030778151i</v>
      </c>
      <c r="U88" s="303">
        <f t="shared" si="14"/>
        <v>56.236826660207022</v>
      </c>
      <c r="V88" s="301">
        <f t="shared" si="15"/>
        <v>166.62482927692045</v>
      </c>
      <c r="W88" s="301">
        <f t="shared" si="16"/>
        <v>59.999995967238213</v>
      </c>
      <c r="X88" s="303">
        <f t="shared" si="17"/>
        <v>-5.529453277838197E-2</v>
      </c>
      <c r="Y88" s="192" t="str">
        <f t="shared" si="18"/>
        <v>999.999070029852-0.96507105745747i</v>
      </c>
      <c r="Z88" s="192" t="str">
        <f t="shared" si="19"/>
        <v>-231836571.960022i</v>
      </c>
      <c r="AA88" s="192" t="str">
        <f t="shared" si="20"/>
        <v>22150.1592153998-32037557.0479129i</v>
      </c>
      <c r="AB88" s="192" t="str">
        <f t="shared" si="21"/>
        <v>1381.90263844297-16462561.3543846i</v>
      </c>
      <c r="AC88" s="192" t="str">
        <f t="shared" si="22"/>
        <v>17098.0710176493-28147805.9505538i</v>
      </c>
      <c r="AD88" s="192" t="str">
        <f t="shared" si="23"/>
        <v>9999.99580028475-6.07438599903024i</v>
      </c>
      <c r="AE88" s="192" t="str">
        <f t="shared" si="24"/>
        <v>-630.810507814575+149.991412411123i</v>
      </c>
      <c r="AF88" s="296"/>
      <c r="AG88" s="296"/>
      <c r="AH88" s="296"/>
      <c r="AI88" s="296"/>
      <c r="AJ88" s="296"/>
      <c r="AK88" s="296"/>
      <c r="AL88" s="296"/>
      <c r="AM88" s="296"/>
      <c r="AN88" s="296"/>
      <c r="AO88" s="296"/>
      <c r="AP88" s="296"/>
      <c r="AQ88" s="296"/>
      <c r="AR88" s="296"/>
      <c r="AS88" s="296"/>
    </row>
    <row r="89" spans="1:45" s="192" customFormat="1" x14ac:dyDescent="0.2">
      <c r="A89" s="301">
        <f t="shared" si="0"/>
        <v>71.906000000000006</v>
      </c>
      <c r="B89" s="301">
        <f t="shared" si="25"/>
        <v>1.1800000000000004</v>
      </c>
      <c r="C89" s="303">
        <f t="shared" si="26"/>
        <v>15.135612484362092</v>
      </c>
      <c r="D89" s="302">
        <f t="shared" si="1"/>
        <v>71.90595840968092</v>
      </c>
      <c r="E89" s="301">
        <f t="shared" si="2"/>
        <v>165.94630245951186</v>
      </c>
      <c r="G89" s="303"/>
      <c r="H89" s="315" t="str">
        <f t="shared" si="3"/>
        <v>1E+47-1.05152628118837E+54i</v>
      </c>
      <c r="I89" s="301" t="str">
        <f t="shared" si="4"/>
        <v>0.002-9.72734765206636i</v>
      </c>
      <c r="J89" s="301" t="str">
        <f t="shared" si="5"/>
        <v>0.002-9.7273476520664i</v>
      </c>
      <c r="K89" s="301"/>
      <c r="L89" s="301" t="str">
        <f t="shared" si="6"/>
        <v>0.025714092045237-0.0000679752740466826i</v>
      </c>
      <c r="M89" s="301" t="str">
        <f t="shared" si="7"/>
        <v>0.003+0.0000285299573930723i</v>
      </c>
      <c r="N89" s="301" t="str">
        <f t="shared" si="8"/>
        <v>0.895523245463696-0.00113710982075487i</v>
      </c>
      <c r="O89" s="316">
        <f t="shared" si="9"/>
        <v>-0.95845572796880829</v>
      </c>
      <c r="P89" s="316">
        <f t="shared" si="10"/>
        <v>-7.2752504066345994E-2</v>
      </c>
      <c r="Q89" s="301">
        <f t="shared" si="11"/>
        <v>95.099857976907813</v>
      </c>
      <c r="R89" s="301">
        <f t="shared" si="27"/>
        <v>1.1800000000000002</v>
      </c>
      <c r="S89" s="308">
        <f t="shared" si="12"/>
        <v>15.691722526155917</v>
      </c>
      <c r="T89" s="301" t="str">
        <f t="shared" si="13"/>
        <v>1+0.00072396481490866i</v>
      </c>
      <c r="U89" s="303">
        <f t="shared" si="14"/>
        <v>56.214235883525006</v>
      </c>
      <c r="V89" s="301">
        <f t="shared" si="15"/>
        <v>166.01905496357821</v>
      </c>
      <c r="W89" s="301">
        <f t="shared" si="16"/>
        <v>59.999995578164835</v>
      </c>
      <c r="X89" s="303">
        <f t="shared" si="17"/>
        <v>-5.790048209692121E-2</v>
      </c>
      <c r="Y89" s="192" t="str">
        <f t="shared" si="18"/>
        <v>999.998980308101-1.01055336462848i</v>
      </c>
      <c r="Z89" s="192" t="str">
        <f t="shared" si="19"/>
        <v>-221402207.390446i</v>
      </c>
      <c r="AA89" s="192" t="str">
        <f t="shared" si="20"/>
        <v>22150.1592153998-30595629.4549956i</v>
      </c>
      <c r="AB89" s="192" t="str">
        <f t="shared" si="21"/>
        <v>1381.90263844297-15721624.0403603i</v>
      </c>
      <c r="AC89" s="192" t="str">
        <f t="shared" si="22"/>
        <v>17098.0710060258-26880946.1277869i</v>
      </c>
      <c r="AD89" s="192" t="str">
        <f t="shared" si="23"/>
        <v>9999.99539510401-6.36066269812865i</v>
      </c>
      <c r="AE89" s="192" t="str">
        <f t="shared" si="24"/>
        <v>-627.555151018266+156.245409502068i</v>
      </c>
      <c r="AF89" s="296"/>
      <c r="AG89" s="296"/>
      <c r="AH89" s="296"/>
      <c r="AI89" s="296"/>
      <c r="AJ89" s="296"/>
      <c r="AK89" s="296"/>
      <c r="AL89" s="296"/>
      <c r="AM89" s="296"/>
      <c r="AN89" s="296"/>
      <c r="AO89" s="296"/>
      <c r="AP89" s="296"/>
      <c r="AQ89" s="296"/>
      <c r="AR89" s="296"/>
      <c r="AS89" s="296"/>
    </row>
    <row r="90" spans="1:45" s="192" customFormat="1" x14ac:dyDescent="0.2">
      <c r="A90" s="301">
        <f t="shared" si="0"/>
        <v>71.881</v>
      </c>
      <c r="B90" s="301">
        <f t="shared" si="25"/>
        <v>1.2000000000000002</v>
      </c>
      <c r="C90" s="303">
        <f t="shared" si="26"/>
        <v>15.848931924611144</v>
      </c>
      <c r="D90" s="302">
        <f t="shared" si="1"/>
        <v>71.881323918528537</v>
      </c>
      <c r="E90" s="301">
        <f t="shared" si="2"/>
        <v>165.31200730502698</v>
      </c>
      <c r="G90" s="303"/>
      <c r="H90" s="315" t="str">
        <f t="shared" si="3"/>
        <v>1E+47-1.00419980254159E+54i</v>
      </c>
      <c r="I90" s="301" t="str">
        <f t="shared" si="4"/>
        <v>0.002-9.28954488937636i</v>
      </c>
      <c r="J90" s="301" t="str">
        <f t="shared" si="5"/>
        <v>0.002-9.28954488937636i</v>
      </c>
      <c r="K90" s="301"/>
      <c r="L90" s="301" t="str">
        <f t="shared" si="6"/>
        <v>0.0257140733605628-0.0000711787942722949i</v>
      </c>
      <c r="M90" s="301" t="str">
        <f t="shared" si="7"/>
        <v>0.003+0.0000298745328609619i</v>
      </c>
      <c r="N90" s="301" t="str">
        <f t="shared" si="8"/>
        <v>0.895523328184044-0.00119070060857308i</v>
      </c>
      <c r="O90" s="316">
        <f t="shared" si="9"/>
        <v>-0.95845425008052465</v>
      </c>
      <c r="P90" s="316">
        <f t="shared" si="10"/>
        <v>-7.6181241945504102E-2</v>
      </c>
      <c r="Q90" s="301">
        <f t="shared" si="11"/>
        <v>99.581776203206218</v>
      </c>
      <c r="R90" s="301">
        <f t="shared" si="27"/>
        <v>1.2000000000000002</v>
      </c>
      <c r="S90" s="308">
        <f t="shared" si="12"/>
        <v>15.6917240040442</v>
      </c>
      <c r="T90" s="301" t="str">
        <f t="shared" si="13"/>
        <v>1+0.000758084225475243i</v>
      </c>
      <c r="U90" s="303">
        <f t="shared" si="14"/>
        <v>56.189599914484333</v>
      </c>
      <c r="V90" s="301">
        <f t="shared" si="15"/>
        <v>165.38818854697249</v>
      </c>
      <c r="W90" s="301">
        <f t="shared" si="16"/>
        <v>59.999995151554387</v>
      </c>
      <c r="X90" s="303">
        <f t="shared" si="17"/>
        <v>-6.0629245767355573E-2</v>
      </c>
      <c r="Y90" s="192" t="str">
        <f t="shared" si="18"/>
        <v>999.998881930176-1.05817917348569i</v>
      </c>
      <c r="Z90" s="192" t="str">
        <f t="shared" si="19"/>
        <v>-211437466.586656i</v>
      </c>
      <c r="AA90" s="192" t="str">
        <f t="shared" si="20"/>
        <v>22150.1592153998-29218599.2941798i</v>
      </c>
      <c r="AB90" s="192" t="str">
        <f t="shared" si="21"/>
        <v>1381.90263844297-15014034.3987604i</v>
      </c>
      <c r="AC90" s="192" t="str">
        <f t="shared" si="22"/>
        <v>17098.070993281-25671104.3957483i</v>
      </c>
      <c r="AD90" s="192" t="str">
        <f t="shared" si="23"/>
        <v>9999.9949508322-6.66043115893755i</v>
      </c>
      <c r="AE90" s="192" t="str">
        <f t="shared" si="24"/>
        <v>-624.024328904046+162.683540108471i</v>
      </c>
      <c r="AF90" s="296"/>
      <c r="AG90" s="296"/>
      <c r="AH90" s="296"/>
      <c r="AI90" s="296"/>
      <c r="AJ90" s="296"/>
      <c r="AK90" s="296"/>
      <c r="AL90" s="296"/>
      <c r="AM90" s="296"/>
      <c r="AN90" s="296"/>
      <c r="AO90" s="296"/>
      <c r="AP90" s="296"/>
      <c r="AQ90" s="296"/>
      <c r="AR90" s="296"/>
      <c r="AS90" s="296"/>
    </row>
    <row r="91" spans="1:45" s="192" customFormat="1" x14ac:dyDescent="0.2">
      <c r="A91" s="301">
        <f t="shared" si="0"/>
        <v>71.853999999999999</v>
      </c>
      <c r="B91" s="301">
        <f t="shared" si="25"/>
        <v>1.2200000000000004</v>
      </c>
      <c r="C91" s="303">
        <f t="shared" si="26"/>
        <v>16.595869074375621</v>
      </c>
      <c r="D91" s="302">
        <f t="shared" si="1"/>
        <v>71.854472404068233</v>
      </c>
      <c r="E91" s="301">
        <f t="shared" si="2"/>
        <v>164.65174321744712</v>
      </c>
      <c r="G91" s="303"/>
      <c r="H91" s="315" t="str">
        <f t="shared" si="3"/>
        <v>1E+47-9.59003366311403E+53i</v>
      </c>
      <c r="I91" s="301" t="str">
        <f t="shared" si="4"/>
        <v>0.002-8.87144649686778i</v>
      </c>
      <c r="J91" s="301" t="str">
        <f t="shared" si="5"/>
        <v>0.002-8.87144649686778i</v>
      </c>
      <c r="K91" s="301"/>
      <c r="L91" s="301" t="str">
        <f t="shared" si="6"/>
        <v>0.0257140528732586-0.0000745332834962846i</v>
      </c>
      <c r="M91" s="301" t="str">
        <f t="shared" si="7"/>
        <v>0.003+0.0000312824762183979i</v>
      </c>
      <c r="N91" s="301" t="str">
        <f t="shared" si="8"/>
        <v>0.895523418885012-0.00124681711952256i</v>
      </c>
      <c r="O91" s="316">
        <f t="shared" si="9"/>
        <v>-0.95845262960842859</v>
      </c>
      <c r="P91" s="316">
        <f t="shared" si="10"/>
        <v>-7.9771573928649378E-2</v>
      </c>
      <c r="Q91" s="301">
        <f t="shared" si="11"/>
        <v>104.27492072799298</v>
      </c>
      <c r="R91" s="301">
        <f t="shared" si="27"/>
        <v>1.2200000000000002</v>
      </c>
      <c r="S91" s="308">
        <f t="shared" si="12"/>
        <v>15.691725624516298</v>
      </c>
      <c r="T91" s="301" t="str">
        <f t="shared" si="13"/>
        <v>1+0.000793811634322183i</v>
      </c>
      <c r="U91" s="303">
        <f t="shared" si="14"/>
        <v>56.162746779551938</v>
      </c>
      <c r="V91" s="301">
        <f t="shared" si="15"/>
        <v>164.73151479137576</v>
      </c>
      <c r="W91" s="301">
        <f t="shared" si="16"/>
        <v>59.999994683785395</v>
      </c>
      <c r="X91" s="303">
        <f t="shared" si="17"/>
        <v>-6.3486611813877158E-2</v>
      </c>
      <c r="Y91" s="192" t="str">
        <f t="shared" si="18"/>
        <v>999.998774060948-1.10804950216421i</v>
      </c>
      <c r="Z91" s="192" t="str">
        <f t="shared" si="19"/>
        <v>-201921212.997412i</v>
      </c>
      <c r="AA91" s="192" t="str">
        <f t="shared" si="20"/>
        <v>22150.1592153998-27903545.6998728i</v>
      </c>
      <c r="AB91" s="192" t="str">
        <f t="shared" si="21"/>
        <v>1381.90263844297-14338291.537087i</v>
      </c>
      <c r="AC91" s="192" t="str">
        <f t="shared" si="22"/>
        <v>17098.0709793065-24515714.517918i</v>
      </c>
      <c r="AD91" s="192" t="str">
        <f t="shared" si="23"/>
        <v>9999.99446369791-6.97432722215838i</v>
      </c>
      <c r="AE91" s="192" t="str">
        <f t="shared" si="24"/>
        <v>-620.198488611047+169.300499811927i</v>
      </c>
      <c r="AF91" s="296"/>
      <c r="AG91" s="296"/>
      <c r="AH91" s="296"/>
      <c r="AI91" s="296"/>
      <c r="AJ91" s="296"/>
      <c r="AK91" s="296"/>
      <c r="AL91" s="296"/>
      <c r="AM91" s="296"/>
      <c r="AN91" s="296"/>
      <c r="AO91" s="296"/>
      <c r="AP91" s="296"/>
      <c r="AQ91" s="296"/>
      <c r="AR91" s="296"/>
      <c r="AS91" s="296"/>
    </row>
    <row r="92" spans="1:45" s="192" customFormat="1" x14ac:dyDescent="0.2">
      <c r="A92" s="301">
        <f t="shared" si="0"/>
        <v>71.825000000000003</v>
      </c>
      <c r="B92" s="301">
        <f t="shared" si="25"/>
        <v>1.2400000000000002</v>
      </c>
      <c r="C92" s="303">
        <f t="shared" si="26"/>
        <v>17.378008287493763</v>
      </c>
      <c r="D92" s="302">
        <f t="shared" si="1"/>
        <v>71.82521990217532</v>
      </c>
      <c r="E92" s="301">
        <f t="shared" si="2"/>
        <v>163.96481225229854</v>
      </c>
      <c r="G92" s="303"/>
      <c r="H92" s="315" t="str">
        <f t="shared" si="3"/>
        <v>1E+47-9.15841104796989E+53i</v>
      </c>
      <c r="I92" s="301" t="str">
        <f t="shared" si="4"/>
        <v>0.002-8.47216563179454i</v>
      </c>
      <c r="J92" s="301" t="str">
        <f t="shared" si="5"/>
        <v>0.002-8.47216563179454i</v>
      </c>
      <c r="K92" s="301"/>
      <c r="L92" s="301" t="str">
        <f t="shared" si="6"/>
        <v>0.0257140304094168-0.0000780458554448468i</v>
      </c>
      <c r="M92" s="301" t="str">
        <f t="shared" si="7"/>
        <v>0.003+0.0000327567739020078i</v>
      </c>
      <c r="N92" s="301" t="str">
        <f t="shared" si="8"/>
        <v>0.895523518336539-0.00130557839721027i</v>
      </c>
      <c r="O92" s="316">
        <f t="shared" si="9"/>
        <v>-0.95845085279631559</v>
      </c>
      <c r="P92" s="316">
        <f t="shared" si="10"/>
        <v>-8.3531116106269745E-2</v>
      </c>
      <c r="Q92" s="301">
        <f t="shared" si="11"/>
        <v>109.1892463400259</v>
      </c>
      <c r="R92" s="301">
        <f t="shared" si="27"/>
        <v>1.2400000000000002</v>
      </c>
      <c r="S92" s="308">
        <f t="shared" si="12"/>
        <v>15.691727401328411</v>
      </c>
      <c r="T92" s="301" t="str">
        <f t="shared" si="13"/>
        <v>1+0.000831222824073698i</v>
      </c>
      <c r="U92" s="303">
        <f t="shared" si="14"/>
        <v>56.133492500846913</v>
      </c>
      <c r="V92" s="301">
        <f t="shared" si="15"/>
        <v>164.0483433684048</v>
      </c>
      <c r="W92" s="301">
        <f t="shared" si="16"/>
        <v>59.999994170886936</v>
      </c>
      <c r="X92" s="303">
        <f t="shared" si="17"/>
        <v>-6.6478641036235769E-2</v>
      </c>
      <c r="Y92" s="192" t="str">
        <f t="shared" si="18"/>
        <v>999.998655784718-1.16027012934271i</v>
      </c>
      <c r="Z92" s="192" t="str">
        <f t="shared" si="19"/>
        <v>-192833261.372983i</v>
      </c>
      <c r="AA92" s="192" t="str">
        <f t="shared" si="20"/>
        <v>22150.1592153998-26647679.2670889i</v>
      </c>
      <c r="AB92" s="192" t="str">
        <f t="shared" si="21"/>
        <v>1381.90263844297-13692962.114132i</v>
      </c>
      <c r="AC92" s="192" t="str">
        <f t="shared" si="22"/>
        <v>17098.0709639837-23412325.7574593i</v>
      </c>
      <c r="AD92" s="192" t="str">
        <f t="shared" si="23"/>
        <v>9999.99392956584-7.30301669378779i</v>
      </c>
      <c r="AE92" s="192" t="str">
        <f t="shared" si="24"/>
        <v>-616.057385962781+176.0892103278i</v>
      </c>
      <c r="AF92" s="296"/>
      <c r="AG92" s="296"/>
      <c r="AH92" s="296"/>
      <c r="AI92" s="296"/>
      <c r="AJ92" s="296"/>
      <c r="AK92" s="296"/>
      <c r="AL92" s="296"/>
      <c r="AM92" s="296"/>
      <c r="AN92" s="296"/>
      <c r="AO92" s="296"/>
      <c r="AP92" s="296"/>
      <c r="AQ92" s="296"/>
      <c r="AR92" s="296"/>
      <c r="AS92" s="296"/>
    </row>
    <row r="93" spans="1:45" s="192" customFormat="1" x14ac:dyDescent="0.2">
      <c r="A93" s="301">
        <f t="shared" si="0"/>
        <v>71.793000000000006</v>
      </c>
      <c r="B93" s="301">
        <f t="shared" si="25"/>
        <v>1.2600000000000002</v>
      </c>
      <c r="C93" s="303">
        <f t="shared" si="26"/>
        <v>18.197008586099848</v>
      </c>
      <c r="D93" s="302">
        <f t="shared" si="1"/>
        <v>71.793370061438154</v>
      </c>
      <c r="E93" s="301">
        <f t="shared" si="2"/>
        <v>163.25054846778278</v>
      </c>
      <c r="G93" s="303"/>
      <c r="H93" s="315" t="str">
        <f t="shared" si="3"/>
        <v>1E+47-8.74621465054809E+53i</v>
      </c>
      <c r="I93" s="301" t="str">
        <f t="shared" si="4"/>
        <v>0.002-8.09085536590943i</v>
      </c>
      <c r="J93" s="301" t="str">
        <f t="shared" si="5"/>
        <v>0.002-8.09085536590943i</v>
      </c>
      <c r="K93" s="301"/>
      <c r="L93" s="301" t="str">
        <f t="shared" si="6"/>
        <v>0.0257140057783525-0.0000817239589225016i</v>
      </c>
      <c r="M93" s="301" t="str">
        <f t="shared" si="7"/>
        <v>0.003+0.000034300553094841i</v>
      </c>
      <c r="N93" s="301" t="str">
        <f t="shared" si="8"/>
        <v>0.895523627382839-0.00136710909706862i</v>
      </c>
      <c r="O93" s="316">
        <f t="shared" si="9"/>
        <v>-0.95844890456085041</v>
      </c>
      <c r="P93" s="316">
        <f t="shared" si="10"/>
        <v>-8.7467843562659783E-2</v>
      </c>
      <c r="Q93" s="301">
        <f t="shared" si="11"/>
        <v>114.33517698280335</v>
      </c>
      <c r="R93" s="301">
        <f t="shared" si="27"/>
        <v>1.2600000000000002</v>
      </c>
      <c r="S93" s="308">
        <f t="shared" si="12"/>
        <v>15.691729349563875</v>
      </c>
      <c r="T93" s="301" t="str">
        <f t="shared" si="13"/>
        <v>1+0.00087039714887906i</v>
      </c>
      <c r="U93" s="303">
        <f t="shared" si="14"/>
        <v>56.101640711874275</v>
      </c>
      <c r="V93" s="301">
        <f t="shared" si="15"/>
        <v>163.33801631134543</v>
      </c>
      <c r="W93" s="301">
        <f t="shared" si="16"/>
        <v>59.999993608505036</v>
      </c>
      <c r="X93" s="303">
        <f t="shared" si="17"/>
        <v>-6.9611679864430093E-2</v>
      </c>
      <c r="Y93" s="192" t="str">
        <f t="shared" si="18"/>
        <v>999.998526097444-1.21495181855743i</v>
      </c>
      <c r="Z93" s="192" t="str">
        <f t="shared" si="19"/>
        <v>-184154334.949533i</v>
      </c>
      <c r="AA93" s="192" t="str">
        <f t="shared" si="20"/>
        <v>22150.1592153998-25448336.134747i</v>
      </c>
      <c r="AB93" s="192" t="str">
        <f t="shared" si="21"/>
        <v>1381.90263844297-13076677.2996685i</v>
      </c>
      <c r="AC93" s="192" t="str">
        <f t="shared" si="22"/>
        <v>17098.0709471827-22358597.6788774i</v>
      </c>
      <c r="AD93" s="192" t="str">
        <f t="shared" si="23"/>
        <v>9999.99334390175-7.64719675719711i</v>
      </c>
      <c r="AE93" s="192" t="str">
        <f t="shared" si="24"/>
        <v>-611.580198491381+183.040626692548i</v>
      </c>
      <c r="AF93" s="296"/>
      <c r="AG93" s="296"/>
      <c r="AH93" s="296"/>
      <c r="AI93" s="296"/>
      <c r="AJ93" s="296"/>
      <c r="AK93" s="296"/>
      <c r="AL93" s="296"/>
      <c r="AM93" s="296"/>
      <c r="AN93" s="296"/>
      <c r="AO93" s="296"/>
      <c r="AP93" s="296"/>
      <c r="AQ93" s="296"/>
      <c r="AR93" s="296"/>
      <c r="AS93" s="296"/>
    </row>
    <row r="94" spans="1:45" s="192" customFormat="1" x14ac:dyDescent="0.2">
      <c r="A94" s="301">
        <f t="shared" si="0"/>
        <v>71.759</v>
      </c>
      <c r="B94" s="301">
        <f t="shared" si="25"/>
        <v>1.2800000000000002</v>
      </c>
      <c r="C94" s="303">
        <f t="shared" si="26"/>
        <v>19.054607179632484</v>
      </c>
      <c r="D94" s="302">
        <f t="shared" si="1"/>
        <v>71.758713836442723</v>
      </c>
      <c r="E94" s="301">
        <f t="shared" si="2"/>
        <v>162.50832613748105</v>
      </c>
      <c r="G94" s="303"/>
      <c r="H94" s="315" t="str">
        <f t="shared" si="3"/>
        <v>1E+47-8.3525701470255E+53i</v>
      </c>
      <c r="I94" s="301" t="str">
        <f t="shared" si="4"/>
        <v>0.002-7.72670688901525i</v>
      </c>
      <c r="J94" s="301" t="str">
        <f t="shared" si="5"/>
        <v>0.002-7.72670688901525i</v>
      </c>
      <c r="K94" s="301"/>
      <c r="L94" s="301" t="str">
        <f t="shared" si="6"/>
        <v>0.0257139787709861-0.0000855753935770023i</v>
      </c>
      <c r="M94" s="301" t="str">
        <f t="shared" si="7"/>
        <v>0.003+0.0000359170883595436i</v>
      </c>
      <c r="N94" s="301" t="str">
        <f t="shared" si="8"/>
        <v>0.895523746949574-0.00143153975105089i</v>
      </c>
      <c r="O94" s="316">
        <f t="shared" si="9"/>
        <v>-0.95844676836344878</v>
      </c>
      <c r="P94" s="316">
        <f t="shared" si="10"/>
        <v>-9.159010730344623E-2</v>
      </c>
      <c r="Q94" s="301">
        <f t="shared" si="11"/>
        <v>119.72362786514547</v>
      </c>
      <c r="R94" s="301">
        <f t="shared" si="27"/>
        <v>1.2800000000000002</v>
      </c>
      <c r="S94" s="308">
        <f t="shared" si="12"/>
        <v>15.691731485761277</v>
      </c>
      <c r="T94" s="301" t="str">
        <f t="shared" si="13"/>
        <v>1+0.000911417702733373i</v>
      </c>
      <c r="U94" s="303">
        <f t="shared" si="14"/>
        <v>56.06698235068145</v>
      </c>
      <c r="V94" s="301">
        <f t="shared" si="15"/>
        <v>162.59991624478451</v>
      </c>
      <c r="W94" s="301">
        <f t="shared" si="16"/>
        <v>59.999992991865632</v>
      </c>
      <c r="X94" s="303">
        <f t="shared" si="17"/>
        <v>-7.2892373819088405E-2</v>
      </c>
      <c r="Y94" s="192" t="str">
        <f t="shared" si="18"/>
        <v>999.998383898213-1.27221055308114i</v>
      </c>
      <c r="Z94" s="192" t="str">
        <f t="shared" si="19"/>
        <v>-175866024.560512i</v>
      </c>
      <c r="AA94" s="192" t="str">
        <f t="shared" si="20"/>
        <v>22150.1592153998-24302972.3352648i</v>
      </c>
      <c r="AB94" s="192" t="str">
        <f t="shared" si="21"/>
        <v>1381.90263844297-12488129.8709782i</v>
      </c>
      <c r="AC94" s="192" t="str">
        <f t="shared" si="22"/>
        <v>17098.0709287607-21352295.1836418i</v>
      </c>
      <c r="AD94" s="192" t="str">
        <f t="shared" si="23"/>
        <v>9999.99270173393-8.00759745174025i</v>
      </c>
      <c r="AE94" s="192" t="str">
        <f t="shared" si="24"/>
        <v>-606.745669766051+190.143541243183i</v>
      </c>
      <c r="AF94" s="296"/>
      <c r="AG94" s="296"/>
      <c r="AH94" s="296"/>
      <c r="AI94" s="296"/>
      <c r="AJ94" s="296"/>
      <c r="AK94" s="296"/>
      <c r="AL94" s="296"/>
      <c r="AM94" s="296"/>
      <c r="AN94" s="296"/>
      <c r="AO94" s="296"/>
      <c r="AP94" s="296"/>
      <c r="AQ94" s="296"/>
      <c r="AR94" s="296"/>
      <c r="AS94" s="296"/>
    </row>
    <row r="95" spans="1:45" s="192" customFormat="1" x14ac:dyDescent="0.2">
      <c r="A95" s="301">
        <f t="shared" si="0"/>
        <v>71.721000000000004</v>
      </c>
      <c r="B95" s="301">
        <f t="shared" si="25"/>
        <v>1.3000000000000005</v>
      </c>
      <c r="C95" s="303">
        <f t="shared" si="26"/>
        <v>19.952623149688815</v>
      </c>
      <c r="D95" s="302">
        <f t="shared" si="1"/>
        <v>71.7210292784263</v>
      </c>
      <c r="E95" s="301">
        <f t="shared" si="2"/>
        <v>161.73756874273542</v>
      </c>
      <c r="G95" s="303"/>
      <c r="H95" s="315" t="str">
        <f t="shared" si="3"/>
        <v>1E+47-7.97664256463329E+53i</v>
      </c>
      <c r="I95" s="301" t="str">
        <f t="shared" si="4"/>
        <v>0.002-7.3789477933703i</v>
      </c>
      <c r="J95" s="301" t="str">
        <f t="shared" si="5"/>
        <v>0.00200000000000001-7.3789477933703i</v>
      </c>
      <c r="K95" s="301"/>
      <c r="L95" s="301" t="str">
        <f t="shared" si="6"/>
        <v>0.025713949158068-0.0000896083264032328i</v>
      </c>
      <c r="M95" s="301" t="str">
        <f t="shared" si="7"/>
        <v>0.003+0.0000376098085841448i</v>
      </c>
      <c r="N95" s="301" t="str">
        <f t="shared" si="8"/>
        <v>0.895523878051705-0.00149900704483376i</v>
      </c>
      <c r="O95" s="316">
        <f t="shared" si="9"/>
        <v>-0.95844442606995295</v>
      </c>
      <c r="P95" s="316">
        <f t="shared" si="10"/>
        <v>-9.5906651982172866E-2</v>
      </c>
      <c r="Q95" s="301">
        <f t="shared" si="11"/>
        <v>125.36602861381604</v>
      </c>
      <c r="R95" s="301">
        <f t="shared" si="27"/>
        <v>1.3000000000000003</v>
      </c>
      <c r="S95" s="308">
        <f t="shared" si="12"/>
        <v>15.691733828054772</v>
      </c>
      <c r="T95" s="301" t="str">
        <f t="shared" si="13"/>
        <v>1+0.000954371495731083i</v>
      </c>
      <c r="U95" s="303">
        <f t="shared" si="14"/>
        <v>56.029295450371535</v>
      </c>
      <c r="V95" s="301">
        <f t="shared" si="15"/>
        <v>161.8334753947176</v>
      </c>
      <c r="W95" s="301">
        <f t="shared" si="16"/>
        <v>59.999992315734062</v>
      </c>
      <c r="X95" s="303">
        <f t="shared" si="17"/>
        <v>-7.6327681606079903E-2</v>
      </c>
      <c r="Y95" s="192" t="str">
        <f t="shared" si="18"/>
        <v>999.998227979904-1.33216778186427i</v>
      </c>
      <c r="Z95" s="192" t="str">
        <f t="shared" si="19"/>
        <v>-167950749.588353i</v>
      </c>
      <c r="AA95" s="192" t="str">
        <f t="shared" si="20"/>
        <v>22150.1592153998-23209158.398462i</v>
      </c>
      <c r="AB95" s="192" t="str">
        <f t="shared" si="21"/>
        <v>1381.90263844297-11926071.440057i</v>
      </c>
      <c r="AC95" s="192" t="str">
        <f t="shared" si="22"/>
        <v>17098.0709085614-20391283.7692429i</v>
      </c>
      <c r="AD95" s="192" t="str">
        <f t="shared" si="23"/>
        <v>9999.99199761102-8.38498322102204i</v>
      </c>
      <c r="AE95" s="192" t="str">
        <f t="shared" si="24"/>
        <v>-601.532288493233+197.38438838197i</v>
      </c>
      <c r="AF95" s="296"/>
      <c r="AG95" s="296"/>
      <c r="AH95" s="296"/>
      <c r="AI95" s="296"/>
      <c r="AJ95" s="296"/>
      <c r="AK95" s="296"/>
      <c r="AL95" s="296"/>
      <c r="AM95" s="296"/>
      <c r="AN95" s="296"/>
      <c r="AO95" s="296"/>
      <c r="AP95" s="296"/>
      <c r="AQ95" s="296"/>
      <c r="AR95" s="296"/>
      <c r="AS95" s="296"/>
    </row>
    <row r="96" spans="1:45" s="192" customFormat="1" x14ac:dyDescent="0.2">
      <c r="A96" s="301">
        <f t="shared" si="0"/>
        <v>71.680000000000007</v>
      </c>
      <c r="B96" s="301">
        <f t="shared" si="25"/>
        <v>1.3200000000000005</v>
      </c>
      <c r="C96" s="303">
        <f t="shared" si="26"/>
        <v>20.892961308540418</v>
      </c>
      <c r="D96" s="302">
        <f t="shared" si="1"/>
        <v>71.680081445252426</v>
      </c>
      <c r="E96" s="301">
        <f t="shared" si="2"/>
        <v>160.93775873200863</v>
      </c>
      <c r="G96" s="303"/>
      <c r="H96" s="315" t="str">
        <f t="shared" si="3"/>
        <v>1E+47-7.61763451056779E+53i</v>
      </c>
      <c r="I96" s="301" t="str">
        <f t="shared" si="4"/>
        <v>0.002-7.04684043530789i</v>
      </c>
      <c r="J96" s="301" t="str">
        <f t="shared" si="5"/>
        <v>0.002-7.04684043530789i</v>
      </c>
      <c r="K96" s="301"/>
      <c r="L96" s="301" t="str">
        <f t="shared" si="6"/>
        <v>0.0257139166882335-0.0000938313090203497i</v>
      </c>
      <c r="M96" s="301" t="str">
        <f t="shared" si="7"/>
        <v>0.003+0.0000393823042551878i</v>
      </c>
      <c r="N96" s="301" t="str">
        <f t="shared" si="8"/>
        <v>0.895524021802107-0.001569654108121i</v>
      </c>
      <c r="O96" s="316">
        <f t="shared" si="9"/>
        <v>-0.95844185779666535</v>
      </c>
      <c r="P96" s="316">
        <f t="shared" si="10"/>
        <v>-0.10042663446378028</v>
      </c>
      <c r="Q96" s="301">
        <f t="shared" si="11"/>
        <v>131.27434751729274</v>
      </c>
      <c r="R96" s="301">
        <f t="shared" si="27"/>
        <v>1.3200000000000003</v>
      </c>
      <c r="S96" s="308">
        <f t="shared" si="12"/>
        <v>15.691736396328062</v>
      </c>
      <c r="T96" s="301" t="str">
        <f t="shared" si="13"/>
        <v>1+0.000999349638626055i</v>
      </c>
      <c r="U96" s="303">
        <f t="shared" si="14"/>
        <v>55.988345048924366</v>
      </c>
      <c r="V96" s="301">
        <f t="shared" si="15"/>
        <v>161.03818536647242</v>
      </c>
      <c r="W96" s="301">
        <f t="shared" si="16"/>
        <v>59.999991574370675</v>
      </c>
      <c r="X96" s="303">
        <f t="shared" si="17"/>
        <v>-7.9924889875220478E-2</v>
      </c>
      <c r="Y96" s="192" t="str">
        <f t="shared" si="18"/>
        <v>999.998057018934-1.39495067705832i</v>
      </c>
      <c r="Z96" s="192" t="str">
        <f t="shared" si="19"/>
        <v>-160391720.67362i</v>
      </c>
      <c r="AA96" s="192" t="str">
        <f t="shared" si="20"/>
        <v>22150.1592153998-22164574.1983283i</v>
      </c>
      <c r="AB96" s="192" t="str">
        <f t="shared" si="21"/>
        <v>1381.90263844297-11389309.8056164i</v>
      </c>
      <c r="AC96" s="192" t="str">
        <f t="shared" si="22"/>
        <v>17098.0708864133-19473525.0016255i</v>
      </c>
      <c r="AD96" s="192" t="str">
        <f t="shared" si="23"/>
        <v>9999.99122555574-8.78015453410681i</v>
      </c>
      <c r="AE96" s="192" t="str">
        <f t="shared" si="24"/>
        <v>-595.918505591734+204.747055112097i</v>
      </c>
      <c r="AF96" s="296"/>
      <c r="AG96" s="296"/>
      <c r="AH96" s="296"/>
      <c r="AI96" s="296"/>
      <c r="AJ96" s="296"/>
      <c r="AK96" s="296"/>
      <c r="AL96" s="296"/>
      <c r="AM96" s="296"/>
      <c r="AN96" s="296"/>
      <c r="AO96" s="296"/>
      <c r="AP96" s="296"/>
      <c r="AQ96" s="296"/>
      <c r="AR96" s="296"/>
      <c r="AS96" s="296"/>
    </row>
    <row r="97" spans="1:45" s="192" customFormat="1" x14ac:dyDescent="0.2">
      <c r="A97" s="301">
        <f t="shared" si="0"/>
        <v>71.635999999999996</v>
      </c>
      <c r="B97" s="301">
        <f t="shared" si="25"/>
        <v>1.3400000000000005</v>
      </c>
      <c r="C97" s="303">
        <f t="shared" si="26"/>
        <v>21.877616239495548</v>
      </c>
      <c r="D97" s="302">
        <f t="shared" si="1"/>
        <v>71.635622454463316</v>
      </c>
      <c r="E97" s="301">
        <f t="shared" si="2"/>
        <v>160.10844801259728</v>
      </c>
      <c r="G97" s="303"/>
      <c r="H97" s="315" t="str">
        <f t="shared" si="3"/>
        <v>1E+47-7.27478448061328E+53i</v>
      </c>
      <c r="I97" s="301" t="str">
        <f t="shared" si="4"/>
        <v>0.002-6.72968037059508i</v>
      </c>
      <c r="J97" s="301" t="str">
        <f t="shared" si="5"/>
        <v>0.00200000000000001-6.72968037059508i</v>
      </c>
      <c r="K97" s="301"/>
      <c r="L97" s="301" t="str">
        <f t="shared" si="6"/>
        <v>0.0257138810858693-0.0000982532957579246i</v>
      </c>
      <c r="M97" s="301" t="str">
        <f t="shared" si="7"/>
        <v>0.003+0.0000412383350736336i</v>
      </c>
      <c r="N97" s="301" t="str">
        <f t="shared" si="8"/>
        <v>0.895524179421018-0.00164363081867149i</v>
      </c>
      <c r="O97" s="316">
        <f t="shared" si="9"/>
        <v>-0.95843904174154959</v>
      </c>
      <c r="P97" s="316">
        <f t="shared" si="10"/>
        <v>-0.10515964326465589</v>
      </c>
      <c r="Q97" s="301">
        <f t="shared" si="11"/>
        <v>137.46111691211195</v>
      </c>
      <c r="R97" s="301">
        <f t="shared" si="27"/>
        <v>1.3400000000000003</v>
      </c>
      <c r="S97" s="308">
        <f t="shared" si="12"/>
        <v>15.691739212383176</v>
      </c>
      <c r="T97" s="301" t="str">
        <f t="shared" si="13"/>
        <v>1+0.00104644753608969i</v>
      </c>
      <c r="U97" s="303">
        <f t="shared" si="14"/>
        <v>55.943883242080148</v>
      </c>
      <c r="V97" s="301">
        <f t="shared" si="15"/>
        <v>160.21360765586192</v>
      </c>
      <c r="W97" s="301">
        <f t="shared" si="16"/>
        <v>59.99999076148201</v>
      </c>
      <c r="X97" s="303">
        <f t="shared" si="17"/>
        <v>-8.3691628674351676E-2</v>
      </c>
      <c r="Y97" s="192" t="str">
        <f t="shared" si="18"/>
        <v>999.997869564023-1.46069240366626i</v>
      </c>
      <c r="Z97" s="192" t="str">
        <f t="shared" si="19"/>
        <v>-153172904.102528i</v>
      </c>
      <c r="AA97" s="192" t="str">
        <f t="shared" si="20"/>
        <v>22150.1592153998-21167004.0317256i</v>
      </c>
      <c r="AB97" s="192" t="str">
        <f t="shared" si="21"/>
        <v>1381.90263844297-10876706.4242649i</v>
      </c>
      <c r="AC97" s="192" t="str">
        <f t="shared" si="22"/>
        <v>17098.0708621283-18597072.1913975i</v>
      </c>
      <c r="AD97" s="192" t="str">
        <f t="shared" si="23"/>
        <v>9999.99037901411-9.19394958310039i</v>
      </c>
      <c r="AE97" s="192" t="str">
        <f t="shared" si="24"/>
        <v>-589.88299196612+212.212703393183i</v>
      </c>
      <c r="AF97" s="296"/>
      <c r="AG97" s="296"/>
      <c r="AH97" s="296"/>
      <c r="AI97" s="296"/>
      <c r="AJ97" s="296"/>
      <c r="AK97" s="296"/>
      <c r="AL97" s="296"/>
      <c r="AM97" s="296"/>
      <c r="AN97" s="296"/>
      <c r="AO97" s="296"/>
      <c r="AP97" s="296"/>
      <c r="AQ97" s="296"/>
      <c r="AR97" s="296"/>
      <c r="AS97" s="296"/>
    </row>
    <row r="98" spans="1:45" s="192" customFormat="1" x14ac:dyDescent="0.2">
      <c r="A98" s="301">
        <f t="shared" si="0"/>
        <v>71.587000000000003</v>
      </c>
      <c r="B98" s="301">
        <f t="shared" si="25"/>
        <v>1.3600000000000005</v>
      </c>
      <c r="C98" s="303">
        <f t="shared" si="26"/>
        <v>22.908676527677759</v>
      </c>
      <c r="D98" s="302">
        <f t="shared" si="1"/>
        <v>71.587391704595788</v>
      </c>
      <c r="E98" s="301">
        <f t="shared" si="2"/>
        <v>159.24926911382653</v>
      </c>
      <c r="G98" s="303"/>
      <c r="H98" s="315" t="str">
        <f t="shared" si="3"/>
        <v>1E+47-6.94736524388947E+53i</v>
      </c>
      <c r="I98" s="301" t="str">
        <f t="shared" si="4"/>
        <v>0.002-6.4267948602123i</v>
      </c>
      <c r="J98" s="301" t="str">
        <f t="shared" si="5"/>
        <v>0.00200000000000001-6.4267948602123i</v>
      </c>
      <c r="K98" s="301"/>
      <c r="L98" s="301" t="str">
        <f t="shared" si="6"/>
        <v>0.0257138420487756-0.000102883662588441i</v>
      </c>
      <c r="M98" s="301" t="str">
        <f t="shared" si="7"/>
        <v>0.003+0.0000431818379296904i</v>
      </c>
      <c r="N98" s="301" t="str">
        <f t="shared" si="8"/>
        <v>0.895524352246393-0.00172109412070451i</v>
      </c>
      <c r="O98" s="316">
        <f t="shared" si="9"/>
        <v>-0.95843595399915738</v>
      </c>
      <c r="P98" s="316">
        <f t="shared" si="10"/>
        <v>-0.11011571891080536</v>
      </c>
      <c r="Q98" s="301">
        <f t="shared" si="11"/>
        <v>143.93945976563475</v>
      </c>
      <c r="R98" s="301">
        <f t="shared" si="27"/>
        <v>1.3600000000000003</v>
      </c>
      <c r="S98" s="308">
        <f t="shared" si="12"/>
        <v>15.691742300125568</v>
      </c>
      <c r="T98" s="301" t="str">
        <f t="shared" si="13"/>
        <v>1+0.00109576508907704i</v>
      </c>
      <c r="U98" s="303">
        <f t="shared" si="14"/>
        <v>55.89564940447022</v>
      </c>
      <c r="V98" s="301">
        <f t="shared" si="15"/>
        <v>159.35938483273733</v>
      </c>
      <c r="W98" s="301">
        <f t="shared" si="16"/>
        <v>59.999989870167511</v>
      </c>
      <c r="X98" s="303">
        <f t="shared" si="17"/>
        <v>-8.7635887631527992E-2</v>
      </c>
      <c r="Y98" s="192" t="str">
        <f t="shared" si="18"/>
        <v>999.997664023883-1.52953240188985i</v>
      </c>
      <c r="Z98" s="192" t="str">
        <f t="shared" si="19"/>
        <v>-146278987.797286i</v>
      </c>
      <c r="AA98" s="192" t="str">
        <f t="shared" si="20"/>
        <v>22150.1592153998-20214331.9185838i</v>
      </c>
      <c r="AB98" s="192" t="str">
        <f t="shared" si="21"/>
        <v>1381.90263844297-10387173.9955047i</v>
      </c>
      <c r="AC98" s="192" t="str">
        <f t="shared" si="22"/>
        <v>17098.0708355005-17760066.2646403i</v>
      </c>
      <c r="AD98" s="192" t="str">
        <f t="shared" si="23"/>
        <v>9999.98945079986-9.62724606070032i</v>
      </c>
      <c r="AE98" s="192" t="str">
        <f t="shared" si="24"/>
        <v>-583.404938961514+219.759611462134i</v>
      </c>
      <c r="AF98" s="296"/>
      <c r="AG98" s="296"/>
      <c r="AH98" s="296"/>
      <c r="AI98" s="296"/>
      <c r="AJ98" s="296"/>
      <c r="AK98" s="296"/>
      <c r="AL98" s="296"/>
      <c r="AM98" s="296"/>
      <c r="AN98" s="296"/>
      <c r="AO98" s="296"/>
      <c r="AP98" s="296"/>
      <c r="AQ98" s="296"/>
      <c r="AR98" s="296"/>
      <c r="AS98" s="296"/>
    </row>
    <row r="99" spans="1:45" s="192" customFormat="1" x14ac:dyDescent="0.2">
      <c r="A99" s="301">
        <f t="shared" si="0"/>
        <v>71.534999999999997</v>
      </c>
      <c r="B99" s="301">
        <f t="shared" si="25"/>
        <v>1.3800000000000003</v>
      </c>
      <c r="C99" s="303">
        <f t="shared" si="26"/>
        <v>23.988329190194928</v>
      </c>
      <c r="D99" s="302">
        <f t="shared" si="1"/>
        <v>71.535116290845991</v>
      </c>
      <c r="E99" s="301">
        <f t="shared" si="2"/>
        <v>158.35994693027834</v>
      </c>
      <c r="G99" s="303"/>
      <c r="H99" s="315" t="str">
        <f t="shared" si="3"/>
        <v>1E+47-6.63468230029746E+53i</v>
      </c>
      <c r="I99" s="301" t="str">
        <f t="shared" si="4"/>
        <v>0.002-6.13754144338342i</v>
      </c>
      <c r="J99" s="301" t="str">
        <f t="shared" si="5"/>
        <v>0.002-6.13754144338342i</v>
      </c>
      <c r="K99" s="301"/>
      <c r="L99" s="301" t="str">
        <f t="shared" si="6"/>
        <v>0.0257137992456002-0.000107732226945139i</v>
      </c>
      <c r="M99" s="301" t="str">
        <f t="shared" si="7"/>
        <v>0.003+0.000045216935253486i</v>
      </c>
      <c r="N99" s="301" t="str">
        <f t="shared" si="8"/>
        <v>0.895524541745257-0.00180220835836727i</v>
      </c>
      <c r="O99" s="316">
        <f t="shared" si="9"/>
        <v>-0.95843256835774338</v>
      </c>
      <c r="P99" s="316">
        <f t="shared" si="10"/>
        <v>-0.11530537525771196</v>
      </c>
      <c r="Q99" s="301">
        <f t="shared" si="11"/>
        <v>150.72311751161996</v>
      </c>
      <c r="R99" s="301">
        <f t="shared" si="27"/>
        <v>1.3800000000000003</v>
      </c>
      <c r="S99" s="308">
        <f t="shared" si="12"/>
        <v>15.691745685766982</v>
      </c>
      <c r="T99" s="301" t="str">
        <f t="shared" si="13"/>
        <v>1+0.00114740690673011i</v>
      </c>
      <c r="U99" s="303">
        <f t="shared" si="14"/>
        <v>55.843370605079016</v>
      </c>
      <c r="V99" s="301">
        <f t="shared" si="15"/>
        <v>158.47525230553606</v>
      </c>
      <c r="W99" s="301">
        <f t="shared" si="16"/>
        <v>59.999988892860792</v>
      </c>
      <c r="X99" s="303">
        <f t="shared" si="17"/>
        <v>-9.1766032899609606E-2</v>
      </c>
      <c r="Y99" s="192" t="str">
        <f t="shared" si="18"/>
        <v>999.997438653697-1.60161668277079i</v>
      </c>
      <c r="Z99" s="192" t="str">
        <f t="shared" si="19"/>
        <v>-139695348.837129i</v>
      </c>
      <c r="AA99" s="192" t="str">
        <f t="shared" si="20"/>
        <v>22150.1592153998-19304537.113624i</v>
      </c>
      <c r="AB99" s="192" t="str">
        <f t="shared" si="21"/>
        <v>1381.90263844297-9919674.15542168i</v>
      </c>
      <c r="AC99" s="192" t="str">
        <f t="shared" si="22"/>
        <v>17098.0708063036-16960731.8195641i</v>
      </c>
      <c r="AD99" s="192" t="str">
        <f t="shared" si="23"/>
        <v>9999.9884330334-10.0809630214776i</v>
      </c>
      <c r="AE99" s="192" t="str">
        <f t="shared" si="24"/>
        <v>-576.464402442906+227.363042342826i</v>
      </c>
      <c r="AF99" s="296"/>
      <c r="AG99" s="296"/>
      <c r="AH99" s="296"/>
      <c r="AI99" s="296"/>
      <c r="AJ99" s="296"/>
      <c r="AK99" s="296"/>
      <c r="AL99" s="296"/>
      <c r="AM99" s="296"/>
      <c r="AN99" s="296"/>
      <c r="AO99" s="296"/>
      <c r="AP99" s="296"/>
      <c r="AQ99" s="296"/>
      <c r="AR99" s="296"/>
      <c r="AS99" s="296"/>
    </row>
    <row r="100" spans="1:45" s="192" customFormat="1" x14ac:dyDescent="0.2">
      <c r="A100" s="301">
        <f t="shared" si="0"/>
        <v>71.478999999999999</v>
      </c>
      <c r="B100" s="301">
        <f t="shared" si="25"/>
        <v>1.4000000000000006</v>
      </c>
      <c r="C100" s="303">
        <f t="shared" si="26"/>
        <v>25.118864315095834</v>
      </c>
      <c r="D100" s="302">
        <f t="shared" si="1"/>
        <v>71.478511641342166</v>
      </c>
      <c r="E100" s="301">
        <f t="shared" si="2"/>
        <v>157.44031091887211</v>
      </c>
      <c r="G100" s="303"/>
      <c r="H100" s="315" t="str">
        <f t="shared" si="3"/>
        <v>1E+47-6.33607240739171E+53i</v>
      </c>
      <c r="I100" s="301" t="str">
        <f t="shared" si="4"/>
        <v>0.002-5.86130657483047i</v>
      </c>
      <c r="J100" s="301" t="str">
        <f t="shared" si="5"/>
        <v>0.00200000000000001-5.86130657483048i</v>
      </c>
      <c r="K100" s="301"/>
      <c r="L100" s="301" t="str">
        <f t="shared" si="6"/>
        <v>0.0257137523130282-0.000112809268465912i</v>
      </c>
      <c r="M100" s="301" t="str">
        <f t="shared" si="7"/>
        <v>0.003+0.0000473479437592943i</v>
      </c>
      <c r="N100" s="301" t="str">
        <f t="shared" si="8"/>
        <v>0.895524749526158-0.00188714562498269i</v>
      </c>
      <c r="O100" s="316">
        <f t="shared" si="9"/>
        <v>-0.95842885607670714</v>
      </c>
      <c r="P100" s="316">
        <f t="shared" si="10"/>
        <v>-0.1207396218175253</v>
      </c>
      <c r="Q100" s="301">
        <f t="shared" si="11"/>
        <v>157.82647919764776</v>
      </c>
      <c r="R100" s="301">
        <f t="shared" si="27"/>
        <v>1.4000000000000004</v>
      </c>
      <c r="S100" s="308">
        <f t="shared" si="12"/>
        <v>15.691749398048017</v>
      </c>
      <c r="T100" s="301" t="str">
        <f t="shared" si="13"/>
        <v>1+0.00120148252826787i</v>
      </c>
      <c r="U100" s="303">
        <f t="shared" si="14"/>
        <v>55.786762243294149</v>
      </c>
      <c r="V100" s="301">
        <f t="shared" si="15"/>
        <v>157.56105054068965</v>
      </c>
      <c r="W100" s="301">
        <f t="shared" si="16"/>
        <v>59.999987821265535</v>
      </c>
      <c r="X100" s="303">
        <f t="shared" si="17"/>
        <v>-9.6090824899134883E-2</v>
      </c>
      <c r="Y100" s="192" t="str">
        <f t="shared" si="18"/>
        <v>999.997191540319-1.67709813775004i</v>
      </c>
      <c r="Z100" s="192" t="str">
        <f t="shared" si="19"/>
        <v>-133408022.441136i</v>
      </c>
      <c r="AA100" s="192" t="str">
        <f t="shared" si="20"/>
        <v>22150.1592153998-18435689.8200865i</v>
      </c>
      <c r="AB100" s="192" t="str">
        <f t="shared" si="21"/>
        <v>1381.90263844297-9473215.2741762i</v>
      </c>
      <c r="AC100" s="192" t="str">
        <f t="shared" si="22"/>
        <v>17098.0707742899-16197373.3606419i</v>
      </c>
      <c r="AD100" s="192" t="str">
        <f t="shared" si="23"/>
        <v>9999.98731707494-10.55606283083i</v>
      </c>
      <c r="AE100" s="192" t="str">
        <f t="shared" si="24"/>
        <v>-569.042690068383+234.995148758235i</v>
      </c>
      <c r="AF100" s="296"/>
      <c r="AG100" s="296"/>
      <c r="AH100" s="296"/>
      <c r="AI100" s="296"/>
      <c r="AJ100" s="296"/>
      <c r="AK100" s="296"/>
      <c r="AL100" s="296"/>
      <c r="AM100" s="296"/>
      <c r="AN100" s="296"/>
      <c r="AO100" s="296"/>
      <c r="AP100" s="296"/>
      <c r="AQ100" s="296"/>
      <c r="AR100" s="296"/>
      <c r="AS100" s="296"/>
    </row>
    <row r="101" spans="1:45" s="192" customFormat="1" x14ac:dyDescent="0.2">
      <c r="A101" s="301">
        <f t="shared" si="0"/>
        <v>71.417000000000002</v>
      </c>
      <c r="B101" s="301">
        <f t="shared" si="25"/>
        <v>1.4200000000000006</v>
      </c>
      <c r="C101" s="303">
        <f t="shared" si="26"/>
        <v>26.302679918953849</v>
      </c>
      <c r="D101" s="302">
        <f t="shared" si="1"/>
        <v>71.417282399519578</v>
      </c>
      <c r="E101" s="301">
        <f t="shared" si="2"/>
        <v>156.49030758527684</v>
      </c>
      <c r="G101" s="303"/>
      <c r="H101" s="315" t="str">
        <f t="shared" si="3"/>
        <v>1E+47-6.0509021735541E+53i</v>
      </c>
      <c r="I101" s="301" t="str">
        <f t="shared" si="4"/>
        <v>0.002-5.59750432336179i</v>
      </c>
      <c r="J101" s="301" t="str">
        <f t="shared" si="5"/>
        <v>0.00200000000000001-5.59750432336179i</v>
      </c>
      <c r="K101" s="301"/>
      <c r="L101" s="301" t="str">
        <f t="shared" si="6"/>
        <v>0.0257137008526987-0.000118125550705726i</v>
      </c>
      <c r="M101" s="301" t="str">
        <f t="shared" si="7"/>
        <v>0.003+0.0000495793836018655i</v>
      </c>
      <c r="N101" s="301" t="str">
        <f t="shared" si="8"/>
        <v>0.895524977352822-0.00197608612883092i</v>
      </c>
      <c r="O101" s="316">
        <f t="shared" si="9"/>
        <v>-0.9584247856426148</v>
      </c>
      <c r="P101" s="316">
        <f t="shared" si="10"/>
        <v>-0.12642998714144849</v>
      </c>
      <c r="Q101" s="301">
        <f t="shared" si="11"/>
        <v>165.26461200621839</v>
      </c>
      <c r="R101" s="301">
        <f t="shared" si="27"/>
        <v>1.4200000000000004</v>
      </c>
      <c r="S101" s="308">
        <f t="shared" si="12"/>
        <v>15.69175346848211</v>
      </c>
      <c r="T101" s="301" t="str">
        <f t="shared" si="13"/>
        <v>1+0.00125810665533366i</v>
      </c>
      <c r="U101" s="303">
        <f t="shared" si="14"/>
        <v>55.725528931037474</v>
      </c>
      <c r="V101" s="301">
        <f t="shared" si="15"/>
        <v>156.61673757241829</v>
      </c>
      <c r="W101" s="301">
        <f t="shared" si="16"/>
        <v>59.999986646285009</v>
      </c>
      <c r="X101" s="303">
        <f t="shared" si="17"/>
        <v>-0.10061943689708021</v>
      </c>
      <c r="Y101" s="192" t="str">
        <f t="shared" si="18"/>
        <v>999.996920586029-1.75613686279947i</v>
      </c>
      <c r="Z101" s="192" t="str">
        <f t="shared" si="19"/>
        <v>-127403672.347066i</v>
      </c>
      <c r="AA101" s="192" t="str">
        <f t="shared" si="20"/>
        <v>22150.1592153998-17605947.0963735i</v>
      </c>
      <c r="AB101" s="192" t="str">
        <f t="shared" si="21"/>
        <v>1381.90263844297-9046850.35262325i</v>
      </c>
      <c r="AC101" s="192" t="str">
        <f t="shared" si="22"/>
        <v>17098.0707391876-15468371.7022376i</v>
      </c>
      <c r="AD101" s="192" t="str">
        <f t="shared" si="23"/>
        <v>9999.98609345115-11.0535532057319i</v>
      </c>
      <c r="AE101" s="192" t="str">
        <f t="shared" si="24"/>
        <v>-561.122789597996+242.624924473541i</v>
      </c>
      <c r="AF101" s="296"/>
      <c r="AG101" s="296"/>
      <c r="AH101" s="296"/>
      <c r="AI101" s="296"/>
      <c r="AJ101" s="296"/>
      <c r="AK101" s="296"/>
      <c r="AL101" s="296"/>
      <c r="AM101" s="296"/>
      <c r="AN101" s="296"/>
      <c r="AO101" s="296"/>
      <c r="AP101" s="296"/>
      <c r="AQ101" s="296"/>
      <c r="AR101" s="296"/>
      <c r="AS101" s="296"/>
    </row>
    <row r="102" spans="1:45" s="192" customFormat="1" x14ac:dyDescent="0.2">
      <c r="A102" s="301">
        <f t="shared" si="0"/>
        <v>71.350999999999999</v>
      </c>
      <c r="B102" s="301">
        <f t="shared" si="25"/>
        <v>1.4400000000000006</v>
      </c>
      <c r="C102" s="303">
        <f t="shared" si="26"/>
        <v>27.542287033381701</v>
      </c>
      <c r="D102" s="302">
        <f t="shared" si="1"/>
        <v>71.351123576181891</v>
      </c>
      <c r="E102" s="301">
        <f t="shared" si="2"/>
        <v>155.51001305405671</v>
      </c>
      <c r="G102" s="303"/>
      <c r="H102" s="315" t="str">
        <f t="shared" si="3"/>
        <v>1E+47-5.77856671448514E+53i</v>
      </c>
      <c r="I102" s="301" t="str">
        <f t="shared" si="4"/>
        <v>0.002-5.34557512903345i</v>
      </c>
      <c r="J102" s="301" t="str">
        <f t="shared" si="5"/>
        <v>0.002-5.34557512903345i</v>
      </c>
      <c r="K102" s="301"/>
      <c r="L102" s="301" t="str">
        <f t="shared" si="6"/>
        <v>0.0257136444278244-0.00012369234386184i</v>
      </c>
      <c r="M102" s="301" t="str">
        <f t="shared" si="7"/>
        <v>0.003+0.00005191598796428i</v>
      </c>
      <c r="N102" s="301" t="str">
        <f t="shared" si="8"/>
        <v>0.89552522715911-0.00206921857625463i</v>
      </c>
      <c r="O102" s="316">
        <f t="shared" si="9"/>
        <v>-0.95842032250177078</v>
      </c>
      <c r="P102" s="316">
        <f t="shared" si="10"/>
        <v>-0.13238854330748159</v>
      </c>
      <c r="Q102" s="301">
        <f t="shared" si="11"/>
        <v>173.05329321426674</v>
      </c>
      <c r="R102" s="301">
        <f t="shared" si="27"/>
        <v>1.4400000000000004</v>
      </c>
      <c r="S102" s="308">
        <f t="shared" si="12"/>
        <v>15.691757931622956</v>
      </c>
      <c r="T102" s="301" t="str">
        <f t="shared" si="13"/>
        <v>1+0.00131739939529271i</v>
      </c>
      <c r="U102" s="303">
        <f t="shared" si="14"/>
        <v>55.659365644558932</v>
      </c>
      <c r="V102" s="301">
        <f t="shared" si="15"/>
        <v>155.6424015973642</v>
      </c>
      <c r="W102" s="301">
        <f t="shared" si="16"/>
        <v>59.999985357944851</v>
      </c>
      <c r="X102" s="303">
        <f t="shared" si="17"/>
        <v>-0.1053614744608224</v>
      </c>
      <c r="Y102" s="192" t="str">
        <f t="shared" si="18"/>
        <v>999.996623490725-1.83890049780959i</v>
      </c>
      <c r="Z102" s="192" t="str">
        <f t="shared" si="19"/>
        <v>-121669562.523353i</v>
      </c>
      <c r="AA102" s="192" t="str">
        <f t="shared" si="20"/>
        <v>22150.1592153998-16813548.9469223i</v>
      </c>
      <c r="AB102" s="192" t="str">
        <f t="shared" si="21"/>
        <v>1381.90263844297-8639675.01360061i</v>
      </c>
      <c r="AC102" s="192" t="str">
        <f t="shared" si="22"/>
        <v>17098.0707006986-14772180.5340943i</v>
      </c>
      <c r="AD102" s="192" t="str">
        <f t="shared" si="23"/>
        <v>9999.98475177473-11.5744893515977i</v>
      </c>
      <c r="AE102" s="192" t="str">
        <f t="shared" si="24"/>
        <v>-552.689833997967+250.218212635282i</v>
      </c>
      <c r="AF102" s="296"/>
      <c r="AG102" s="296"/>
      <c r="AH102" s="296"/>
      <c r="AI102" s="296"/>
      <c r="AJ102" s="296"/>
      <c r="AK102" s="296"/>
      <c r="AL102" s="296"/>
      <c r="AM102" s="296"/>
      <c r="AN102" s="296"/>
      <c r="AO102" s="296"/>
      <c r="AP102" s="296"/>
      <c r="AQ102" s="296"/>
      <c r="AR102" s="296"/>
      <c r="AS102" s="296"/>
    </row>
    <row r="103" spans="1:45" s="192" customFormat="1" x14ac:dyDescent="0.2">
      <c r="A103" s="301">
        <f t="shared" si="0"/>
        <v>71.28</v>
      </c>
      <c r="B103" s="301">
        <f t="shared" si="25"/>
        <v>1.4600000000000006</v>
      </c>
      <c r="C103" s="303">
        <f t="shared" si="26"/>
        <v>28.840315031266094</v>
      </c>
      <c r="D103" s="302">
        <f t="shared" si="1"/>
        <v>71.279721991565438</v>
      </c>
      <c r="E103" s="301">
        <f t="shared" si="2"/>
        <v>154.49964547449903</v>
      </c>
      <c r="G103" s="303"/>
      <c r="H103" s="315" t="str">
        <f t="shared" si="3"/>
        <v>1E+47-5.51848837016355E+53i</v>
      </c>
      <c r="I103" s="301" t="str">
        <f t="shared" si="4"/>
        <v>0.002-5.10498461624752i</v>
      </c>
      <c r="J103" s="301" t="str">
        <f t="shared" si="5"/>
        <v>0.00199999999999999-5.10498461624752i</v>
      </c>
      <c r="K103" s="301"/>
      <c r="L103" s="301" t="str">
        <f t="shared" si="6"/>
        <v>0.0257135825594868-0.000129521448558046i</v>
      </c>
      <c r="M103" s="301" t="str">
        <f t="shared" si="7"/>
        <v>0.003+0.0000543627130976645i</v>
      </c>
      <c r="N103" s="301" t="str">
        <f t="shared" si="8"/>
        <v>0.895525501065441-0.00216674057291703i</v>
      </c>
      <c r="O103" s="316">
        <f t="shared" si="9"/>
        <v>-0.95841542876679031</v>
      </c>
      <c r="P103" s="316">
        <f t="shared" si="10"/>
        <v>-0.13862793156610562</v>
      </c>
      <c r="Q103" s="301">
        <f t="shared" si="11"/>
        <v>181.20904365888168</v>
      </c>
      <c r="R103" s="301">
        <f t="shared" si="27"/>
        <v>1.4600000000000004</v>
      </c>
      <c r="S103" s="308">
        <f t="shared" si="12"/>
        <v>15.691762825357936</v>
      </c>
      <c r="T103" s="301" t="str">
        <f t="shared" si="13"/>
        <v>1+0.00137948651599599i</v>
      </c>
      <c r="U103" s="303">
        <f t="shared" si="14"/>
        <v>55.587959166207497</v>
      </c>
      <c r="V103" s="301">
        <f t="shared" si="15"/>
        <v>154.63827340606514</v>
      </c>
      <c r="W103" s="301">
        <f t="shared" si="16"/>
        <v>59.999983945308408</v>
      </c>
      <c r="X103" s="303">
        <f t="shared" si="17"/>
        <v>-0.11032699582852168</v>
      </c>
      <c r="Y103" s="192" t="str">
        <f t="shared" si="18"/>
        <v>999.996297732406-1.92556458194993i</v>
      </c>
      <c r="Z103" s="192" t="str">
        <f t="shared" si="19"/>
        <v>-116193530.154273i</v>
      </c>
      <c r="AA103" s="192" t="str">
        <f t="shared" si="20"/>
        <v>22150.1592153998-16056814.5890193i</v>
      </c>
      <c r="AB103" s="192" t="str">
        <f t="shared" si="21"/>
        <v>1381.90263844297-8250825.58362323i</v>
      </c>
      <c r="AC103" s="192" t="str">
        <f t="shared" si="22"/>
        <v>17098.0706584963-14107323.1414045i</v>
      </c>
      <c r="AD103" s="192" t="str">
        <f t="shared" si="23"/>
        <v>9999.98328065626-12.119976199781i</v>
      </c>
      <c r="AE103" s="192" t="str">
        <f t="shared" si="24"/>
        <v>-543.731596690288+257.737781812985i</v>
      </c>
      <c r="AF103" s="296"/>
      <c r="AG103" s="296"/>
      <c r="AH103" s="296"/>
      <c r="AI103" s="296"/>
      <c r="AJ103" s="296"/>
      <c r="AK103" s="296"/>
      <c r="AL103" s="296"/>
      <c r="AM103" s="296"/>
      <c r="AN103" s="296"/>
      <c r="AO103" s="296"/>
      <c r="AP103" s="296"/>
      <c r="AQ103" s="296"/>
      <c r="AR103" s="296"/>
      <c r="AS103" s="296"/>
    </row>
    <row r="104" spans="1:45" s="192" customFormat="1" x14ac:dyDescent="0.2">
      <c r="A104" s="301">
        <f t="shared" si="0"/>
        <v>71.203000000000003</v>
      </c>
      <c r="B104" s="301">
        <f t="shared" si="25"/>
        <v>1.4800000000000006</v>
      </c>
      <c r="C104" s="303">
        <f t="shared" si="26"/>
        <v>30.199517204020204</v>
      </c>
      <c r="D104" s="302">
        <f t="shared" si="1"/>
        <v>71.202758022915134</v>
      </c>
      <c r="E104" s="301">
        <f t="shared" si="2"/>
        <v>153.45957697203187</v>
      </c>
      <c r="G104" s="303"/>
      <c r="H104" s="315" t="str">
        <f t="shared" si="3"/>
        <v>1E+47-5.27011547955172E+53i</v>
      </c>
      <c r="I104" s="301" t="str">
        <f t="shared" si="4"/>
        <v>0.002-4.87522246026987i</v>
      </c>
      <c r="J104" s="301" t="str">
        <f t="shared" si="5"/>
        <v>0.002-4.87522246026988i</v>
      </c>
      <c r="K104" s="301"/>
      <c r="L104" s="301" t="str">
        <f t="shared" si="6"/>
        <v>0.0257135147225724-0.000135625220736018i</v>
      </c>
      <c r="M104" s="301" t="str">
        <f t="shared" si="7"/>
        <v>0.003+0.0000569247488340651i</v>
      </c>
      <c r="N104" s="301" t="str">
        <f t="shared" si="8"/>
        <v>0.895525801396779-0.00226885904408294i</v>
      </c>
      <c r="O104" s="316">
        <f t="shared" si="9"/>
        <v>-0.95841006289505914</v>
      </c>
      <c r="P104" s="316">
        <f t="shared" si="10"/>
        <v>-0.14516138919908081</v>
      </c>
      <c r="Q104" s="301">
        <f t="shared" si="11"/>
        <v>189.74916278021689</v>
      </c>
      <c r="R104" s="301">
        <f t="shared" si="27"/>
        <v>1.4800000000000004</v>
      </c>
      <c r="S104" s="308">
        <f t="shared" si="12"/>
        <v>15.691768191229666</v>
      </c>
      <c r="T104" s="301" t="str">
        <f t="shared" si="13"/>
        <v>1+0.00144449971255067i</v>
      </c>
      <c r="U104" s="303">
        <f t="shared" si="14"/>
        <v>55.510989831685464</v>
      </c>
      <c r="V104" s="301">
        <f t="shared" si="15"/>
        <v>153.60473836123094</v>
      </c>
      <c r="W104" s="301">
        <f t="shared" si="16"/>
        <v>59.999982396383857</v>
      </c>
      <c r="X104" s="303">
        <f t="shared" si="17"/>
        <v>-0.11552653323903349</v>
      </c>
      <c r="Y104" s="192" t="str">
        <f t="shared" si="18"/>
        <v>999.995940545754-2.01631292575116i</v>
      </c>
      <c r="Z104" s="192" t="str">
        <f t="shared" si="19"/>
        <v>-110963959.840989i</v>
      </c>
      <c r="AA104" s="192" t="str">
        <f t="shared" si="20"/>
        <v>22150.1592153998-15334138.8876343i</v>
      </c>
      <c r="AB104" s="192" t="str">
        <f t="shared" si="21"/>
        <v>1381.90263844297-7879477.26091618i</v>
      </c>
      <c r="AC104" s="192" t="str">
        <f t="shared" si="22"/>
        <v>17098.0706122224-13472389.2724995i</v>
      </c>
      <c r="AD104" s="192" t="str">
        <f t="shared" si="23"/>
        <v>9999.9816676075-12.6911707504396i</v>
      </c>
      <c r="AE104" s="192" t="str">
        <f t="shared" si="24"/>
        <v>-534.239007621565+265.143480072907i</v>
      </c>
      <c r="AF104" s="296"/>
      <c r="AG104" s="296"/>
      <c r="AH104" s="296"/>
      <c r="AI104" s="296"/>
      <c r="AJ104" s="296"/>
      <c r="AK104" s="296"/>
      <c r="AL104" s="296"/>
      <c r="AM104" s="296"/>
      <c r="AN104" s="296"/>
      <c r="AO104" s="296"/>
      <c r="AP104" s="296"/>
      <c r="AQ104" s="296"/>
      <c r="AR104" s="296"/>
      <c r="AS104" s="296"/>
    </row>
    <row r="105" spans="1:45" s="192" customFormat="1" x14ac:dyDescent="0.2">
      <c r="A105" s="301">
        <f t="shared" si="0"/>
        <v>71.12</v>
      </c>
      <c r="B105" s="301">
        <f t="shared" si="25"/>
        <v>1.5000000000000004</v>
      </c>
      <c r="C105" s="303">
        <f t="shared" si="26"/>
        <v>31.622776601683832</v>
      </c>
      <c r="D105" s="302">
        <f t="shared" si="1"/>
        <v>71.119907666607631</v>
      </c>
      <c r="E105" s="301">
        <f t="shared" si="2"/>
        <v>152.39034481584525</v>
      </c>
      <c r="G105" s="303"/>
      <c r="H105" s="315" t="str">
        <f t="shared" si="3"/>
        <v>1E+47-5.0329212104487E+53i</v>
      </c>
      <c r="I105" s="301" t="str">
        <f t="shared" si="4"/>
        <v>0.002-4.6558013047629i</v>
      </c>
      <c r="J105" s="301" t="str">
        <f t="shared" si="5"/>
        <v>0.00200000000000001-4.65580130476289i</v>
      </c>
      <c r="K105" s="301"/>
      <c r="L105" s="301" t="str">
        <f t="shared" si="6"/>
        <v>0.0257134403413182-0.000142016597703934i</v>
      </c>
      <c r="M105" s="301" t="str">
        <f t="shared" si="7"/>
        <v>0.003+0.0000596075295947767i</v>
      </c>
      <c r="N105" s="301" t="str">
        <f t="shared" si="8"/>
        <v>0.89552613070236-0.00237579067483564i</v>
      </c>
      <c r="O105" s="316">
        <f t="shared" si="9"/>
        <v>-0.95840417933609101</v>
      </c>
      <c r="P105" s="316">
        <f t="shared" si="10"/>
        <v>-0.1520027776491624</v>
      </c>
      <c r="Q105" s="301">
        <f t="shared" si="11"/>
        <v>198.69176531592225</v>
      </c>
      <c r="R105" s="301">
        <f t="shared" si="27"/>
        <v>1.5000000000000004</v>
      </c>
      <c r="S105" s="308">
        <f t="shared" si="12"/>
        <v>15.691774074788636</v>
      </c>
      <c r="T105" s="301" t="str">
        <f t="shared" si="13"/>
        <v>1+0.00151257688666312i</v>
      </c>
      <c r="U105" s="303">
        <f t="shared" si="14"/>
        <v>55.428133591818991</v>
      </c>
      <c r="V105" s="301">
        <f t="shared" si="15"/>
        <v>152.54234759349441</v>
      </c>
      <c r="W105" s="301">
        <f t="shared" si="16"/>
        <v>59.999980698022497</v>
      </c>
      <c r="X105" s="303">
        <f t="shared" si="17"/>
        <v>-0.12097111526651205</v>
      </c>
      <c r="Y105" s="192" t="str">
        <f t="shared" si="18"/>
        <v>999.995548898672-2.11133800069353i</v>
      </c>
      <c r="Z105" s="192" t="str">
        <f t="shared" si="19"/>
        <v>-105969758.963725i</v>
      </c>
      <c r="AA105" s="192" t="str">
        <f t="shared" si="20"/>
        <v>22150.1592153998-14643988.9507137i</v>
      </c>
      <c r="AB105" s="192" t="str">
        <f t="shared" si="21"/>
        <v>1381.90263844297-7524842.36589947i</v>
      </c>
      <c r="AC105" s="192" t="str">
        <f t="shared" si="22"/>
        <v>17098.070561484-12866032.147516i</v>
      </c>
      <c r="AD105" s="192" t="str">
        <f t="shared" si="23"/>
        <v>9999.97989893539-13.2892845257213i</v>
      </c>
      <c r="AE105" s="192" t="str">
        <f t="shared" si="24"/>
        <v>-524.206677985033+272.392476398098i</v>
      </c>
      <c r="AF105" s="296"/>
      <c r="AG105" s="296"/>
      <c r="AH105" s="296"/>
      <c r="AI105" s="296"/>
      <c r="AJ105" s="296"/>
      <c r="AK105" s="296"/>
      <c r="AL105" s="296"/>
      <c r="AM105" s="296"/>
      <c r="AN105" s="296"/>
      <c r="AO105" s="296"/>
      <c r="AP105" s="296"/>
      <c r="AQ105" s="296"/>
      <c r="AR105" s="296"/>
      <c r="AS105" s="296"/>
    </row>
    <row r="106" spans="1:45" s="192" customFormat="1" x14ac:dyDescent="0.2">
      <c r="A106" s="301">
        <f t="shared" si="0"/>
        <v>71.031000000000006</v>
      </c>
      <c r="B106" s="301">
        <f t="shared" si="25"/>
        <v>1.5200000000000007</v>
      </c>
      <c r="C106" s="303">
        <f t="shared" si="26"/>
        <v>33.113112148259155</v>
      </c>
      <c r="D106" s="302">
        <f t="shared" si="1"/>
        <v>71.030844915655351</v>
      </c>
      <c r="E106" s="301">
        <f t="shared" si="2"/>
        <v>151.29266143951415</v>
      </c>
      <c r="G106" s="303"/>
      <c r="H106" s="315" t="str">
        <f t="shared" si="3"/>
        <v>1E+47-4.80640244200853E+53i</v>
      </c>
      <c r="I106" s="301" t="str">
        <f t="shared" si="4"/>
        <v>0.002-4.4462557280375i</v>
      </c>
      <c r="J106" s="301" t="str">
        <f t="shared" si="5"/>
        <v>0.002-4.44625572803751i</v>
      </c>
      <c r="K106" s="301"/>
      <c r="L106" s="301" t="str">
        <f t="shared" si="6"/>
        <v>0.025713358784428-0.000148709125394558i</v>
      </c>
      <c r="M106" s="301" t="str">
        <f t="shared" si="7"/>
        <v>0.003+0.0000624167459174795i</v>
      </c>
      <c r="N106" s="301" t="str">
        <f t="shared" si="8"/>
        <v>0.89552649177733-0.0024877623711884i</v>
      </c>
      <c r="O106" s="316">
        <f t="shared" si="9"/>
        <v>-0.95839772814481983</v>
      </c>
      <c r="P106" s="316">
        <f t="shared" si="10"/>
        <v>-0.15916661198140494</v>
      </c>
      <c r="Q106" s="301">
        <f t="shared" si="11"/>
        <v>208.05581972493178</v>
      </c>
      <c r="R106" s="301">
        <f t="shared" si="27"/>
        <v>1.5200000000000005</v>
      </c>
      <c r="S106" s="308">
        <f t="shared" si="12"/>
        <v>15.691780525979906</v>
      </c>
      <c r="T106" s="301" t="str">
        <f t="shared" si="13"/>
        <v>1+0.00158386243914691i</v>
      </c>
      <c r="U106" s="303">
        <f t="shared" si="14"/>
        <v>55.339064389675443</v>
      </c>
      <c r="V106" s="301">
        <f t="shared" si="15"/>
        <v>151.45182805149554</v>
      </c>
      <c r="W106" s="301">
        <f t="shared" si="16"/>
        <v>59.999978835807056</v>
      </c>
      <c r="X106" s="303">
        <f t="shared" si="17"/>
        <v>-0.12667229020695558</v>
      </c>
      <c r="Y106" s="192" t="str">
        <f t="shared" si="18"/>
        <v>999.995119466538-2.21084134712194i</v>
      </c>
      <c r="Z106" s="192" t="str">
        <f t="shared" si="19"/>
        <v>-101200334.152836i</v>
      </c>
      <c r="AA106" s="192" t="str">
        <f t="shared" si="20"/>
        <v>22150.1592153998-13984900.8777115i</v>
      </c>
      <c r="AB106" s="192" t="str">
        <f t="shared" si="21"/>
        <v>1381.90263844297-7186168.67041396i</v>
      </c>
      <c r="AC106" s="192" t="str">
        <f t="shared" si="22"/>
        <v>17098.0705058505-12286965.6016966i</v>
      </c>
      <c r="AD106" s="192" t="str">
        <f t="shared" si="23"/>
        <v>9999.9779596258-13.9155861384543i</v>
      </c>
      <c r="AE106" s="192" t="str">
        <f t="shared" si="24"/>
        <v>-513.633418572677+279.439597010578i</v>
      </c>
      <c r="AF106" s="296"/>
      <c r="AG106" s="296"/>
      <c r="AH106" s="296"/>
      <c r="AI106" s="296"/>
      <c r="AJ106" s="296"/>
      <c r="AK106" s="296"/>
      <c r="AL106" s="296"/>
      <c r="AM106" s="296"/>
      <c r="AN106" s="296"/>
      <c r="AO106" s="296"/>
      <c r="AP106" s="296"/>
      <c r="AQ106" s="296"/>
      <c r="AR106" s="296"/>
      <c r="AS106" s="296"/>
    </row>
    <row r="107" spans="1:45" s="192" customFormat="1" x14ac:dyDescent="0.2">
      <c r="A107" s="301">
        <f t="shared" si="0"/>
        <v>70.935000000000002</v>
      </c>
      <c r="B107" s="301">
        <f t="shared" si="25"/>
        <v>1.5400000000000005</v>
      </c>
      <c r="C107" s="303">
        <f t="shared" si="26"/>
        <v>34.673685045253208</v>
      </c>
      <c r="D107" s="302">
        <f t="shared" si="1"/>
        <v>70.935244443541919</v>
      </c>
      <c r="E107" s="301">
        <f t="shared" si="2"/>
        <v>150.1674229261946</v>
      </c>
      <c r="G107" s="303"/>
      <c r="H107" s="315" t="str">
        <f t="shared" si="3"/>
        <v>1E+47-4.59007869755349E+53i</v>
      </c>
      <c r="I107" s="301" t="str">
        <f t="shared" si="4"/>
        <v>0.002-4.24614125583116i</v>
      </c>
      <c r="J107" s="301" t="str">
        <f t="shared" si="5"/>
        <v>0.002-4.24614125583115i</v>
      </c>
      <c r="K107" s="301"/>
      <c r="L107" s="301" t="str">
        <f t="shared" si="6"/>
        <v>0.0257132693597169-0.000155716986887095i</v>
      </c>
      <c r="M107" s="301" t="str">
        <f t="shared" si="7"/>
        <v>0.003+0.0000653583565266323i</v>
      </c>
      <c r="N107" s="301" t="str">
        <f t="shared" si="8"/>
        <v>0.895526887686453-0.00260501174309733i</v>
      </c>
      <c r="O107" s="316">
        <f t="shared" si="9"/>
        <v>-0.95839065455769989</v>
      </c>
      <c r="P107" s="316">
        <f t="shared" si="10"/>
        <v>-0.16666809173968541</v>
      </c>
      <c r="Q107" s="301">
        <f t="shared" si="11"/>
        <v>217.86118842210752</v>
      </c>
      <c r="R107" s="301">
        <f t="shared" si="27"/>
        <v>1.5400000000000005</v>
      </c>
      <c r="S107" s="308">
        <f t="shared" si="12"/>
        <v>15.691787599567027</v>
      </c>
      <c r="T107" s="301" t="str">
        <f t="shared" si="13"/>
        <v>1+0.00165850757621626i</v>
      </c>
      <c r="U107" s="303">
        <f t="shared" si="14"/>
        <v>55.24345684397489</v>
      </c>
      <c r="V107" s="301">
        <f t="shared" si="15"/>
        <v>150.3340910179343</v>
      </c>
      <c r="W107" s="301">
        <f t="shared" si="16"/>
        <v>59.999976793929349</v>
      </c>
      <c r="X107" s="303">
        <f t="shared" si="17"/>
        <v>-0.13264215056619236</v>
      </c>
      <c r="Y107" s="192" t="str">
        <f t="shared" si="18"/>
        <v>999.994648603988-2.31503400134671i</v>
      </c>
      <c r="Z107" s="192" t="str">
        <f t="shared" si="19"/>
        <v>-96645568.8188499i</v>
      </c>
      <c r="AA107" s="192" t="str">
        <f t="shared" si="20"/>
        <v>22150.1592153998-13355476.6544591i</v>
      </c>
      <c r="AB107" s="192" t="str">
        <f t="shared" si="21"/>
        <v>1381.90263844297-6862737.80214486i</v>
      </c>
      <c r="AC107" s="192" t="str">
        <f t="shared" si="22"/>
        <v>17098.0704448495-11733961.3572604i</v>
      </c>
      <c r="AD107" s="192" t="str">
        <f t="shared" si="23"/>
        <v>9999.9758332161-14.5714039817703i</v>
      </c>
      <c r="AE107" s="192" t="str">
        <f t="shared" si="24"/>
        <v>-502.522734052419+286.23776157712i</v>
      </c>
      <c r="AF107" s="296"/>
      <c r="AG107" s="296"/>
      <c r="AH107" s="296"/>
      <c r="AI107" s="296"/>
      <c r="AJ107" s="296"/>
      <c r="AK107" s="296"/>
      <c r="AL107" s="296"/>
      <c r="AM107" s="296"/>
      <c r="AN107" s="296"/>
      <c r="AO107" s="296"/>
      <c r="AP107" s="296"/>
      <c r="AQ107" s="296"/>
      <c r="AR107" s="296"/>
      <c r="AS107" s="296"/>
    </row>
    <row r="108" spans="1:45" s="192" customFormat="1" x14ac:dyDescent="0.2">
      <c r="A108" s="301">
        <f t="shared" si="0"/>
        <v>70.832999999999998</v>
      </c>
      <c r="B108" s="301">
        <f t="shared" si="25"/>
        <v>1.5600000000000007</v>
      </c>
      <c r="C108" s="303">
        <f t="shared" si="26"/>
        <v>36.307805477010191</v>
      </c>
      <c r="D108" s="302">
        <f t="shared" si="1"/>
        <v>70.832784573951955</v>
      </c>
      <c r="E108" s="301">
        <f t="shared" si="2"/>
        <v>149.015715556685</v>
      </c>
      <c r="G108" s="303"/>
      <c r="H108" s="315" t="str">
        <f t="shared" si="3"/>
        <v>1E+47-4.3834911254185E+53i</v>
      </c>
      <c r="I108" s="301" t="str">
        <f t="shared" si="4"/>
        <v>0.002-4.0550334185185i</v>
      </c>
      <c r="J108" s="301" t="str">
        <f t="shared" si="5"/>
        <v>0.002-4.0550334185185i</v>
      </c>
      <c r="K108" s="301"/>
      <c r="L108" s="301" t="str">
        <f t="shared" si="6"/>
        <v>0.0257131713082414-0.000163055032249271i</v>
      </c>
      <c r="M108" s="301" t="str">
        <f t="shared" si="7"/>
        <v>0.003+0.0000684386009727255i</v>
      </c>
      <c r="N108" s="301" t="str">
        <f t="shared" si="8"/>
        <v>0.895527321790122-0.00272778761043251i</v>
      </c>
      <c r="O108" s="316">
        <f t="shared" si="9"/>
        <v>-0.95838289852777925</v>
      </c>
      <c r="P108" s="316">
        <f t="shared" si="10"/>
        <v>-0.17452313326516988</v>
      </c>
      <c r="Q108" s="301">
        <f t="shared" si="11"/>
        <v>228.12866990908495</v>
      </c>
      <c r="R108" s="301">
        <f t="shared" si="27"/>
        <v>1.5600000000000005</v>
      </c>
      <c r="S108" s="308">
        <f t="shared" si="12"/>
        <v>15.691795355596946</v>
      </c>
      <c r="T108" s="301" t="str">
        <f t="shared" si="13"/>
        <v>1+0.00173667063021475i</v>
      </c>
      <c r="U108" s="303">
        <f t="shared" si="14"/>
        <v>55.140989218355003</v>
      </c>
      <c r="V108" s="301">
        <f t="shared" si="15"/>
        <v>149.19023868995018</v>
      </c>
      <c r="W108" s="301">
        <f t="shared" si="16"/>
        <v>59.99997455505607</v>
      </c>
      <c r="X108" s="303">
        <f t="shared" si="17"/>
        <v>-0.13889335870108921</v>
      </c>
      <c r="Y108" s="192" t="str">
        <f t="shared" si="18"/>
        <v>999.994132313979-2.42413694282815i</v>
      </c>
      <c r="Z108" s="192" t="str">
        <f t="shared" si="19"/>
        <v>-92295801.6938267i</v>
      </c>
      <c r="AA108" s="192" t="str">
        <f t="shared" si="20"/>
        <v>22150.1592153998-12754381.1877908i</v>
      </c>
      <c r="AB108" s="192" t="str">
        <f t="shared" si="21"/>
        <v>1381.90263844297-6553863.72085737i</v>
      </c>
      <c r="AC108" s="192" t="str">
        <f t="shared" si="22"/>
        <v>17098.0703779634-11205846.4180625i</v>
      </c>
      <c r="AD108" s="192" t="str">
        <f t="shared" si="23"/>
        <v>9999.97350165542-15.2581290453413i</v>
      </c>
      <c r="AE108" s="192" t="str">
        <f t="shared" si="24"/>
        <v>-490.883273190265+292.738520865791i</v>
      </c>
      <c r="AF108" s="296"/>
      <c r="AG108" s="296"/>
      <c r="AH108" s="296"/>
      <c r="AI108" s="296"/>
      <c r="AJ108" s="296"/>
      <c r="AK108" s="296"/>
      <c r="AL108" s="296"/>
      <c r="AM108" s="296"/>
      <c r="AN108" s="296"/>
      <c r="AO108" s="296"/>
      <c r="AP108" s="296"/>
      <c r="AQ108" s="296"/>
      <c r="AR108" s="296"/>
      <c r="AS108" s="296"/>
    </row>
    <row r="109" spans="1:45" s="192" customFormat="1" x14ac:dyDescent="0.2">
      <c r="A109" s="301">
        <f t="shared" si="0"/>
        <v>70.722999999999999</v>
      </c>
      <c r="B109" s="301">
        <f t="shared" si="25"/>
        <v>1.5800000000000005</v>
      </c>
      <c r="C109" s="303">
        <f t="shared" si="26"/>
        <v>38.018939632056167</v>
      </c>
      <c r="D109" s="302">
        <f t="shared" si="1"/>
        <v>70.723150503381817</v>
      </c>
      <c r="E109" s="301">
        <f t="shared" si="2"/>
        <v>147.83882002051701</v>
      </c>
      <c r="G109" s="303"/>
      <c r="H109" s="315" t="str">
        <f t="shared" si="3"/>
        <v>1E+47-4.18620152566543E+53i</v>
      </c>
      <c r="I109" s="301" t="str">
        <f t="shared" si="4"/>
        <v>0.002-3.87252685075433i</v>
      </c>
      <c r="J109" s="301" t="str">
        <f t="shared" si="5"/>
        <v>0.002-3.87252685075433i</v>
      </c>
      <c r="K109" s="301"/>
      <c r="L109" s="301" t="str">
        <f t="shared" si="6"/>
        <v>0.025713063797863-0.000170738809758354i</v>
      </c>
      <c r="M109" s="301" t="str">
        <f t="shared" si="7"/>
        <v>0.003+0.0000716640128672049i</v>
      </c>
      <c r="N109" s="301" t="str">
        <f t="shared" si="8"/>
        <v>0.895527797772861-0.00285635053301883i</v>
      </c>
      <c r="O109" s="316">
        <f t="shared" si="9"/>
        <v>-0.95837439421505743</v>
      </c>
      <c r="P109" s="316">
        <f t="shared" si="10"/>
        <v>-0.18274840354681191</v>
      </c>
      <c r="Q109" s="301">
        <f t="shared" si="11"/>
        <v>238.88004289068297</v>
      </c>
      <c r="R109" s="301">
        <f t="shared" si="27"/>
        <v>1.5800000000000005</v>
      </c>
      <c r="S109" s="308">
        <f t="shared" si="12"/>
        <v>15.691803859909669</v>
      </c>
      <c r="T109" s="301" t="str">
        <f t="shared" si="13"/>
        <v>1+0.00181851739545941i</v>
      </c>
      <c r="U109" s="303">
        <f t="shared" si="14"/>
        <v>55.031346643472155</v>
      </c>
      <c r="V109" s="301">
        <f t="shared" si="15"/>
        <v>148.02156842406382</v>
      </c>
      <c r="W109" s="301">
        <f t="shared" si="16"/>
        <v>59.999972100181665</v>
      </c>
      <c r="X109" s="303">
        <f t="shared" si="17"/>
        <v>-0.14543917366822331</v>
      </c>
      <c r="Y109" s="192" t="str">
        <f t="shared" si="18"/>
        <v>999.993566213853-2.53838156238509i</v>
      </c>
      <c r="Z109" s="192" t="str">
        <f t="shared" si="19"/>
        <v>-88141806.3385092i</v>
      </c>
      <c r="AA109" s="192" t="str">
        <f t="shared" si="20"/>
        <v>22150.1592153998-12180339.4736315i</v>
      </c>
      <c r="AB109" s="192" t="str">
        <f t="shared" si="21"/>
        <v>1381.90263844297-6258891.26321368i</v>
      </c>
      <c r="AC109" s="192" t="str">
        <f t="shared" si="22"/>
        <v>17098.0703046241-10701500.5815115i</v>
      </c>
      <c r="AD109" s="192" t="str">
        <f t="shared" si="23"/>
        <v>9999.97094515138-15.9772178641743i</v>
      </c>
      <c r="AE109" s="192" t="str">
        <f t="shared" si="24"/>
        <v>-478.729213427225+298.892693209323i</v>
      </c>
      <c r="AF109" s="296"/>
      <c r="AG109" s="296"/>
      <c r="AH109" s="296"/>
      <c r="AI109" s="296"/>
      <c r="AJ109" s="296"/>
      <c r="AK109" s="296"/>
      <c r="AL109" s="296"/>
      <c r="AM109" s="296"/>
      <c r="AN109" s="296"/>
      <c r="AO109" s="296"/>
      <c r="AP109" s="296"/>
      <c r="AQ109" s="296"/>
      <c r="AR109" s="296"/>
      <c r="AS109" s="296"/>
    </row>
    <row r="110" spans="1:45" s="192" customFormat="1" x14ac:dyDescent="0.2">
      <c r="A110" s="301">
        <f t="shared" si="0"/>
        <v>70.605999999999995</v>
      </c>
      <c r="B110" s="301">
        <f t="shared" si="25"/>
        <v>1.6000000000000008</v>
      </c>
      <c r="C110" s="303">
        <f t="shared" si="26"/>
        <v>39.810717055349791</v>
      </c>
      <c r="D110" s="302">
        <f t="shared" si="1"/>
        <v>70.606037730343076</v>
      </c>
      <c r="E110" s="301">
        <f t="shared" si="2"/>
        <v>146.6382129102854</v>
      </c>
      <c r="G110" s="303"/>
      <c r="H110" s="315" t="str">
        <f t="shared" si="3"/>
        <v>1E+47-3.9977914206021E+53i</v>
      </c>
      <c r="I110" s="301" t="str">
        <f t="shared" si="4"/>
        <v>0.002-3.69823443163932i</v>
      </c>
      <c r="J110" s="301" t="str">
        <f t="shared" si="5"/>
        <v>0.002-3.69823443163933i</v>
      </c>
      <c r="K110" s="301"/>
      <c r="L110" s="301" t="str">
        <f t="shared" si="6"/>
        <v>0.0257129459161909-0.000178784598561977i</v>
      </c>
      <c r="M110" s="301" t="str">
        <f t="shared" si="7"/>
        <v>0.003+0.0000750414337411373i</v>
      </c>
      <c r="N110" s="301" t="str">
        <f t="shared" si="8"/>
        <v>0.895528319674588-0.00299097336591366i</v>
      </c>
      <c r="O110" s="316">
        <f t="shared" si="9"/>
        <v>-0.95836506942756261</v>
      </c>
      <c r="P110" s="316">
        <f t="shared" si="10"/>
        <v>-0.19136135567737134</v>
      </c>
      <c r="Q110" s="301">
        <f t="shared" si="11"/>
        <v>250.13811247045757</v>
      </c>
      <c r="R110" s="301">
        <f t="shared" si="27"/>
        <v>1.6000000000000005</v>
      </c>
      <c r="S110" s="308">
        <f t="shared" si="12"/>
        <v>15.691813184697164</v>
      </c>
      <c r="T110" s="301" t="str">
        <f t="shared" si="13"/>
        <v>1+0.00190422147991271i</v>
      </c>
      <c r="U110" s="303">
        <f t="shared" si="14"/>
        <v>54.914224545645915</v>
      </c>
      <c r="V110" s="301">
        <f t="shared" si="15"/>
        <v>146.82957426596278</v>
      </c>
      <c r="W110" s="301">
        <f t="shared" si="16"/>
        <v>59.999969408467003</v>
      </c>
      <c r="X110" s="303">
        <f t="shared" si="17"/>
        <v>-0.15229347933675702</v>
      </c>
      <c r="Y110" s="192" t="str">
        <f t="shared" si="18"/>
        <v>999.992945498144-2.6580101524103i</v>
      </c>
      <c r="Z110" s="192" t="str">
        <f t="shared" si="19"/>
        <v>-84174771.5718134i</v>
      </c>
      <c r="AA110" s="192" t="str">
        <f t="shared" si="20"/>
        <v>22150.1592153998-11632133.8925423i</v>
      </c>
      <c r="AB110" s="192" t="str">
        <f t="shared" si="21"/>
        <v>1381.90263844297-5977194.75308338i</v>
      </c>
      <c r="AC110" s="192" t="str">
        <f t="shared" si="22"/>
        <v>17098.0702242094-10219854.062469i</v>
      </c>
      <c r="AD110" s="192" t="str">
        <f t="shared" si="23"/>
        <v>9999.96814200216-16.7301956061889i</v>
      </c>
      <c r="AE110" s="192" t="str">
        <f t="shared" si="24"/>
        <v>-466.080557543164+304.651092247229i</v>
      </c>
      <c r="AF110" s="296"/>
      <c r="AG110" s="296"/>
      <c r="AH110" s="296"/>
      <c r="AI110" s="296"/>
      <c r="AJ110" s="296"/>
      <c r="AK110" s="296"/>
      <c r="AL110" s="296"/>
      <c r="AM110" s="296"/>
      <c r="AN110" s="296"/>
      <c r="AO110" s="296"/>
      <c r="AP110" s="296"/>
      <c r="AQ110" s="296"/>
      <c r="AR110" s="296"/>
      <c r="AS110" s="296"/>
    </row>
    <row r="111" spans="1:45" s="192" customFormat="1" x14ac:dyDescent="0.2">
      <c r="A111" s="301">
        <f t="shared" si="0"/>
        <v>70.480999999999995</v>
      </c>
      <c r="B111" s="301">
        <f t="shared" si="25"/>
        <v>1.6200000000000006</v>
      </c>
      <c r="C111" s="303">
        <f t="shared" si="26"/>
        <v>41.686938347033596</v>
      </c>
      <c r="D111" s="302">
        <f t="shared" si="1"/>
        <v>70.481155631526846</v>
      </c>
      <c r="E111" s="301">
        <f t="shared" si="2"/>
        <v>145.41556515990351</v>
      </c>
      <c r="G111" s="303"/>
      <c r="H111" s="315" t="str">
        <f t="shared" si="3"/>
        <v>1E+47-3.81786116713511E+53i</v>
      </c>
      <c r="I111" s="301" t="str">
        <f t="shared" si="4"/>
        <v>0.002-3.53178646358475i</v>
      </c>
      <c r="J111" s="301" t="str">
        <f t="shared" si="5"/>
        <v>0.002-3.53178646358476i</v>
      </c>
      <c r="K111" s="301"/>
      <c r="L111" s="301" t="str">
        <f t="shared" si="6"/>
        <v>0.0257128166628465-0.000187209442841995i</v>
      </c>
      <c r="M111" s="301" t="str">
        <f t="shared" si="7"/>
        <v>0.003+0.0000785780275570148i</v>
      </c>
      <c r="N111" s="301" t="str">
        <f t="shared" si="8"/>
        <v>0.895528891924885-0.00313194184114885i</v>
      </c>
      <c r="O111" s="316">
        <f t="shared" si="9"/>
        <v>-0.95835484500857082</v>
      </c>
      <c r="P111" s="316">
        <f t="shared" si="10"/>
        <v>-0.20038026599213848</v>
      </c>
      <c r="Q111" s="301">
        <f t="shared" si="11"/>
        <v>261.92675852338277</v>
      </c>
      <c r="R111" s="301">
        <f t="shared" si="27"/>
        <v>1.6200000000000006</v>
      </c>
      <c r="S111" s="308">
        <f t="shared" si="12"/>
        <v>15.691823409116157</v>
      </c>
      <c r="T111" s="301" t="str">
        <f t="shared" si="13"/>
        <v>1+0.00199396467342834i</v>
      </c>
      <c r="U111" s="303">
        <f t="shared" si="14"/>
        <v>54.789332222410692</v>
      </c>
      <c r="V111" s="301">
        <f t="shared" si="15"/>
        <v>145.61594542589566</v>
      </c>
      <c r="W111" s="301">
        <f t="shared" si="16"/>
        <v>59.999966457062484</v>
      </c>
      <c r="X111" s="303">
        <f t="shared" si="17"/>
        <v>-0.15947081382495382</v>
      </c>
      <c r="Y111" s="192" t="str">
        <f t="shared" si="18"/>
        <v>999.992264897787-2.78327642012159i</v>
      </c>
      <c r="Z111" s="192" t="str">
        <f t="shared" si="19"/>
        <v>-80386282.7811295i</v>
      </c>
      <c r="AA111" s="192" t="str">
        <f t="shared" si="20"/>
        <v>22150.1592153998-11108601.6269866i</v>
      </c>
      <c r="AB111" s="192" t="str">
        <f t="shared" si="21"/>
        <v>1381.90263844297-5708176.67440088i</v>
      </c>
      <c r="AC111" s="192" t="str">
        <f t="shared" si="22"/>
        <v>17098.0701360362-9759885.22409263i</v>
      </c>
      <c r="AD111" s="192" t="str">
        <f t="shared" si="23"/>
        <v>9999.96506841222-17.5186593050862i</v>
      </c>
      <c r="AE111" s="192" t="str">
        <f t="shared" si="24"/>
        <v>-452.963320642078+309.965333075935i</v>
      </c>
      <c r="AF111" s="296"/>
      <c r="AG111" s="296"/>
      <c r="AH111" s="296"/>
      <c r="AI111" s="296"/>
      <c r="AJ111" s="296"/>
      <c r="AK111" s="296"/>
      <c r="AL111" s="296"/>
      <c r="AM111" s="296"/>
      <c r="AN111" s="296"/>
      <c r="AO111" s="296"/>
      <c r="AP111" s="296"/>
      <c r="AQ111" s="296"/>
      <c r="AR111" s="296"/>
      <c r="AS111" s="296"/>
    </row>
    <row r="112" spans="1:45" s="192" customFormat="1" x14ac:dyDescent="0.2">
      <c r="A112" s="301">
        <f t="shared" si="0"/>
        <v>70.347999999999999</v>
      </c>
      <c r="B112" s="301">
        <f t="shared" si="25"/>
        <v>1.6400000000000008</v>
      </c>
      <c r="C112" s="303">
        <f t="shared" si="26"/>
        <v>43.651583224016669</v>
      </c>
      <c r="D112" s="302">
        <f t="shared" si="1"/>
        <v>70.348231112668259</v>
      </c>
      <c r="E112" s="301">
        <f t="shared" si="2"/>
        <v>144.17273714958918</v>
      </c>
      <c r="G112" s="303"/>
      <c r="H112" s="315" t="str">
        <f t="shared" si="3"/>
        <v>1E+47-3.64602910907319E+53i</v>
      </c>
      <c r="I112" s="301" t="str">
        <f t="shared" si="4"/>
        <v>0.002-3.37282988813431i</v>
      </c>
      <c r="J112" s="301" t="str">
        <f t="shared" si="5"/>
        <v>0.002-3.37282988813432i</v>
      </c>
      <c r="K112" s="301"/>
      <c r="L112" s="301" t="str">
        <f t="shared" si="6"/>
        <v>0.0257126749409823-0.000196031187546817i</v>
      </c>
      <c r="M112" s="301" t="str">
        <f t="shared" si="7"/>
        <v>0.003+0.0000822812959044805i</v>
      </c>
      <c r="N112" s="301" t="str">
        <f t="shared" si="8"/>
        <v>0.895529519380568-0.00327955517722804i</v>
      </c>
      <c r="O112" s="316">
        <f t="shared" si="9"/>
        <v>-0.95834363416472168</v>
      </c>
      <c r="P112" s="316">
        <f t="shared" si="10"/>
        <v>-0.20982427297140641</v>
      </c>
      <c r="Q112" s="301">
        <f t="shared" si="11"/>
        <v>274.27098634826842</v>
      </c>
      <c r="R112" s="301">
        <f t="shared" si="27"/>
        <v>1.6400000000000006</v>
      </c>
      <c r="S112" s="308">
        <f t="shared" si="12"/>
        <v>15.691834619960005</v>
      </c>
      <c r="T112" s="301" t="str">
        <f t="shared" si="13"/>
        <v>1+0.0020879373333518i</v>
      </c>
      <c r="U112" s="303">
        <f t="shared" si="14"/>
        <v>54.656396492708261</v>
      </c>
      <c r="V112" s="301">
        <f t="shared" si="15"/>
        <v>144.3825614225606</v>
      </c>
      <c r="W112" s="301">
        <f t="shared" si="16"/>
        <v>59.999963220914083</v>
      </c>
      <c r="X112" s="303">
        <f t="shared" si="17"/>
        <v>-0.16698640032250692</v>
      </c>
      <c r="Y112" s="192" t="str">
        <f t="shared" si="18"/>
        <v>999.991518635398-2.91444602492391i</v>
      </c>
      <c r="Z112" s="192" t="str">
        <f t="shared" si="19"/>
        <v>-76768304.0738011i</v>
      </c>
      <c r="AA112" s="192" t="str">
        <f t="shared" si="20"/>
        <v>22150.1592153998-10608632.1948379i</v>
      </c>
      <c r="AB112" s="192" t="str">
        <f t="shared" si="21"/>
        <v>1381.90263844297-5451266.40375331i</v>
      </c>
      <c r="AC112" s="192" t="str">
        <f t="shared" si="22"/>
        <v>17098.0700393562-9320618.41080722i</v>
      </c>
      <c r="AD112" s="192" t="str">
        <f t="shared" si="23"/>
        <v>9999.96169829033-18.3442812453301i</v>
      </c>
      <c r="AE112" s="192" t="str">
        <f t="shared" si="24"/>
        <v>-439.409587573403+314.788698440524i</v>
      </c>
      <c r="AF112" s="296"/>
      <c r="AG112" s="296"/>
      <c r="AH112" s="296"/>
      <c r="AI112" s="296"/>
      <c r="AJ112" s="296"/>
      <c r="AK112" s="296"/>
      <c r="AL112" s="296"/>
      <c r="AM112" s="296"/>
      <c r="AN112" s="296"/>
      <c r="AO112" s="296"/>
      <c r="AP112" s="296"/>
      <c r="AQ112" s="296"/>
      <c r="AR112" s="296"/>
      <c r="AS112" s="296"/>
    </row>
    <row r="113" spans="1:45" s="192" customFormat="1" x14ac:dyDescent="0.2">
      <c r="A113" s="301">
        <f t="shared" si="0"/>
        <v>70.206999999999994</v>
      </c>
      <c r="B113" s="301">
        <f t="shared" si="25"/>
        <v>1.6600000000000008</v>
      </c>
      <c r="C113" s="303">
        <f t="shared" si="26"/>
        <v>45.708818961487587</v>
      </c>
      <c r="D113" s="302">
        <f t="shared" si="1"/>
        <v>70.207012250796836</v>
      </c>
      <c r="E113" s="301">
        <f t="shared" si="2"/>
        <v>142.91177028407449</v>
      </c>
      <c r="G113" s="303"/>
      <c r="H113" s="315" t="str">
        <f t="shared" si="3"/>
        <v>1E+47-3.48193076758324E+53i</v>
      </c>
      <c r="I113" s="301" t="str">
        <f t="shared" si="4"/>
        <v>0.002-3.22102753707977i</v>
      </c>
      <c r="J113" s="301" t="str">
        <f t="shared" si="5"/>
        <v>0.002-3.22102753707977i</v>
      </c>
      <c r="K113" s="301"/>
      <c r="L113" s="301" t="str">
        <f t="shared" si="6"/>
        <v>0.0257125195479837-0.000205268515759985i</v>
      </c>
      <c r="M113" s="301" t="str">
        <f t="shared" si="7"/>
        <v>0.003+0.0000861590939122051i</v>
      </c>
      <c r="N113" s="301" t="str">
        <f t="shared" si="8"/>
        <v>0.895530207366886-0.00343412671773756i</v>
      </c>
      <c r="O113" s="316">
        <f t="shared" si="9"/>
        <v>-0.95833134172926815</v>
      </c>
      <c r="P113" s="316">
        <f t="shared" si="10"/>
        <v>-0.21971341799180644</v>
      </c>
      <c r="Q113" s="301">
        <f t="shared" si="11"/>
        <v>287.19697970735047</v>
      </c>
      <c r="R113" s="301">
        <f t="shared" si="27"/>
        <v>1.6600000000000006</v>
      </c>
      <c r="S113" s="308">
        <f t="shared" si="12"/>
        <v>15.691846912395457</v>
      </c>
      <c r="T113" s="301" t="str">
        <f t="shared" si="13"/>
        <v>1+0.00218633878829394i</v>
      </c>
      <c r="U113" s="303">
        <f t="shared" si="14"/>
        <v>54.515165338401381</v>
      </c>
      <c r="V113" s="301">
        <f t="shared" si="15"/>
        <v>143.1314837020663</v>
      </c>
      <c r="W113" s="301">
        <f t="shared" si="16"/>
        <v>59.999959672550688</v>
      </c>
      <c r="X113" s="303">
        <f t="shared" si="17"/>
        <v>-0.17485617936377476</v>
      </c>
      <c r="Y113" s="192" t="str">
        <f t="shared" si="18"/>
        <v>999.990700376239-3.0517971410073i</v>
      </c>
      <c r="Z113" s="192" t="str">
        <f t="shared" si="19"/>
        <v>-73313161.2319196i</v>
      </c>
      <c r="AA113" s="192" t="str">
        <f t="shared" si="20"/>
        <v>22150.1592153998-10131165.0938985i</v>
      </c>
      <c r="AB113" s="192" t="str">
        <f t="shared" si="21"/>
        <v>1381.90263844297-5205919.00001215i</v>
      </c>
      <c r="AC113" s="192" t="str">
        <f t="shared" si="22"/>
        <v>17098.0699333489-8901121.87880817i</v>
      </c>
      <c r="AD113" s="192" t="str">
        <f t="shared" si="23"/>
        <v>9999.95800302814-19.2088125063648i</v>
      </c>
      <c r="AE113" s="192" t="str">
        <f t="shared" si="24"/>
        <v>-425.457424275099+319.077041336018i</v>
      </c>
      <c r="AF113" s="296"/>
      <c r="AG113" s="296"/>
      <c r="AH113" s="296"/>
      <c r="AI113" s="296"/>
      <c r="AJ113" s="296"/>
      <c r="AK113" s="296"/>
      <c r="AL113" s="296"/>
      <c r="AM113" s="296"/>
      <c r="AN113" s="296"/>
      <c r="AO113" s="296"/>
      <c r="AP113" s="296"/>
      <c r="AQ113" s="296"/>
      <c r="AR113" s="296"/>
      <c r="AS113" s="296"/>
    </row>
    <row r="114" spans="1:45" s="192" customFormat="1" x14ac:dyDescent="0.2">
      <c r="A114" s="301">
        <f t="shared" si="0"/>
        <v>70.057000000000002</v>
      </c>
      <c r="B114" s="301">
        <f t="shared" si="25"/>
        <v>1.6800000000000008</v>
      </c>
      <c r="C114" s="303">
        <f t="shared" si="26"/>
        <v>47.86300923226392</v>
      </c>
      <c r="D114" s="302">
        <f t="shared" si="1"/>
        <v>70.057271835995849</v>
      </c>
      <c r="E114" s="301">
        <f t="shared" si="2"/>
        <v>141.63487495399775</v>
      </c>
      <c r="G114" s="303"/>
      <c r="H114" s="315" t="str">
        <f t="shared" si="3"/>
        <v>1E+47-3.32521806808191E+53i</v>
      </c>
      <c r="I114" s="301" t="str">
        <f t="shared" si="4"/>
        <v>0.002-3.07605741728206i</v>
      </c>
      <c r="J114" s="301" t="str">
        <f t="shared" si="5"/>
        <v>0.002-3.07605741728207i</v>
      </c>
      <c r="K114" s="301"/>
      <c r="L114" s="301" t="str">
        <f t="shared" si="6"/>
        <v>0.0257123491652755-0.00021494098777504i</v>
      </c>
      <c r="M114" s="301" t="str">
        <f t="shared" si="7"/>
        <v>0.003+0.0000902196469096685i</v>
      </c>
      <c r="N114" s="301" t="str">
        <f t="shared" si="8"/>
        <v>0.895530961722682-0.00359598460050074i</v>
      </c>
      <c r="O114" s="316">
        <f t="shared" si="9"/>
        <v>-0.9583178633543048</v>
      </c>
      <c r="P114" s="316">
        <f t="shared" si="10"/>
        <v>-0.23006868801594249</v>
      </c>
      <c r="Q114" s="301">
        <f t="shared" si="11"/>
        <v>300.73215636556154</v>
      </c>
      <c r="R114" s="301">
        <f t="shared" si="27"/>
        <v>1.6800000000000006</v>
      </c>
      <c r="S114" s="308">
        <f t="shared" si="12"/>
        <v>15.691860390770421</v>
      </c>
      <c r="T114" s="301" t="str">
        <f t="shared" si="13"/>
        <v>1+0.00228937776093359i</v>
      </c>
      <c r="U114" s="303">
        <f t="shared" si="14"/>
        <v>54.365411445225426</v>
      </c>
      <c r="V114" s="301">
        <f t="shared" si="15"/>
        <v>141.86494364201369</v>
      </c>
      <c r="W114" s="301">
        <f t="shared" si="16"/>
        <v>59.999955781850929</v>
      </c>
      <c r="X114" s="303">
        <f t="shared" si="17"/>
        <v>-0.18309684262006423</v>
      </c>
      <c r="Y114" s="192" t="str">
        <f t="shared" si="18"/>
        <v>999.989803174448-3.19562104635702i</v>
      </c>
      <c r="Z114" s="192" t="str">
        <f t="shared" si="19"/>
        <v>-70013525.4342773i</v>
      </c>
      <c r="AA114" s="192" t="str">
        <f t="shared" si="20"/>
        <v>22150.1592153998-9675187.55243215i</v>
      </c>
      <c r="AB114" s="192" t="str">
        <f t="shared" si="21"/>
        <v>1381.90263844297-4971614.04843975i</v>
      </c>
      <c r="AC114" s="192" t="str">
        <f t="shared" si="22"/>
        <v>17098.0698171141-8500505.8197082i</v>
      </c>
      <c r="AD114" s="192" t="str">
        <f t="shared" si="23"/>
        <v>9999.95395125729-20.1140866735376i</v>
      </c>
      <c r="AE114" s="192" t="str">
        <f t="shared" si="24"/>
        <v>-411.150631384316+322.789695788459i</v>
      </c>
      <c r="AF114" s="296"/>
      <c r="AG114" s="296"/>
      <c r="AH114" s="296"/>
      <c r="AI114" s="296"/>
      <c r="AJ114" s="296"/>
      <c r="AK114" s="296"/>
      <c r="AL114" s="296"/>
      <c r="AM114" s="296"/>
      <c r="AN114" s="296"/>
      <c r="AO114" s="296"/>
      <c r="AP114" s="296"/>
      <c r="AQ114" s="296"/>
      <c r="AR114" s="296"/>
      <c r="AS114" s="296"/>
    </row>
    <row r="115" spans="1:45" s="192" customFormat="1" x14ac:dyDescent="0.2">
      <c r="A115" s="301">
        <f t="shared" si="0"/>
        <v>69.899000000000001</v>
      </c>
      <c r="B115" s="301">
        <f t="shared" si="25"/>
        <v>1.7000000000000008</v>
      </c>
      <c r="C115" s="303">
        <f t="shared" si="26"/>
        <v>50.11872336272733</v>
      </c>
      <c r="D115" s="302">
        <f t="shared" si="1"/>
        <v>69.898810715574598</v>
      </c>
      <c r="E115" s="301">
        <f t="shared" si="2"/>
        <v>140.34441491005728</v>
      </c>
      <c r="G115" s="303"/>
      <c r="H115" s="315" t="str">
        <f t="shared" si="3"/>
        <v>1E+47-3.17555860192274E+53i</v>
      </c>
      <c r="I115" s="301" t="str">
        <f t="shared" si="4"/>
        <v>0.002-2.93761202768062i</v>
      </c>
      <c r="J115" s="301" t="str">
        <f t="shared" si="5"/>
        <v>0.002-2.93761202768062i</v>
      </c>
      <c r="K115" s="301"/>
      <c r="L115" s="301" t="str">
        <f t="shared" si="6"/>
        <v>0.0257121623471481-0.000225069081948991i</v>
      </c>
      <c r="M115" s="301" t="str">
        <f t="shared" si="7"/>
        <v>0.003+0.000094471567874186i</v>
      </c>
      <c r="N115" s="301" t="str">
        <f t="shared" si="8"/>
        <v>0.895531788849909-0.00376547245878082i</v>
      </c>
      <c r="O115" s="316">
        <f t="shared" si="9"/>
        <v>-0.95830308462505331</v>
      </c>
      <c r="P115" s="316">
        <f t="shared" si="10"/>
        <v>-0.24091206031426968</v>
      </c>
      <c r="Q115" s="301">
        <f t="shared" si="11"/>
        <v>314.90522624728663</v>
      </c>
      <c r="R115" s="301">
        <f t="shared" si="27"/>
        <v>1.7000000000000006</v>
      </c>
      <c r="S115" s="308">
        <f t="shared" si="12"/>
        <v>15.691875169499674</v>
      </c>
      <c r="T115" s="301" t="str">
        <f t="shared" si="13"/>
        <v>1+0.00239727281074641i</v>
      </c>
      <c r="U115" s="303">
        <f t="shared" si="14"/>
        <v>54.206935546074924</v>
      </c>
      <c r="V115" s="301">
        <f t="shared" si="15"/>
        <v>140.58532697037154</v>
      </c>
      <c r="W115" s="301">
        <f t="shared" si="16"/>
        <v>59.999951515787487</v>
      </c>
      <c r="X115" s="303">
        <f t="shared" si="17"/>
        <v>-0.19172586828224322</v>
      </c>
      <c r="Y115" s="192" t="str">
        <f t="shared" si="18"/>
        <v>999.988819414096-3.34622273940517i</v>
      </c>
      <c r="Z115" s="192" t="str">
        <f t="shared" si="19"/>
        <v>-66862397.7109578i</v>
      </c>
      <c r="AA115" s="192" t="str">
        <f t="shared" si="20"/>
        <v>22150.1592153998-9239732.38093959i</v>
      </c>
      <c r="AB115" s="192" t="str">
        <f t="shared" si="21"/>
        <v>1381.90263844297-4747854.55681997i</v>
      </c>
      <c r="AC115" s="192" t="str">
        <f t="shared" si="22"/>
        <v>17098.069689665-8117920.47313456i</v>
      </c>
      <c r="AD115" s="192" t="str">
        <f t="shared" si="23"/>
        <v>9999.94950858319-21.0620237235295i</v>
      </c>
      <c r="AE115" s="192" t="str">
        <f t="shared" si="24"/>
        <v>-396.53833466799+325.890364109892i</v>
      </c>
      <c r="AF115" s="296"/>
      <c r="AG115" s="296"/>
      <c r="AH115" s="296"/>
      <c r="AI115" s="296"/>
      <c r="AJ115" s="296"/>
      <c r="AK115" s="296"/>
      <c r="AL115" s="296"/>
      <c r="AM115" s="296"/>
      <c r="AN115" s="296"/>
      <c r="AO115" s="296"/>
      <c r="AP115" s="296"/>
      <c r="AQ115" s="296"/>
      <c r="AR115" s="296"/>
      <c r="AS115" s="296"/>
    </row>
    <row r="116" spans="1:45" s="192" customFormat="1" x14ac:dyDescent="0.2">
      <c r="A116" s="301">
        <f t="shared" si="0"/>
        <v>69.730999999999995</v>
      </c>
      <c r="B116" s="301">
        <f t="shared" si="25"/>
        <v>1.7200000000000006</v>
      </c>
      <c r="C116" s="303">
        <f t="shared" si="26"/>
        <v>52.48074602497735</v>
      </c>
      <c r="D116" s="302">
        <f t="shared" si="1"/>
        <v>69.731460842419793</v>
      </c>
      <c r="E116" s="301">
        <f t="shared" si="2"/>
        <v>139.04288821008325</v>
      </c>
      <c r="G116" s="303"/>
      <c r="H116" s="315" t="str">
        <f t="shared" si="3"/>
        <v>1E+47-3.03263492131282E+53i</v>
      </c>
      <c r="I116" s="301" t="str">
        <f t="shared" si="4"/>
        <v>0.002-2.80539770704239i</v>
      </c>
      <c r="J116" s="301" t="str">
        <f t="shared" si="5"/>
        <v>0.002-2.80539770704239i</v>
      </c>
      <c r="K116" s="301"/>
      <c r="L116" s="301" t="str">
        <f t="shared" si="6"/>
        <v>0.0257119575085077-0.000235674237408862i</v>
      </c>
      <c r="M116" s="301" t="str">
        <f t="shared" si="7"/>
        <v>0.003+0.0000989238757001883i</v>
      </c>
      <c r="N116" s="301" t="str">
        <f t="shared" si="8"/>
        <v>0.895532695767916-0.00394295015611911i</v>
      </c>
      <c r="O116" s="316">
        <f t="shared" si="9"/>
        <v>-0.95828688008871254</v>
      </c>
      <c r="P116" s="316">
        <f t="shared" si="10"/>
        <v>-0.25226654931803133</v>
      </c>
      <c r="Q116" s="301">
        <f t="shared" si="11"/>
        <v>329.74625233396114</v>
      </c>
      <c r="R116" s="301">
        <f t="shared" si="27"/>
        <v>1.7200000000000006</v>
      </c>
      <c r="S116" s="308">
        <f t="shared" si="12"/>
        <v>15.691891374036013</v>
      </c>
      <c r="T116" s="301" t="str">
        <f t="shared" si="13"/>
        <v>1+0.00251025279759879i</v>
      </c>
      <c r="U116" s="303">
        <f t="shared" si="14"/>
        <v>54.039569468383775</v>
      </c>
      <c r="V116" s="301">
        <f t="shared" si="15"/>
        <v>139.29515475940127</v>
      </c>
      <c r="W116" s="301">
        <f t="shared" si="16"/>
        <v>59.999946838146755</v>
      </c>
      <c r="X116" s="303">
        <f t="shared" si="17"/>
        <v>-0.20076155810832064</v>
      </c>
      <c r="Y116" s="192" t="str">
        <f t="shared" si="18"/>
        <v>999.98774074454-3.50392158460937i</v>
      </c>
      <c r="Z116" s="192" t="str">
        <f t="shared" si="19"/>
        <v>-63853094.0975817i</v>
      </c>
      <c r="AA116" s="192" t="str">
        <f t="shared" si="20"/>
        <v>22150.1592153998-8823875.92061954i</v>
      </c>
      <c r="AB116" s="192" t="str">
        <f t="shared" si="21"/>
        <v>1381.90263844297-4534165.90127117i</v>
      </c>
      <c r="AC116" s="192" t="str">
        <f t="shared" si="22"/>
        <v>17098.06954992-7752554.32427304i</v>
      </c>
      <c r="AD116" s="192" t="str">
        <f t="shared" si="23"/>
        <v>9999.94463729307-22.0546340924634i</v>
      </c>
      <c r="AE116" s="192" t="str">
        <f t="shared" si="24"/>
        <v>-381.67441408891+328.347946987099i</v>
      </c>
      <c r="AF116" s="296"/>
      <c r="AG116" s="296"/>
      <c r="AH116" s="296"/>
      <c r="AI116" s="296"/>
      <c r="AJ116" s="296"/>
      <c r="AK116" s="296"/>
      <c r="AL116" s="296"/>
      <c r="AM116" s="296"/>
      <c r="AN116" s="296"/>
      <c r="AO116" s="296"/>
      <c r="AP116" s="296"/>
      <c r="AQ116" s="296"/>
      <c r="AR116" s="296"/>
      <c r="AS116" s="296"/>
    </row>
    <row r="117" spans="1:45" s="192" customFormat="1" x14ac:dyDescent="0.2">
      <c r="A117" s="301">
        <f t="shared" si="0"/>
        <v>69.555000000000007</v>
      </c>
      <c r="B117" s="301">
        <f t="shared" si="25"/>
        <v>1.7400000000000009</v>
      </c>
      <c r="C117" s="303">
        <f t="shared" si="26"/>
        <v>54.95408738576257</v>
      </c>
      <c r="D117" s="302">
        <f t="shared" si="1"/>
        <v>69.55508793274862</v>
      </c>
      <c r="E117" s="301">
        <f t="shared" si="2"/>
        <v>137.73290503375961</v>
      </c>
      <c r="G117" s="303"/>
      <c r="H117" s="315" t="str">
        <f t="shared" si="3"/>
        <v>1E+47-2.89614386596345E+53i</v>
      </c>
      <c r="I117" s="301" t="str">
        <f t="shared" si="4"/>
        <v>0.002-2.67913401106702i</v>
      </c>
      <c r="J117" s="301" t="str">
        <f t="shared" si="5"/>
        <v>0.002-2.67913401106702i</v>
      </c>
      <c r="K117" s="301"/>
      <c r="L117" s="301" t="str">
        <f t="shared" si="6"/>
        <v>0.0257117329114479-0.000246778898688005i</v>
      </c>
      <c r="M117" s="301" t="str">
        <f t="shared" si="7"/>
        <v>0.003+0.000103586014329506i</v>
      </c>
      <c r="N117" s="301" t="str">
        <f t="shared" si="8"/>
        <v>0.89553369017296-0.00412879455648121i</v>
      </c>
      <c r="O117" s="316">
        <f t="shared" si="9"/>
        <v>-0.95826911218963973</v>
      </c>
      <c r="P117" s="316">
        <f t="shared" si="10"/>
        <v>-0.26415625570717971</v>
      </c>
      <c r="Q117" s="301">
        <f t="shared" si="11"/>
        <v>345.28671443168639</v>
      </c>
      <c r="R117" s="301">
        <f t="shared" si="27"/>
        <v>1.7400000000000007</v>
      </c>
      <c r="S117" s="308">
        <f t="shared" si="12"/>
        <v>15.691909141935085</v>
      </c>
      <c r="T117" s="301" t="str">
        <f t="shared" si="13"/>
        <v>1+0.00262855736719033i</v>
      </c>
      <c r="U117" s="303">
        <f t="shared" si="14"/>
        <v>53.863178790813528</v>
      </c>
      <c r="V117" s="301">
        <f t="shared" si="15"/>
        <v>137.99706128946679</v>
      </c>
      <c r="W117" s="301">
        <f t="shared" si="16"/>
        <v>59.99994170922146</v>
      </c>
      <c r="X117" s="303">
        <f t="shared" si="17"/>
        <v>-0.21022307621405406</v>
      </c>
      <c r="Y117" s="192" t="str">
        <f t="shared" si="18"/>
        <v>999.986558009561-3.66905198830143i</v>
      </c>
      <c r="Z117" s="192" t="str">
        <f t="shared" si="19"/>
        <v>-60979231.4577193i</v>
      </c>
      <c r="AA117" s="192" t="str">
        <f t="shared" si="20"/>
        <v>22150.1592153998-8426736.0841647i</v>
      </c>
      <c r="AB117" s="192" t="str">
        <f t="shared" si="21"/>
        <v>1381.90263844297-4330094.81950517i</v>
      </c>
      <c r="AC117" s="192" t="str">
        <f t="shared" si="22"/>
        <v>17098.0693966927-7403632.38253627i</v>
      </c>
      <c r="AD117" s="192" t="str">
        <f t="shared" si="23"/>
        <v>9999.93929603587-23.0940229352341i</v>
      </c>
      <c r="AE117" s="192" t="str">
        <f t="shared" si="24"/>
        <v>-366.6167812102+330.137282708434i</v>
      </c>
      <c r="AF117" s="296"/>
      <c r="AG117" s="296"/>
      <c r="AH117" s="296"/>
      <c r="AI117" s="296"/>
      <c r="AJ117" s="296"/>
      <c r="AK117" s="296"/>
      <c r="AL117" s="296"/>
      <c r="AM117" s="296"/>
      <c r="AN117" s="296"/>
      <c r="AO117" s="296"/>
      <c r="AP117" s="296"/>
      <c r="AQ117" s="296"/>
      <c r="AR117" s="296"/>
      <c r="AS117" s="296"/>
    </row>
    <row r="118" spans="1:45" s="192" customFormat="1" x14ac:dyDescent="0.2">
      <c r="A118" s="301">
        <f t="shared" si="0"/>
        <v>69.37</v>
      </c>
      <c r="B118" s="301">
        <f t="shared" si="25"/>
        <v>1.7600000000000009</v>
      </c>
      <c r="C118" s="303">
        <f t="shared" si="26"/>
        <v>57.543993733715801</v>
      </c>
      <c r="D118" s="302">
        <f t="shared" si="1"/>
        <v>69.369593646751156</v>
      </c>
      <c r="E118" s="301">
        <f t="shared" si="2"/>
        <v>136.41716279045718</v>
      </c>
      <c r="G118" s="303"/>
      <c r="H118" s="315" t="str">
        <f t="shared" si="3"/>
        <v>1E+47-2.76579592004655E+53i</v>
      </c>
      <c r="I118" s="301" t="str">
        <f t="shared" si="4"/>
        <v>0.002-2.55855311752687i</v>
      </c>
      <c r="J118" s="301" t="str">
        <f t="shared" si="5"/>
        <v>0.002-2.55855311752687i</v>
      </c>
      <c r="K118" s="301"/>
      <c r="L118" s="301" t="str">
        <f t="shared" si="6"/>
        <v>0.0257114866505294-0.000258406562370812i</v>
      </c>
      <c r="M118" s="301" t="str">
        <f t="shared" si="7"/>
        <v>0.003+0.000108467872783235i</v>
      </c>
      <c r="N118" s="301" t="str">
        <f t="shared" si="8"/>
        <v>0.895534780503453-0.00432340033147455i</v>
      </c>
      <c r="O118" s="316">
        <f t="shared" si="9"/>
        <v>-0.95824963010180664</v>
      </c>
      <c r="P118" s="316">
        <f t="shared" si="10"/>
        <v>-0.27660641784252976</v>
      </c>
      <c r="Q118" s="301">
        <f t="shared" si="11"/>
        <v>361.55957594411728</v>
      </c>
      <c r="R118" s="301">
        <f t="shared" si="27"/>
        <v>1.7600000000000007</v>
      </c>
      <c r="S118" s="308">
        <f t="shared" si="12"/>
        <v>15.691928624022919</v>
      </c>
      <c r="T118" s="301" t="str">
        <f t="shared" si="13"/>
        <v>1+0.00275243745937451i</v>
      </c>
      <c r="U118" s="303">
        <f t="shared" si="14"/>
        <v>53.677665022728235</v>
      </c>
      <c r="V118" s="301">
        <f t="shared" si="15"/>
        <v>136.69376920829973</v>
      </c>
      <c r="W118" s="301">
        <f t="shared" si="16"/>
        <v>59.999936085473692</v>
      </c>
      <c r="X118" s="303">
        <f t="shared" si="17"/>
        <v>-0.22013048968832807</v>
      </c>
      <c r="Y118" s="192" t="str">
        <f t="shared" si="18"/>
        <v>999.985261169657-3.84196410621017i</v>
      </c>
      <c r="Z118" s="192" t="str">
        <f t="shared" si="19"/>
        <v>-58234713.9434073i</v>
      </c>
      <c r="AA118" s="192" t="str">
        <f t="shared" si="20"/>
        <v>22150.1592153998-8047470.48473661i</v>
      </c>
      <c r="AB118" s="192" t="str">
        <f t="shared" si="21"/>
        <v>1381.90263844297-4135208.44939725i</v>
      </c>
      <c r="AC118" s="192" t="str">
        <f t="shared" si="22"/>
        <v>17098.0692286822-7070414.5377052i</v>
      </c>
      <c r="AD118" s="192" t="str">
        <f t="shared" si="23"/>
        <v>9999.93343947129-24.1823945849982i</v>
      </c>
      <c r="AE118" s="192" t="str">
        <f t="shared" si="24"/>
        <v>-351.426522608714+331.239763855861i</v>
      </c>
      <c r="AF118" s="296"/>
      <c r="AG118" s="296"/>
      <c r="AH118" s="296"/>
      <c r="AI118" s="296"/>
      <c r="AJ118" s="296"/>
      <c r="AK118" s="296"/>
      <c r="AL118" s="296"/>
      <c r="AM118" s="296"/>
      <c r="AN118" s="296"/>
      <c r="AO118" s="296"/>
      <c r="AP118" s="296"/>
      <c r="AQ118" s="296"/>
      <c r="AR118" s="296"/>
      <c r="AS118" s="296"/>
    </row>
    <row r="119" spans="1:45" s="192" customFormat="1" x14ac:dyDescent="0.2">
      <c r="A119" s="301">
        <f t="shared" si="0"/>
        <v>69.174999999999997</v>
      </c>
      <c r="B119" s="301">
        <f t="shared" si="25"/>
        <v>1.7800000000000007</v>
      </c>
      <c r="C119" s="303">
        <f t="shared" si="26"/>
        <v>60.255958607435872</v>
      </c>
      <c r="D119" s="302">
        <f t="shared" si="1"/>
        <v>69.174917218551542</v>
      </c>
      <c r="E119" s="301">
        <f t="shared" si="2"/>
        <v>135.09841906409898</v>
      </c>
      <c r="G119" s="303"/>
      <c r="H119" s="315" t="str">
        <f t="shared" si="3"/>
        <v>1E+47-2.64131459809279E+53i</v>
      </c>
      <c r="I119" s="301" t="str">
        <f t="shared" si="4"/>
        <v>0.002-2.44339925818019i</v>
      </c>
      <c r="J119" s="301" t="str">
        <f t="shared" si="5"/>
        <v>0.002-2.44339925818019i</v>
      </c>
      <c r="K119" s="301"/>
      <c r="L119" s="301" t="str">
        <f t="shared" si="6"/>
        <v>0.0257112166366452-0.000270581825826418i</v>
      </c>
      <c r="M119" s="301" t="str">
        <f t="shared" si="7"/>
        <v>0.003+0.000113579806137679i</v>
      </c>
      <c r="N119" s="301" t="str">
        <f t="shared" si="8"/>
        <v>0.895535976011487-0.00452718080650016i</v>
      </c>
      <c r="O119" s="316">
        <f t="shared" si="9"/>
        <v>-0.95822826844866449</v>
      </c>
      <c r="P119" s="316">
        <f t="shared" si="10"/>
        <v>-0.28964346565724874</v>
      </c>
      <c r="Q119" s="301">
        <f t="shared" si="11"/>
        <v>378.59935379226238</v>
      </c>
      <c r="R119" s="301">
        <f t="shared" si="27"/>
        <v>1.7800000000000007</v>
      </c>
      <c r="S119" s="308">
        <f t="shared" si="12"/>
        <v>15.691949985676061</v>
      </c>
      <c r="T119" s="301" t="str">
        <f t="shared" si="13"/>
        <v>1+0.00288215584043573i</v>
      </c>
      <c r="U119" s="303">
        <f t="shared" si="14"/>
        <v>53.482967232875481</v>
      </c>
      <c r="V119" s="301">
        <f t="shared" si="15"/>
        <v>135.38806252975621</v>
      </c>
      <c r="W119" s="301">
        <f t="shared" si="16"/>
        <v>59.999929919165226</v>
      </c>
      <c r="X119" s="303">
        <f t="shared" si="17"/>
        <v>-0.23050481111876306</v>
      </c>
      <c r="Y119" s="192" t="str">
        <f t="shared" si="18"/>
        <v>999.983839216838-4.02302458412416i</v>
      </c>
      <c r="Z119" s="192" t="str">
        <f t="shared" si="19"/>
        <v>-55613720.0650331i</v>
      </c>
      <c r="AA119" s="192" t="str">
        <f t="shared" si="20"/>
        <v>22150.1592153998-7685274.64914978i</v>
      </c>
      <c r="AB119" s="192" t="str">
        <f t="shared" si="21"/>
        <v>1381.90263844297-3949093.41082757i</v>
      </c>
      <c r="AC119" s="192" t="str">
        <f t="shared" si="22"/>
        <v>17098.0690444625-6752193.99005553i</v>
      </c>
      <c r="AD119" s="192" t="str">
        <f t="shared" si="23"/>
        <v>9999.92701788489-25.3220572221704i</v>
      </c>
      <c r="AE119" s="192" t="str">
        <f t="shared" si="24"/>
        <v>-336.16693440607+331.643803915587i</v>
      </c>
      <c r="AF119" s="296"/>
      <c r="AG119" s="296"/>
      <c r="AH119" s="296"/>
      <c r="AI119" s="296"/>
      <c r="AJ119" s="296"/>
      <c r="AK119" s="296"/>
      <c r="AL119" s="296"/>
      <c r="AM119" s="296"/>
      <c r="AN119" s="296"/>
      <c r="AO119" s="296"/>
      <c r="AP119" s="296"/>
      <c r="AQ119" s="296"/>
      <c r="AR119" s="296"/>
      <c r="AS119" s="296"/>
    </row>
    <row r="120" spans="1:45" s="192" customFormat="1" x14ac:dyDescent="0.2">
      <c r="A120" s="301">
        <f t="shared" si="0"/>
        <v>68.971000000000004</v>
      </c>
      <c r="B120" s="301">
        <f t="shared" si="25"/>
        <v>1.8000000000000009</v>
      </c>
      <c r="C120" s="303">
        <f t="shared" si="26"/>
        <v>63.095734448019471</v>
      </c>
      <c r="D120" s="302">
        <f t="shared" si="1"/>
        <v>68.97103647903289</v>
      </c>
      <c r="E120" s="301">
        <f t="shared" si="2"/>
        <v>133.77946303710598</v>
      </c>
      <c r="G120" s="303"/>
      <c r="H120" s="315" t="str">
        <f t="shared" si="3"/>
        <v>1E+47-2.5224358585288E+53i</v>
      </c>
      <c r="I120" s="301" t="str">
        <f t="shared" si="4"/>
        <v>0.002-2.33342817625236i</v>
      </c>
      <c r="J120" s="301" t="str">
        <f t="shared" si="5"/>
        <v>0.002-2.33342817625236i</v>
      </c>
      <c r="K120" s="301"/>
      <c r="L120" s="301" t="str">
        <f t="shared" si="6"/>
        <v>0.0257109205793339-0.000283330438113684i</v>
      </c>
      <c r="M120" s="301" t="str">
        <f t="shared" si="7"/>
        <v>0.003+0.00011893265748885i</v>
      </c>
      <c r="N120" s="301" t="str">
        <f t="shared" si="8"/>
        <v>0.895537286841253-0.0047405688478051i</v>
      </c>
      <c r="O120" s="316">
        <f t="shared" si="9"/>
        <v>-0.95820484589946453</v>
      </c>
      <c r="P120" s="316">
        <f t="shared" si="10"/>
        <v>-0.30329507712879306</v>
      </c>
      <c r="Q120" s="301">
        <f t="shared" si="11"/>
        <v>396.44219162950083</v>
      </c>
      <c r="R120" s="301">
        <f t="shared" si="27"/>
        <v>1.8000000000000007</v>
      </c>
      <c r="S120" s="308">
        <f t="shared" si="12"/>
        <v>15.691973408225262</v>
      </c>
      <c r="T120" s="301" t="str">
        <f t="shared" si="13"/>
        <v>1+0.00301798766045189i</v>
      </c>
      <c r="U120" s="303">
        <f t="shared" si="14"/>
        <v>53.279063070807631</v>
      </c>
      <c r="V120" s="301">
        <f t="shared" si="15"/>
        <v>134.08275811423476</v>
      </c>
      <c r="W120" s="301">
        <f t="shared" si="16"/>
        <v>59.999923157952523</v>
      </c>
      <c r="X120" s="303">
        <f t="shared" si="17"/>
        <v>-0.24136804311703139</v>
      </c>
      <c r="Y120" s="192" t="str">
        <f t="shared" si="18"/>
        <v>999.982280081217-4.21261733322651i</v>
      </c>
      <c r="Z120" s="192" t="str">
        <f t="shared" si="19"/>
        <v>-53110690.343178i</v>
      </c>
      <c r="AA120" s="192" t="str">
        <f t="shared" si="20"/>
        <v>22150.1592153998-7339380.31147653i</v>
      </c>
      <c r="AB120" s="192" t="str">
        <f t="shared" si="21"/>
        <v>1381.90263844297-3771354.92884644i</v>
      </c>
      <c r="AC120" s="192" t="str">
        <f t="shared" si="22"/>
        <v>17098.0688424695-6448295.7511412i</v>
      </c>
      <c r="AD120" s="192" t="str">
        <f t="shared" si="23"/>
        <v>9999.9199767662-26.5154277627037i</v>
      </c>
      <c r="AE120" s="192" t="str">
        <f t="shared" si="24"/>
        <v>-320.902479323194+331.345132318578i</v>
      </c>
      <c r="AF120" s="296"/>
      <c r="AG120" s="296"/>
      <c r="AH120" s="296"/>
      <c r="AI120" s="296"/>
      <c r="AJ120" s="296"/>
      <c r="AK120" s="296"/>
      <c r="AL120" s="296"/>
      <c r="AM120" s="296"/>
      <c r="AN120" s="296"/>
      <c r="AO120" s="296"/>
      <c r="AP120" s="296"/>
      <c r="AQ120" s="296"/>
      <c r="AR120" s="296"/>
      <c r="AS120" s="296"/>
    </row>
    <row r="121" spans="1:45" s="192" customFormat="1" x14ac:dyDescent="0.2">
      <c r="A121" s="301">
        <f t="shared" si="0"/>
        <v>68.757999999999996</v>
      </c>
      <c r="B121" s="301">
        <f t="shared" si="25"/>
        <v>1.820000000000001</v>
      </c>
      <c r="C121" s="303">
        <f t="shared" si="26"/>
        <v>66.069344800759737</v>
      </c>
      <c r="D121" s="302">
        <f t="shared" si="1"/>
        <v>68.75796823549608</v>
      </c>
      <c r="E121" s="301">
        <f t="shared" si="2"/>
        <v>132.46308610621912</v>
      </c>
      <c r="G121" s="303"/>
      <c r="H121" s="315" t="str">
        <f t="shared" si="3"/>
        <v>1E+47-2.40890754360962E+53i</v>
      </c>
      <c r="I121" s="301" t="str">
        <f t="shared" si="4"/>
        <v>0.002-2.22840660833453i</v>
      </c>
      <c r="J121" s="301" t="str">
        <f t="shared" si="5"/>
        <v>0.002-2.22840660833453i</v>
      </c>
      <c r="K121" s="301"/>
      <c r="L121" s="301" t="str">
        <f t="shared" si="6"/>
        <v>0.0257105959673932-0.000296679353141227i</v>
      </c>
      <c r="M121" s="301" t="str">
        <f t="shared" si="7"/>
        <v>0.003+0.000124537780952135i</v>
      </c>
      <c r="N121" s="301" t="str">
        <f t="shared" si="8"/>
        <v>0.895538724114993-0.00496401779251532i</v>
      </c>
      <c r="O121" s="316">
        <f t="shared" si="9"/>
        <v>-0.95817916363032263</v>
      </c>
      <c r="P121" s="316">
        <f t="shared" si="10"/>
        <v>-0.31759023745897141</v>
      </c>
      <c r="Q121" s="301">
        <f t="shared" si="11"/>
        <v>415.12593650711557</v>
      </c>
      <c r="R121" s="301">
        <f t="shared" si="27"/>
        <v>1.8200000000000007</v>
      </c>
      <c r="S121" s="308">
        <f t="shared" si="12"/>
        <v>15.691999090494404</v>
      </c>
      <c r="T121" s="301" t="str">
        <f t="shared" si="13"/>
        <v>1+0.00316022103692452i</v>
      </c>
      <c r="U121" s="303">
        <f t="shared" si="14"/>
        <v>53.065969145001674</v>
      </c>
      <c r="V121" s="301">
        <f t="shared" si="15"/>
        <v>132.7806763436781</v>
      </c>
      <c r="W121" s="301">
        <f t="shared" si="16"/>
        <v>59.999915744442305</v>
      </c>
      <c r="X121" s="303">
        <f t="shared" si="17"/>
        <v>-0.25274322493744766</v>
      </c>
      <c r="Y121" s="192" t="str">
        <f t="shared" si="18"/>
        <v>999.980570528583-4.41114434170068i</v>
      </c>
      <c r="Z121" s="192" t="str">
        <f t="shared" si="19"/>
        <v>-50720315.5162154i</v>
      </c>
      <c r="AA121" s="192" t="str">
        <f t="shared" si="20"/>
        <v>22150.1592153998-7009053.78345179i</v>
      </c>
      <c r="AB121" s="192" t="str">
        <f t="shared" si="21"/>
        <v>1381.90263844297-3601615.99630375i</v>
      </c>
      <c r="AC121" s="192" t="str">
        <f t="shared" si="22"/>
        <v>17098.0686209885-6158075.21205311i</v>
      </c>
      <c r="AD121" s="192" t="str">
        <f t="shared" si="23"/>
        <v>9999.91225634606-27.7650369758743i</v>
      </c>
      <c r="AE121" s="192" t="str">
        <f t="shared" si="24"/>
        <v>-305.697702274171+330.346904046404i</v>
      </c>
      <c r="AF121" s="296"/>
      <c r="AG121" s="296"/>
      <c r="AH121" s="296"/>
      <c r="AI121" s="296"/>
      <c r="AJ121" s="296"/>
      <c r="AK121" s="296"/>
      <c r="AL121" s="296"/>
      <c r="AM121" s="296"/>
      <c r="AN121" s="296"/>
      <c r="AO121" s="296"/>
      <c r="AP121" s="296"/>
      <c r="AQ121" s="296"/>
      <c r="AR121" s="296"/>
      <c r="AS121" s="296"/>
    </row>
    <row r="122" spans="1:45" s="192" customFormat="1" x14ac:dyDescent="0.2">
      <c r="A122" s="301">
        <f t="shared" si="0"/>
        <v>68.536000000000001</v>
      </c>
      <c r="B122" s="301">
        <f t="shared" si="25"/>
        <v>1.8400000000000007</v>
      </c>
      <c r="C122" s="303">
        <f t="shared" si="26"/>
        <v>69.183097091893785</v>
      </c>
      <c r="D122" s="302">
        <f t="shared" si="1"/>
        <v>68.535767994714348</v>
      </c>
      <c r="E122" s="301">
        <f t="shared" si="2"/>
        <v>131.15205244117004</v>
      </c>
      <c r="G122" s="303"/>
      <c r="H122" s="315" t="str">
        <f t="shared" si="3"/>
        <v>1E+47-2.3004888445583E+53i</v>
      </c>
      <c r="I122" s="301" t="str">
        <f t="shared" si="4"/>
        <v>0.002-2.12811178960065i</v>
      </c>
      <c r="J122" s="301" t="str">
        <f t="shared" si="5"/>
        <v>0.002-2.12811178960065i</v>
      </c>
      <c r="K122" s="301"/>
      <c r="L122" s="301" t="str">
        <f t="shared" si="6"/>
        <v>0.0257102400476317-0.000310656785167486i</v>
      </c>
      <c r="M122" s="301" t="str">
        <f t="shared" si="7"/>
        <v>0.003+0.00013040706574589i</v>
      </c>
      <c r="N122" s="301" t="str">
        <f t="shared" si="8"/>
        <v>0.895540300027239-0.00519800242384789i</v>
      </c>
      <c r="O122" s="316">
        <f t="shared" si="9"/>
        <v>-0.95815100363670891</v>
      </c>
      <c r="P122" s="316">
        <f t="shared" si="10"/>
        <v>-0.33255930109662291</v>
      </c>
      <c r="Q122" s="301">
        <f t="shared" si="11"/>
        <v>434.69021915296577</v>
      </c>
      <c r="R122" s="301">
        <f t="shared" si="27"/>
        <v>1.8400000000000007</v>
      </c>
      <c r="S122" s="308">
        <f t="shared" si="12"/>
        <v>15.692027250488017</v>
      </c>
      <c r="T122" s="301" t="str">
        <f t="shared" si="13"/>
        <v>1+0.00330915766591468i</v>
      </c>
      <c r="U122" s="303">
        <f t="shared" si="14"/>
        <v>52.843740744226338</v>
      </c>
      <c r="V122" s="301">
        <f t="shared" si="15"/>
        <v>131.48461174226665</v>
      </c>
      <c r="W122" s="301">
        <f t="shared" si="16"/>
        <v>59.999907615704544</v>
      </c>
      <c r="X122" s="303">
        <f t="shared" si="17"/>
        <v>-0.26465448128672786</v>
      </c>
      <c r="Y122" s="192" t="str">
        <f t="shared" si="18"/>
        <v>999.978696048104-4.61902652427695i</v>
      </c>
      <c r="Z122" s="192" t="str">
        <f t="shared" si="19"/>
        <v>-48437525.2786536i</v>
      </c>
      <c r="AA122" s="192" t="str">
        <f t="shared" si="20"/>
        <v>22150.1592153998-6693594.39822198i</v>
      </c>
      <c r="AB122" s="192" t="str">
        <f t="shared" si="21"/>
        <v>1381.90263844297-3439516.57416629i</v>
      </c>
      <c r="AC122" s="192" t="str">
        <f t="shared" si="22"/>
        <v>17098.0683781396-5880916.77611729i</v>
      </c>
      <c r="AD122" s="192" t="str">
        <f t="shared" si="23"/>
        <v>9999.9037910893-29.0735348422575i</v>
      </c>
      <c r="AE122" s="192" t="str">
        <f t="shared" si="24"/>
        <v>-290.616143024665+328.659618598241i</v>
      </c>
      <c r="AF122" s="296"/>
      <c r="AG122" s="296"/>
      <c r="AH122" s="296"/>
      <c r="AI122" s="296"/>
      <c r="AJ122" s="296"/>
      <c r="AK122" s="296"/>
      <c r="AL122" s="296"/>
      <c r="AM122" s="296"/>
      <c r="AN122" s="296"/>
      <c r="AO122" s="296"/>
      <c r="AP122" s="296"/>
      <c r="AQ122" s="296"/>
      <c r="AR122" s="296"/>
      <c r="AS122" s="296"/>
    </row>
    <row r="123" spans="1:45" s="192" customFormat="1" x14ac:dyDescent="0.2">
      <c r="A123" s="301">
        <f t="shared" si="0"/>
        <v>68.305000000000007</v>
      </c>
      <c r="B123" s="301">
        <f t="shared" si="25"/>
        <v>1.8600000000000008</v>
      </c>
      <c r="C123" s="303">
        <f t="shared" si="26"/>
        <v>72.443596007499139</v>
      </c>
      <c r="D123" s="302">
        <f t="shared" si="1"/>
        <v>68.304529039353639</v>
      </c>
      <c r="E123" s="301">
        <f t="shared" si="2"/>
        <v>129.84907023987276</v>
      </c>
      <c r="G123" s="303"/>
      <c r="H123" s="315" t="str">
        <f t="shared" si="3"/>
        <v>1E+47-2.1969497907782E+53i</v>
      </c>
      <c r="I123" s="301" t="str">
        <f t="shared" si="4"/>
        <v>0.002-2.03233098129343i</v>
      </c>
      <c r="J123" s="301" t="str">
        <f t="shared" si="5"/>
        <v>0.002-2.03233098129343i</v>
      </c>
      <c r="K123" s="301"/>
      <c r="L123" s="301" t="str">
        <f t="shared" si="6"/>
        <v>0.0257098498015807-0.000325292266726685i</v>
      </c>
      <c r="M123" s="301" t="str">
        <f t="shared" si="7"/>
        <v>0.003+0.000136552961410072i</v>
      </c>
      <c r="N123" s="301" t="str">
        <f t="shared" si="8"/>
        <v>0.895542027948108-0.00544301999383238i</v>
      </c>
      <c r="O123" s="316">
        <f t="shared" si="9"/>
        <v>-0.95812012688325576</v>
      </c>
      <c r="P123" s="316">
        <f t="shared" si="10"/>
        <v>-0.34823405674486557</v>
      </c>
      <c r="Q123" s="301">
        <f t="shared" si="11"/>
        <v>455.17653803357234</v>
      </c>
      <c r="R123" s="301">
        <f t="shared" si="27"/>
        <v>1.8600000000000008</v>
      </c>
      <c r="S123" s="308">
        <f t="shared" si="12"/>
        <v>15.69205812724147</v>
      </c>
      <c r="T123" s="301" t="str">
        <f t="shared" si="13"/>
        <v>1+0.00346511346198074i</v>
      </c>
      <c r="U123" s="303">
        <f t="shared" si="14"/>
        <v>52.612470912112165</v>
      </c>
      <c r="V123" s="301">
        <f t="shared" si="15"/>
        <v>130.19730429661763</v>
      </c>
      <c r="W123" s="301">
        <f t="shared" si="16"/>
        <v>59.999898702738307</v>
      </c>
      <c r="X123" s="303">
        <f t="shared" si="17"/>
        <v>-0.27712707342731435</v>
      </c>
      <c r="Y123" s="192" t="str">
        <f t="shared" si="18"/>
        <v>999.976640729194-4.83670461146183i</v>
      </c>
      <c r="Z123" s="192" t="str">
        <f t="shared" si="19"/>
        <v>-46257477.5263401i</v>
      </c>
      <c r="AA123" s="192" t="str">
        <f t="shared" si="20"/>
        <v>22150.1592153998-6392333.0241366i</v>
      </c>
      <c r="AB123" s="192" t="str">
        <f t="shared" si="21"/>
        <v>1381.90263844297-3284712.82782665i</v>
      </c>
      <c r="AC123" s="192" t="str">
        <f t="shared" si="22"/>
        <v>17098.068111861-5616232.55313183i</v>
      </c>
      <c r="AD123" s="192" t="str">
        <f t="shared" si="23"/>
        <v>9999.89450913859-30.443696163068i</v>
      </c>
      <c r="AE123" s="192" t="str">
        <f t="shared" si="24"/>
        <v>-275.719284618884+326.300852169286i</v>
      </c>
      <c r="AF123" s="296"/>
      <c r="AG123" s="296"/>
      <c r="AH123" s="296"/>
      <c r="AI123" s="296"/>
      <c r="AJ123" s="296"/>
      <c r="AK123" s="296"/>
      <c r="AL123" s="296"/>
      <c r="AM123" s="296"/>
      <c r="AN123" s="296"/>
      <c r="AO123" s="296"/>
      <c r="AP123" s="296"/>
      <c r="AQ123" s="296"/>
      <c r="AR123" s="296"/>
      <c r="AS123" s="296"/>
    </row>
    <row r="124" spans="1:45" s="192" customFormat="1" x14ac:dyDescent="0.2">
      <c r="A124" s="301">
        <f t="shared" si="0"/>
        <v>68.063999999999993</v>
      </c>
      <c r="B124" s="301">
        <f t="shared" si="25"/>
        <v>1.880000000000001</v>
      </c>
      <c r="C124" s="303">
        <f t="shared" si="26"/>
        <v>75.85775750291856</v>
      </c>
      <c r="D124" s="302">
        <f t="shared" si="1"/>
        <v>68.064380890529733</v>
      </c>
      <c r="E124" s="301">
        <f t="shared" si="2"/>
        <v>128.55676440085907</v>
      </c>
      <c r="G124" s="303"/>
      <c r="H124" s="315" t="str">
        <f t="shared" si="3"/>
        <v>1E+47-2.09807076205452E+53i</v>
      </c>
      <c r="I124" s="301" t="str">
        <f t="shared" si="4"/>
        <v>0.002-1.94086101947689i</v>
      </c>
      <c r="J124" s="301" t="str">
        <f t="shared" si="5"/>
        <v>0.002-1.94086101947689i</v>
      </c>
      <c r="K124" s="301"/>
      <c r="L124" s="301" t="str">
        <f t="shared" si="6"/>
        <v>0.02570942191997-0.000340616709066977i</v>
      </c>
      <c r="M124" s="301" t="str">
        <f t="shared" si="7"/>
        <v>0.003+0.000142988504213379i</v>
      </c>
      <c r="N124" s="301" t="str">
        <f t="shared" si="8"/>
        <v>0.895543922536532-0.00569959129600975i</v>
      </c>
      <c r="O124" s="316">
        <f t="shared" si="9"/>
        <v>-0.95808627127515089</v>
      </c>
      <c r="P124" s="316">
        <f t="shared" si="10"/>
        <v>-0.36464779550267701</v>
      </c>
      <c r="Q124" s="301">
        <f t="shared" si="11"/>
        <v>476.62834737792991</v>
      </c>
      <c r="R124" s="301">
        <f t="shared" si="27"/>
        <v>1.8800000000000008</v>
      </c>
      <c r="S124" s="308">
        <f t="shared" si="12"/>
        <v>15.692091982849576</v>
      </c>
      <c r="T124" s="301" t="str">
        <f t="shared" si="13"/>
        <v>1+0.00362841922827552i</v>
      </c>
      <c r="U124" s="303">
        <f t="shared" si="14"/>
        <v>52.372288907680158</v>
      </c>
      <c r="V124" s="301">
        <f t="shared" si="15"/>
        <v>128.92141219636176</v>
      </c>
      <c r="W124" s="301">
        <f t="shared" si="16"/>
        <v>59.99988892988619</v>
      </c>
      <c r="X124" s="303">
        <f t="shared" si="17"/>
        <v>-0.29018745268134999</v>
      </c>
      <c r="Y124" s="192" t="str">
        <f t="shared" si="18"/>
        <v>999.974387126519-5.06464008026805i</v>
      </c>
      <c r="Z124" s="192" t="str">
        <f t="shared" si="19"/>
        <v>-44175548.085708i</v>
      </c>
      <c r="AA124" s="192" t="str">
        <f t="shared" si="20"/>
        <v>22150.1592153998-6104630.64543042i</v>
      </c>
      <c r="AB124" s="192" t="str">
        <f t="shared" si="21"/>
        <v>1381.90263844297-3136876.39778396i</v>
      </c>
      <c r="AC124" s="192" t="str">
        <f t="shared" si="22"/>
        <v>17098.0678198924-5363461.11237295i</v>
      </c>
      <c r="AD124" s="192" t="str">
        <f t="shared" si="23"/>
        <v>9999.88433170456-31.8784264325388i</v>
      </c>
      <c r="AE124" s="192" t="str">
        <f t="shared" si="24"/>
        <v>-261.06557411071+323.294815653384i</v>
      </c>
      <c r="AF124" s="296"/>
      <c r="AG124" s="296"/>
      <c r="AH124" s="296"/>
      <c r="AI124" s="296"/>
      <c r="AJ124" s="296"/>
      <c r="AK124" s="296"/>
      <c r="AL124" s="296"/>
      <c r="AM124" s="296"/>
      <c r="AN124" s="296"/>
      <c r="AO124" s="296"/>
      <c r="AP124" s="296"/>
      <c r="AQ124" s="296"/>
      <c r="AR124" s="296"/>
      <c r="AS124" s="296"/>
    </row>
    <row r="125" spans="1:45" s="192" customFormat="1" x14ac:dyDescent="0.2">
      <c r="A125" s="301">
        <f t="shared" si="0"/>
        <v>67.814999999999998</v>
      </c>
      <c r="B125" s="301">
        <f t="shared" si="25"/>
        <v>1.900000000000001</v>
      </c>
      <c r="C125" s="303">
        <f t="shared" si="26"/>
        <v>79.432823472428325</v>
      </c>
      <c r="D125" s="302">
        <f t="shared" si="1"/>
        <v>67.815487210109666</v>
      </c>
      <c r="E125" s="301">
        <f t="shared" si="2"/>
        <v>127.27765126754187</v>
      </c>
      <c r="G125" s="303"/>
      <c r="H125" s="315" t="str">
        <f t="shared" si="3"/>
        <v>1E+47-2.00364202271041E+53i</v>
      </c>
      <c r="I125" s="301" t="str">
        <f t="shared" si="4"/>
        <v>0.002-1.85350788409844i</v>
      </c>
      <c r="J125" s="301" t="str">
        <f t="shared" si="5"/>
        <v>0.002-1.85350788409844i</v>
      </c>
      <c r="K125" s="301"/>
      <c r="L125" s="301" t="str">
        <f t="shared" si="6"/>
        <v>0.025708952774756-0.000356662465187003i</v>
      </c>
      <c r="M125" s="301" t="str">
        <f t="shared" si="7"/>
        <v>0.003+0.000149727344804925i</v>
      </c>
      <c r="N125" s="301" t="str">
        <f t="shared" si="8"/>
        <v>0.89554599986438-0.00596826179072759i</v>
      </c>
      <c r="O125" s="316">
        <f t="shared" si="9"/>
        <v>-0.95804914943381148</v>
      </c>
      <c r="P125" s="316">
        <f t="shared" si="10"/>
        <v>-0.38183538229898312</v>
      </c>
      <c r="Q125" s="301">
        <f t="shared" si="11"/>
        <v>499.09114934975139</v>
      </c>
      <c r="R125" s="301">
        <f t="shared" si="27"/>
        <v>1.9000000000000008</v>
      </c>
      <c r="S125" s="308">
        <f t="shared" si="12"/>
        <v>15.692129104690915</v>
      </c>
      <c r="T125" s="301" t="str">
        <f t="shared" si="13"/>
        <v>1+0.00379942135822411i</v>
      </c>
      <c r="U125" s="303">
        <f t="shared" si="14"/>
        <v>52.123358105418745</v>
      </c>
      <c r="V125" s="301">
        <f t="shared" si="15"/>
        <v>127.65948664984086</v>
      </c>
      <c r="W125" s="301">
        <f t="shared" si="16"/>
        <v>59.999878214192215</v>
      </c>
      <c r="X125" s="303">
        <f t="shared" si="17"/>
        <v>-0.30386331644729703</v>
      </c>
      <c r="Y125" s="192" t="str">
        <f t="shared" si="18"/>
        <v>999.971916111982-5.30331612834066i</v>
      </c>
      <c r="Z125" s="192" t="str">
        <f t="shared" si="19"/>
        <v>-42187320.9052846i</v>
      </c>
      <c r="AA125" s="192" t="str">
        <f t="shared" si="20"/>
        <v>22150.1592153998-5829877.00678532i</v>
      </c>
      <c r="AB125" s="192" t="str">
        <f t="shared" si="21"/>
        <v>1381.90263844297-2995693.70314931i</v>
      </c>
      <c r="AC125" s="192" t="str">
        <f t="shared" si="22"/>
        <v>17098.0674997551-5122066.29172517i</v>
      </c>
      <c r="AD125" s="192" t="str">
        <f t="shared" si="23"/>
        <v>9999.87317239716-33.3807679855409i</v>
      </c>
      <c r="AE125" s="192" t="str">
        <f t="shared" si="24"/>
        <v>-246.709547818283+319.671758900176i</v>
      </c>
      <c r="AF125" s="296"/>
      <c r="AG125" s="296"/>
      <c r="AH125" s="296"/>
      <c r="AI125" s="296"/>
      <c r="AJ125" s="296"/>
      <c r="AK125" s="296"/>
      <c r="AL125" s="296"/>
      <c r="AM125" s="296"/>
      <c r="AN125" s="296"/>
      <c r="AO125" s="296"/>
      <c r="AP125" s="296"/>
      <c r="AQ125" s="296"/>
      <c r="AR125" s="296"/>
      <c r="AS125" s="296"/>
    </row>
    <row r="126" spans="1:45" s="192" customFormat="1" x14ac:dyDescent="0.2">
      <c r="A126" s="301">
        <f t="shared" si="0"/>
        <v>67.558000000000007</v>
      </c>
      <c r="B126" s="301">
        <f t="shared" si="25"/>
        <v>1.9200000000000008</v>
      </c>
      <c r="C126" s="303">
        <f t="shared" si="26"/>
        <v>83.176377110267268</v>
      </c>
      <c r="D126" s="302">
        <f t="shared" si="1"/>
        <v>67.558043214036744</v>
      </c>
      <c r="E126" s="301">
        <f t="shared" si="2"/>
        <v>126.01411600446913</v>
      </c>
      <c r="G126" s="303"/>
      <c r="H126" s="315" t="str">
        <f t="shared" si="3"/>
        <v>1E+47-1.91346327672944E+53i</v>
      </c>
      <c r="I126" s="301" t="str">
        <f t="shared" si="4"/>
        <v>0.002-1.77008628744629i</v>
      </c>
      <c r="J126" s="301" t="str">
        <f t="shared" si="5"/>
        <v>0.002-1.77008628744629i</v>
      </c>
      <c r="K126" s="301"/>
      <c r="L126" s="301" t="str">
        <f t="shared" si="6"/>
        <v>0.025708438388468-0.000373463395556415i</v>
      </c>
      <c r="M126" s="301" t="str">
        <f t="shared" si="7"/>
        <v>0.003+0.000156783777169098i</v>
      </c>
      <c r="N126" s="301" t="str">
        <f t="shared" si="8"/>
        <v>0.895548277552504-0.00624960278581331i</v>
      </c>
      <c r="O126" s="316">
        <f t="shared" si="9"/>
        <v>-0.95800844625811277</v>
      </c>
      <c r="P126" s="316">
        <f t="shared" si="10"/>
        <v>-0.39983333078646233</v>
      </c>
      <c r="Q126" s="301">
        <f t="shared" si="11"/>
        <v>522.61259056365975</v>
      </c>
      <c r="R126" s="301">
        <f t="shared" si="27"/>
        <v>1.9200000000000008</v>
      </c>
      <c r="S126" s="308">
        <f t="shared" si="12"/>
        <v>15.692169807866614</v>
      </c>
      <c r="T126" s="301" t="str">
        <f t="shared" si="13"/>
        <v>1+0.00397848257027079i</v>
      </c>
      <c r="U126" s="303">
        <f t="shared" si="14"/>
        <v>51.865873406170131</v>
      </c>
      <c r="V126" s="301">
        <f t="shared" si="15"/>
        <v>126.41394933525559</v>
      </c>
      <c r="W126" s="301">
        <f t="shared" si="16"/>
        <v>59.999866464697803</v>
      </c>
      <c r="X126" s="303">
        <f t="shared" si="17"/>
        <v>-0.31818366684628635</v>
      </c>
      <c r="Y126" s="192" t="str">
        <f t="shared" si="18"/>
        <v>999.969206712434-5.553238693455i</v>
      </c>
      <c r="Z126" s="192" t="str">
        <f t="shared" si="19"/>
        <v>-40288578.6886539i</v>
      </c>
      <c r="AA126" s="192" t="str">
        <f t="shared" si="20"/>
        <v>22150.1592153998-5567489.31889681i</v>
      </c>
      <c r="AB126" s="192" t="str">
        <f t="shared" si="21"/>
        <v>1381.90263844297-2860865.27649869i</v>
      </c>
      <c r="AC126" s="192" t="str">
        <f t="shared" si="22"/>
        <v>17098.0671487317-4891536.06040948i</v>
      </c>
      <c r="AD126" s="192" t="str">
        <f t="shared" si="23"/>
        <v>9999.86093649249-34.9539064331899i</v>
      </c>
      <c r="AE126" s="192" t="str">
        <f t="shared" si="24"/>
        <v>-232.701087245694+315.467247978419i</v>
      </c>
      <c r="AF126" s="296"/>
      <c r="AG126" s="296"/>
      <c r="AH126" s="296"/>
      <c r="AI126" s="296"/>
      <c r="AJ126" s="296"/>
      <c r="AK126" s="296"/>
      <c r="AL126" s="296"/>
      <c r="AM126" s="296"/>
      <c r="AN126" s="296"/>
      <c r="AO126" s="296"/>
      <c r="AP126" s="296"/>
      <c r="AQ126" s="296"/>
      <c r="AR126" s="296"/>
      <c r="AS126" s="296"/>
    </row>
    <row r="127" spans="1:45" s="192" customFormat="1" x14ac:dyDescent="0.2">
      <c r="A127" s="301">
        <f t="shared" si="0"/>
        <v>67.292000000000002</v>
      </c>
      <c r="B127" s="301">
        <f t="shared" si="25"/>
        <v>1.9400000000000013</v>
      </c>
      <c r="C127" s="303">
        <f t="shared" si="26"/>
        <v>87.096358995608313</v>
      </c>
      <c r="D127" s="302">
        <f t="shared" si="1"/>
        <v>67.29227268157517</v>
      </c>
      <c r="E127" s="301">
        <f t="shared" si="2"/>
        <v>124.76839304982838</v>
      </c>
      <c r="G127" s="303"/>
      <c r="H127" s="315" t="str">
        <f t="shared" si="3"/>
        <v>1E+47-1.82734324290089E+53i</v>
      </c>
      <c r="I127" s="301" t="str">
        <f t="shared" si="4"/>
        <v>0.002-1.69041928112941i</v>
      </c>
      <c r="J127" s="301" t="str">
        <f t="shared" si="5"/>
        <v>0.002-1.69041928112941i</v>
      </c>
      <c r="K127" s="301"/>
      <c r="L127" s="301" t="str">
        <f t="shared" si="6"/>
        <v>0.0257078744006169-0.000391054936604507i</v>
      </c>
      <c r="M127" s="301" t="str">
        <f t="shared" si="7"/>
        <v>0.003+0.000164172768945013i</v>
      </c>
      <c r="N127" s="301" t="str">
        <f t="shared" si="8"/>
        <v>0.895550774919856-0.0065442126755826i</v>
      </c>
      <c r="O127" s="316">
        <f t="shared" si="9"/>
        <v>-0.9579638162504418</v>
      </c>
      <c r="P127" s="316">
        <f t="shared" si="10"/>
        <v>-0.41867988187191263</v>
      </c>
      <c r="Q127" s="301">
        <f t="shared" si="11"/>
        <v>547.2425631500447</v>
      </c>
      <c r="R127" s="301">
        <f t="shared" si="27"/>
        <v>1.9400000000000008</v>
      </c>
      <c r="S127" s="308">
        <f t="shared" si="12"/>
        <v>15.692214437874286</v>
      </c>
      <c r="T127" s="301" t="str">
        <f t="shared" si="13"/>
        <v>1+0.00416598267725347i</v>
      </c>
      <c r="U127" s="303">
        <f t="shared" si="14"/>
        <v>51.600058243700879</v>
      </c>
      <c r="V127" s="301">
        <f t="shared" si="15"/>
        <v>125.18707293170029</v>
      </c>
      <c r="W127" s="301">
        <f t="shared" si="16"/>
        <v>59.999853581669889</v>
      </c>
      <c r="X127" s="303">
        <f t="shared" si="17"/>
        <v>-0.33317887212062114</v>
      </c>
      <c r="Y127" s="192" t="str">
        <f t="shared" si="18"/>
        <v>999.966235931754-5.81493752044551i</v>
      </c>
      <c r="Z127" s="192" t="str">
        <f t="shared" si="19"/>
        <v>-38475293.9490057i</v>
      </c>
      <c r="AA127" s="192" t="str">
        <f t="shared" si="20"/>
        <v>22150.1592153998-5316911.02229999i</v>
      </c>
      <c r="AB127" s="192" t="str">
        <f t="shared" si="21"/>
        <v>1381.90263844297-2732105.12866241i</v>
      </c>
      <c r="AC127" s="192" t="str">
        <f t="shared" si="22"/>
        <v>17098.0667638421-4671381.43289757i</v>
      </c>
      <c r="AD127" s="192" t="str">
        <f t="shared" si="23"/>
        <v>9999.84752012899-36.6011773997553i</v>
      </c>
      <c r="AE127" s="192" t="str">
        <f t="shared" si="24"/>
        <v>-219.084824510716+310.721346629983i</v>
      </c>
      <c r="AF127" s="296"/>
      <c r="AG127" s="296"/>
      <c r="AH127" s="296"/>
      <c r="AI127" s="296"/>
      <c r="AJ127" s="296"/>
      <c r="AK127" s="296"/>
      <c r="AL127" s="296"/>
      <c r="AM127" s="296"/>
      <c r="AN127" s="296"/>
      <c r="AO127" s="296"/>
      <c r="AP127" s="296"/>
      <c r="AQ127" s="296"/>
      <c r="AR127" s="296"/>
      <c r="AS127" s="296"/>
    </row>
    <row r="128" spans="1:45" s="192" customFormat="1" x14ac:dyDescent="0.2">
      <c r="A128" s="301">
        <f t="shared" si="0"/>
        <v>67.018000000000001</v>
      </c>
      <c r="B128" s="301">
        <f t="shared" si="25"/>
        <v>1.9600000000000011</v>
      </c>
      <c r="C128" s="303">
        <f t="shared" si="26"/>
        <v>91.201083935591214</v>
      </c>
      <c r="D128" s="302">
        <f t="shared" si="1"/>
        <v>67.018424654355712</v>
      </c>
      <c r="E128" s="301">
        <f t="shared" si="2"/>
        <v>123.54254995903923</v>
      </c>
      <c r="G128" s="303"/>
      <c r="H128" s="315" t="str">
        <f t="shared" si="3"/>
        <v>1E+47-1.74509924908672E+53i</v>
      </c>
      <c r="I128" s="301" t="str">
        <f t="shared" si="4"/>
        <v>0.002-1.61433788074627i</v>
      </c>
      <c r="J128" s="301" t="str">
        <f t="shared" si="5"/>
        <v>0.002-1.61433788074627i</v>
      </c>
      <c r="K128" s="301"/>
      <c r="L128" s="301" t="str">
        <f t="shared" si="6"/>
        <v>0.025707256030889-0.000409474172058826i</v>
      </c>
      <c r="M128" s="301" t="str">
        <f t="shared" si="7"/>
        <v>0.003+0.000171909993174888i</v>
      </c>
      <c r="N128" s="301" t="str">
        <f t="shared" si="8"/>
        <v>0.895553513146933-0.00685271824133157i</v>
      </c>
      <c r="O128" s="316">
        <f t="shared" si="9"/>
        <v>-0.95791488058484264</v>
      </c>
      <c r="P128" s="316">
        <f t="shared" si="10"/>
        <v>-0.4384150860704194</v>
      </c>
      <c r="Q128" s="301">
        <f t="shared" si="11"/>
        <v>573.03331058295896</v>
      </c>
      <c r="R128" s="301">
        <f t="shared" si="27"/>
        <v>1.9600000000000009</v>
      </c>
      <c r="S128" s="308">
        <f t="shared" si="12"/>
        <v>15.692263373539884</v>
      </c>
      <c r="T128" s="301" t="str">
        <f t="shared" si="13"/>
        <v>1+0.00436231939203762i</v>
      </c>
      <c r="U128" s="303">
        <f t="shared" si="14"/>
        <v>51.326161280815832</v>
      </c>
      <c r="V128" s="301">
        <f t="shared" si="15"/>
        <v>123.98096504510966</v>
      </c>
      <c r="W128" s="301">
        <f t="shared" si="16"/>
        <v>59.999839455754618</v>
      </c>
      <c r="X128" s="303">
        <f t="shared" si="17"/>
        <v>-0.3488807309124044</v>
      </c>
      <c r="Y128" s="192" t="str">
        <f t="shared" si="18"/>
        <v>999.962978555772-6.08896727770939i</v>
      </c>
      <c r="Z128" s="192" t="str">
        <f t="shared" si="19"/>
        <v>-36743620.4662959i</v>
      </c>
      <c r="AA128" s="192" t="str">
        <f t="shared" si="20"/>
        <v>22150.1592153998-5077610.60683215i</v>
      </c>
      <c r="AB128" s="192" t="str">
        <f t="shared" si="21"/>
        <v>1381.90263844297-2609140.14210375i</v>
      </c>
      <c r="AC128" s="192" t="str">
        <f t="shared" si="22"/>
        <v>17098.0663418191-4461135.43170781i</v>
      </c>
      <c r="AD128" s="192" t="str">
        <f t="shared" si="23"/>
        <v>9999.83280942602-38.3260735747742i</v>
      </c>
      <c r="AE128" s="192" t="str">
        <f t="shared" si="24"/>
        <v>-205.899708189745+305.477735441435i</v>
      </c>
      <c r="AF128" s="296"/>
      <c r="AG128" s="296"/>
      <c r="AH128" s="296"/>
      <c r="AI128" s="296"/>
      <c r="AJ128" s="296"/>
      <c r="AK128" s="296"/>
      <c r="AL128" s="296"/>
      <c r="AM128" s="296"/>
      <c r="AN128" s="296"/>
      <c r="AO128" s="296"/>
      <c r="AP128" s="296"/>
      <c r="AQ128" s="296"/>
      <c r="AR128" s="296"/>
      <c r="AS128" s="296"/>
    </row>
    <row r="129" spans="1:45" s="192" customFormat="1" x14ac:dyDescent="0.2">
      <c r="A129" s="301">
        <f t="shared" si="0"/>
        <v>66.736999999999995</v>
      </c>
      <c r="B129" s="301">
        <f t="shared" si="25"/>
        <v>1.9800000000000011</v>
      </c>
      <c r="C129" s="303">
        <f t="shared" si="26"/>
        <v>95.499258602143826</v>
      </c>
      <c r="D129" s="302">
        <f t="shared" si="1"/>
        <v>66.736769923280818</v>
      </c>
      <c r="E129" s="301">
        <f t="shared" si="2"/>
        <v>122.33847481973223</v>
      </c>
      <c r="G129" s="303"/>
      <c r="H129" s="315" t="str">
        <f t="shared" si="3"/>
        <v>1E+47-1.66655684474939E+53i</v>
      </c>
      <c r="I129" s="301" t="str">
        <f t="shared" si="4"/>
        <v>0.002-1.54168070744625i</v>
      </c>
      <c r="J129" s="301" t="str">
        <f t="shared" si="5"/>
        <v>0.002-1.54168070744625i</v>
      </c>
      <c r="K129" s="301"/>
      <c r="L129" s="301" t="str">
        <f t="shared" si="6"/>
        <v>0.0257065780388157-0.000428759907212367i</v>
      </c>
      <c r="M129" s="301" t="str">
        <f t="shared" si="7"/>
        <v>0.003+0.00018001186154866i</v>
      </c>
      <c r="N129" s="301" t="str">
        <f t="shared" si="8"/>
        <v>0.895556515454901-0.00717577601666866i</v>
      </c>
      <c r="O129" s="316">
        <f t="shared" si="9"/>
        <v>-0.95786122389253869</v>
      </c>
      <c r="P129" s="316">
        <f t="shared" si="10"/>
        <v>-0.45908088988175577</v>
      </c>
      <c r="Q129" s="301">
        <f t="shared" si="11"/>
        <v>600.03953849553375</v>
      </c>
      <c r="R129" s="301">
        <f t="shared" si="27"/>
        <v>1.9800000000000009</v>
      </c>
      <c r="S129" s="308">
        <f t="shared" si="12"/>
        <v>15.692317030232187</v>
      </c>
      <c r="T129" s="301" t="str">
        <f t="shared" si="13"/>
        <v>1+0.00456790917111863i</v>
      </c>
      <c r="U129" s="303">
        <f t="shared" si="14"/>
        <v>51.044452893048636</v>
      </c>
      <c r="V129" s="301">
        <f t="shared" si="15"/>
        <v>122.79755570961399</v>
      </c>
      <c r="W129" s="301">
        <f t="shared" si="16"/>
        <v>59.999823967049331</v>
      </c>
      <c r="X129" s="303">
        <f t="shared" si="17"/>
        <v>-0.36532253955600641</v>
      </c>
      <c r="Y129" s="192" t="str">
        <f t="shared" si="18"/>
        <v>999.959406938386-6.37590872551636i</v>
      </c>
      <c r="Z129" s="192" t="str">
        <f t="shared" si="19"/>
        <v>-35089885.128898i</v>
      </c>
      <c r="AA129" s="192" t="str">
        <f t="shared" si="20"/>
        <v>22150.1592153998-4849080.4842285i</v>
      </c>
      <c r="AB129" s="192" t="str">
        <f t="shared" si="21"/>
        <v>1381.90263844297-2491709.4916i</v>
      </c>
      <c r="AC129" s="192" t="str">
        <f t="shared" si="22"/>
        <v>17098.06587908-4260352.09688347i</v>
      </c>
      <c r="AD129" s="192" t="str">
        <f t="shared" si="23"/>
        <v>9999.8166795176-40.1322520948886i</v>
      </c>
      <c r="AE129" s="192" t="str">
        <f t="shared" si="24"/>
        <v>-193.178732554635+299.782802508351i</v>
      </c>
      <c r="AF129" s="296"/>
      <c r="AG129" s="296"/>
      <c r="AH129" s="296"/>
      <c r="AI129" s="296"/>
      <c r="AJ129" s="296"/>
      <c r="AK129" s="296"/>
      <c r="AL129" s="296"/>
      <c r="AM129" s="296"/>
      <c r="AN129" s="296"/>
      <c r="AO129" s="296"/>
      <c r="AP129" s="296"/>
      <c r="AQ129" s="296"/>
      <c r="AR129" s="296"/>
      <c r="AS129" s="296"/>
    </row>
    <row r="130" spans="1:45" s="192" customFormat="1" x14ac:dyDescent="0.2">
      <c r="A130" s="301">
        <f t="shared" si="0"/>
        <v>66.447999999999993</v>
      </c>
      <c r="B130" s="301">
        <f t="shared" si="25"/>
        <v>2.0000000000000009</v>
      </c>
      <c r="C130" s="303">
        <f t="shared" si="26"/>
        <v>100.00000000000023</v>
      </c>
      <c r="D130" s="302">
        <f t="shared" si="1"/>
        <v>66.447597400877214</v>
      </c>
      <c r="E130" s="301">
        <f t="shared" si="2"/>
        <v>121.15786728678381</v>
      </c>
      <c r="G130" s="303"/>
      <c r="H130" s="315" t="str">
        <f t="shared" si="3"/>
        <v>1E+47-1.59154943091895E+53i</v>
      </c>
      <c r="I130" s="301" t="str">
        <f t="shared" si="4"/>
        <v>0.002-1.47229364562345i</v>
      </c>
      <c r="J130" s="301" t="str">
        <f t="shared" si="5"/>
        <v>0.002-1.47229364562345i</v>
      </c>
      <c r="K130" s="301"/>
      <c r="L130" s="301" t="str">
        <f t="shared" si="6"/>
        <v>0.0257058346795908-0.000448952746193442i</v>
      </c>
      <c r="M130" s="301" t="str">
        <f t="shared" si="7"/>
        <v>0.003+0.000188495559215388i</v>
      </c>
      <c r="N130" s="301" t="str">
        <f t="shared" si="8"/>
        <v>0.895559807301916-0.007514073721268i</v>
      </c>
      <c r="O130" s="316">
        <f t="shared" si="9"/>
        <v>-0.95780239073746165</v>
      </c>
      <c r="P130" s="316">
        <f t="shared" si="10"/>
        <v>-0.48072122639944592</v>
      </c>
      <c r="Q130" s="301">
        <f t="shared" si="11"/>
        <v>628.31853071796002</v>
      </c>
      <c r="R130" s="301">
        <f t="shared" si="27"/>
        <v>2.0000000000000009</v>
      </c>
      <c r="S130" s="308">
        <f t="shared" si="12"/>
        <v>15.692375863387264</v>
      </c>
      <c r="T130" s="301" t="str">
        <f t="shared" si="13"/>
        <v>1+0.00478318809798184i</v>
      </c>
      <c r="U130" s="303">
        <f t="shared" si="14"/>
        <v>50.755221537489945</v>
      </c>
      <c r="V130" s="301">
        <f t="shared" si="15"/>
        <v>121.63858851318327</v>
      </c>
      <c r="W130" s="301">
        <f t="shared" si="16"/>
        <v>59.999806984085176</v>
      </c>
      <c r="X130" s="303">
        <f t="shared" si="17"/>
        <v>-0.38253916252413833</v>
      </c>
      <c r="Y130" s="192" t="str">
        <f t="shared" si="18"/>
        <v>999.955490767077-6.6763699384462i</v>
      </c>
      <c r="Z130" s="192" t="str">
        <f t="shared" si="19"/>
        <v>-33510580.1424415i</v>
      </c>
      <c r="AA130" s="192" t="str">
        <f t="shared" si="20"/>
        <v>22150.1592153998-4630835.91145946i</v>
      </c>
      <c r="AB130" s="192" t="str">
        <f t="shared" si="21"/>
        <v>1381.90263844297-2379564.09099724i</v>
      </c>
      <c r="AC130" s="192" t="str">
        <f t="shared" si="22"/>
        <v>17098.0653716968-4068605.54005196i</v>
      </c>
      <c r="AD130" s="192" t="str">
        <f t="shared" si="23"/>
        <v>9999.79899349278-42.02354227055i</v>
      </c>
      <c r="AE130" s="192" t="str">
        <f t="shared" si="24"/>
        <v>-180.948825788383+293.684737697467i</v>
      </c>
      <c r="AF130" s="296"/>
      <c r="AG130" s="296"/>
      <c r="AH130" s="296"/>
      <c r="AI130" s="296"/>
      <c r="AJ130" s="296"/>
      <c r="AK130" s="296"/>
      <c r="AL130" s="296"/>
      <c r="AM130" s="296"/>
      <c r="AN130" s="296"/>
      <c r="AO130" s="296"/>
      <c r="AP130" s="296"/>
      <c r="AQ130" s="296"/>
      <c r="AR130" s="296"/>
      <c r="AS130" s="296"/>
    </row>
    <row r="131" spans="1:45" s="192" customFormat="1" x14ac:dyDescent="0.2">
      <c r="A131" s="301">
        <f t="shared" si="0"/>
        <v>66.150999999999996</v>
      </c>
      <c r="B131" s="301">
        <f t="shared" si="25"/>
        <v>2.0200000000000014</v>
      </c>
      <c r="C131" s="303">
        <f t="shared" si="26"/>
        <v>104.71285480509026</v>
      </c>
      <c r="D131" s="302">
        <f t="shared" si="1"/>
        <v>66.151210472038031</v>
      </c>
      <c r="E131" s="301">
        <f t="shared" si="2"/>
        <v>120.00223316439234</v>
      </c>
      <c r="G131" s="303"/>
      <c r="H131" s="315" t="str">
        <f t="shared" si="3"/>
        <v>1E+47-1.51991790681423E+53i</v>
      </c>
      <c r="I131" s="301" t="str">
        <f t="shared" si="4"/>
        <v>0.002-1.40602951601687i</v>
      </c>
      <c r="J131" s="301" t="str">
        <f t="shared" si="5"/>
        <v>0.002-1.40602951601687i</v>
      </c>
      <c r="K131" s="301"/>
      <c r="L131" s="301" t="str">
        <f t="shared" si="6"/>
        <v>0.0257050196556648-0.000470095172306413i</v>
      </c>
      <c r="M131" s="301" t="str">
        <f t="shared" si="7"/>
        <v>0.003+0.000197379081235252i</v>
      </c>
      <c r="N131" s="301" t="str">
        <f t="shared" si="8"/>
        <v>0.895563416598265-0.00786833176687367i</v>
      </c>
      <c r="O131" s="316">
        <f t="shared" si="9"/>
        <v>-0.95773788175200381</v>
      </c>
      <c r="P131" s="316">
        <f t="shared" si="10"/>
        <v>-0.50338211037601133</v>
      </c>
      <c r="Q131" s="301">
        <f t="shared" si="11"/>
        <v>657.93027078417242</v>
      </c>
      <c r="R131" s="301">
        <f t="shared" si="27"/>
        <v>2.0200000000000009</v>
      </c>
      <c r="S131" s="308">
        <f t="shared" si="12"/>
        <v>15.692440372372722</v>
      </c>
      <c r="T131" s="301" t="str">
        <f t="shared" si="13"/>
        <v>1+0.00500861280809408i</v>
      </c>
      <c r="U131" s="303">
        <f t="shared" si="14"/>
        <v>50.458770099665308</v>
      </c>
      <c r="V131" s="301">
        <f t="shared" si="15"/>
        <v>120.50561527476835</v>
      </c>
      <c r="W131" s="301">
        <f t="shared" si="16"/>
        <v>59.999788362711598</v>
      </c>
      <c r="X131" s="303">
        <f t="shared" si="17"/>
        <v>-0.40056710617349411</v>
      </c>
      <c r="Y131" s="192" t="str">
        <f t="shared" si="18"/>
        <v>999.951196805827-6.99098758436635i</v>
      </c>
      <c r="Z131" s="192" t="str">
        <f t="shared" si="19"/>
        <v>-32002355.5893087i</v>
      </c>
      <c r="AA131" s="192" t="str">
        <f t="shared" si="20"/>
        <v>22150.1592153998-4422413.9625256i</v>
      </c>
      <c r="AB131" s="192" t="str">
        <f t="shared" si="21"/>
        <v>1381.90263844297-2272466.0648652i</v>
      </c>
      <c r="AC131" s="192" t="str">
        <f t="shared" si="22"/>
        <v>17098.0648153622-3885489.04105829i</v>
      </c>
      <c r="AD131" s="192" t="str">
        <f t="shared" si="23"/>
        <v>9999.77960123403-44.0039536734011i</v>
      </c>
      <c r="AE131" s="192" t="str">
        <f t="shared" si="24"/>
        <v>-169.230886378554+287.23265934198i</v>
      </c>
      <c r="AF131" s="296"/>
      <c r="AG131" s="296"/>
      <c r="AH131" s="296"/>
      <c r="AI131" s="296"/>
      <c r="AJ131" s="296"/>
      <c r="AK131" s="296"/>
      <c r="AL131" s="296"/>
      <c r="AM131" s="296"/>
      <c r="AN131" s="296"/>
      <c r="AO131" s="296"/>
      <c r="AP131" s="296"/>
      <c r="AQ131" s="296"/>
      <c r="AR131" s="296"/>
      <c r="AS131" s="296"/>
    </row>
    <row r="132" spans="1:45" s="192" customFormat="1" x14ac:dyDescent="0.2">
      <c r="A132" s="301">
        <f t="shared" si="0"/>
        <v>65.847999999999999</v>
      </c>
      <c r="B132" s="301">
        <f t="shared" si="25"/>
        <v>2.0400000000000014</v>
      </c>
      <c r="C132" s="303">
        <f t="shared" si="26"/>
        <v>109.64781961431881</v>
      </c>
      <c r="D132" s="302">
        <f t="shared" si="1"/>
        <v>65.847923407989384</v>
      </c>
      <c r="E132" s="301">
        <f t="shared" si="2"/>
        <v>118.87288235602449</v>
      </c>
      <c r="G132" s="303"/>
      <c r="H132" s="315" t="str">
        <f t="shared" si="3"/>
        <v>1E+47-1.45151033236881E+53i</v>
      </c>
      <c r="I132" s="301" t="str">
        <f t="shared" si="4"/>
        <v>0.002-1.34274776352341i</v>
      </c>
      <c r="J132" s="301" t="str">
        <f t="shared" si="5"/>
        <v>0.002-1.34274776352341i</v>
      </c>
      <c r="K132" s="301"/>
      <c r="L132" s="301" t="str">
        <f t="shared" si="6"/>
        <v>0.0257041260637216-0.000492231631503964i</v>
      </c>
      <c r="M132" s="301" t="str">
        <f t="shared" si="7"/>
        <v>0.003+0.00020668127074949i</v>
      </c>
      <c r="N132" s="301" t="str">
        <f t="shared" si="8"/>
        <v>0.895567373942127-0.00823930483965375i</v>
      </c>
      <c r="O132" s="316">
        <f t="shared" si="9"/>
        <v>-0.95766714940024045</v>
      </c>
      <c r="P132" s="316">
        <f t="shared" si="10"/>
        <v>-0.52711173798196398</v>
      </c>
      <c r="Q132" s="301">
        <f t="shared" si="11"/>
        <v>688.93756916496557</v>
      </c>
      <c r="R132" s="301">
        <f t="shared" si="27"/>
        <v>2.0400000000000009</v>
      </c>
      <c r="S132" s="308">
        <f t="shared" si="12"/>
        <v>15.692511104724485</v>
      </c>
      <c r="T132" s="301" t="str">
        <f t="shared" si="13"/>
        <v>1+0.00524466145748869i</v>
      </c>
      <c r="U132" s="303">
        <f t="shared" si="14"/>
        <v>50.155412303264896</v>
      </c>
      <c r="V132" s="301">
        <f t="shared" si="15"/>
        <v>119.39999409400646</v>
      </c>
      <c r="W132" s="301">
        <f t="shared" si="16"/>
        <v>59.999767944873277</v>
      </c>
      <c r="X132" s="303">
        <f t="shared" si="17"/>
        <v>-0.41944459594246269</v>
      </c>
      <c r="Y132" s="192" t="str">
        <f t="shared" si="18"/>
        <v>999.946488613265-7.32042826245603i</v>
      </c>
      <c r="Z132" s="192" t="str">
        <f t="shared" si="19"/>
        <v>-30562012.3230115i</v>
      </c>
      <c r="AA132" s="192" t="str">
        <f t="shared" si="20"/>
        <v>22150.1592153998-4223372.54652963i</v>
      </c>
      <c r="AB132" s="192" t="str">
        <f t="shared" si="21"/>
        <v>1381.90263844297-2170188.24393157i</v>
      </c>
      <c r="AC132" s="192" t="str">
        <f t="shared" si="22"/>
        <v>17098.0642053535-3710614.18525723i</v>
      </c>
      <c r="AD132" s="192" t="str">
        <f t="shared" si="23"/>
        <v>9999.75833814353-46.0776846008164i</v>
      </c>
      <c r="AE132" s="192" t="str">
        <f t="shared" si="24"/>
        <v>-158.039951812295+280.475797747755i</v>
      </c>
      <c r="AF132" s="296"/>
      <c r="AG132" s="296"/>
      <c r="AH132" s="296"/>
      <c r="AI132" s="296"/>
      <c r="AJ132" s="296"/>
      <c r="AK132" s="296"/>
      <c r="AL132" s="296"/>
      <c r="AM132" s="296"/>
      <c r="AN132" s="296"/>
      <c r="AO132" s="296"/>
      <c r="AP132" s="296"/>
      <c r="AQ132" s="296"/>
      <c r="AR132" s="296"/>
      <c r="AS132" s="296"/>
    </row>
    <row r="133" spans="1:45" s="192" customFormat="1" x14ac:dyDescent="0.2">
      <c r="A133" s="301">
        <f t="shared" si="0"/>
        <v>65.537999999999997</v>
      </c>
      <c r="B133" s="301">
        <f t="shared" si="25"/>
        <v>2.0600000000000009</v>
      </c>
      <c r="C133" s="303">
        <f t="shared" si="26"/>
        <v>114.81536214968857</v>
      </c>
      <c r="D133" s="302">
        <f t="shared" si="1"/>
        <v>65.538057917580346</v>
      </c>
      <c r="E133" s="301">
        <f t="shared" si="2"/>
        <v>117.77092991623404</v>
      </c>
      <c r="G133" s="303"/>
      <c r="H133" s="315" t="str">
        <f t="shared" si="3"/>
        <v>1E+47-1.38618160594573E+53i</v>
      </c>
      <c r="I133" s="301" t="str">
        <f t="shared" si="4"/>
        <v>0.002-1.28231415906173i</v>
      </c>
      <c r="J133" s="301" t="str">
        <f t="shared" si="5"/>
        <v>0.002-1.28231415906173i</v>
      </c>
      <c r="K133" s="301"/>
      <c r="L133" s="301" t="str">
        <f t="shared" si="6"/>
        <v>0.0257031463366014-0.000515408619042066i</v>
      </c>
      <c r="M133" s="301" t="str">
        <f t="shared" si="7"/>
        <v>0.003+0.000216421858949228i</v>
      </c>
      <c r="N133" s="301" t="str">
        <f t="shared" si="8"/>
        <v>0.895571712877922-0.00862778356329925i</v>
      </c>
      <c r="O133" s="316">
        <f t="shared" si="9"/>
        <v>-0.95758959333265781</v>
      </c>
      <c r="P133" s="316">
        <f t="shared" si="10"/>
        <v>-0.55196059151138976</v>
      </c>
      <c r="Q133" s="301">
        <f t="shared" si="11"/>
        <v>721.40619649742644</v>
      </c>
      <c r="R133" s="301">
        <f t="shared" si="27"/>
        <v>2.0600000000000009</v>
      </c>
      <c r="S133" s="308">
        <f t="shared" si="12"/>
        <v>15.692588660792069</v>
      </c>
      <c r="T133" s="301" t="str">
        <f t="shared" si="13"/>
        <v>1+0.00549183473699864i</v>
      </c>
      <c r="U133" s="303">
        <f t="shared" si="14"/>
        <v>49.845469256788284</v>
      </c>
      <c r="V133" s="301">
        <f t="shared" si="15"/>
        <v>118.32289050774543</v>
      </c>
      <c r="W133" s="301">
        <f t="shared" si="16"/>
        <v>59.999745557269073</v>
      </c>
      <c r="X133" s="303">
        <f t="shared" si="17"/>
        <v>-0.43921165716011012</v>
      </c>
      <c r="Y133" s="192" t="str">
        <f t="shared" si="18"/>
        <v>999.94132623366-7.66538990287729i</v>
      </c>
      <c r="Z133" s="192" t="str">
        <f t="shared" si="19"/>
        <v>-29186495.1823718i</v>
      </c>
      <c r="AA133" s="192" t="str">
        <f t="shared" si="20"/>
        <v>22150.1592153998-4033289.46994226i</v>
      </c>
      <c r="AB133" s="192" t="str">
        <f t="shared" si="21"/>
        <v>1381.90263844297-2072513.68322553i</v>
      </c>
      <c r="AC133" s="192" t="str">
        <f t="shared" si="22"/>
        <v>17098.0635364923-3543610.03963373i</v>
      </c>
      <c r="AD133" s="192" t="str">
        <f t="shared" si="23"/>
        <v>9999.7350237467-48.2491309347858i</v>
      </c>
      <c r="AE133" s="192" t="str">
        <f t="shared" si="24"/>
        <v>-147.385480098064+273.462754694211i</v>
      </c>
      <c r="AF133" s="296"/>
      <c r="AG133" s="296"/>
      <c r="AH133" s="296"/>
      <c r="AI133" s="296"/>
      <c r="AJ133" s="296"/>
      <c r="AK133" s="296"/>
      <c r="AL133" s="296"/>
      <c r="AM133" s="296"/>
      <c r="AN133" s="296"/>
      <c r="AO133" s="296"/>
      <c r="AP133" s="296"/>
      <c r="AQ133" s="296"/>
      <c r="AR133" s="296"/>
      <c r="AS133" s="296"/>
    </row>
    <row r="134" spans="1:45" s="192" customFormat="1" x14ac:dyDescent="0.2">
      <c r="A134" s="301">
        <f t="shared" si="0"/>
        <v>65.221999999999994</v>
      </c>
      <c r="B134" s="301">
        <f t="shared" si="25"/>
        <v>2.080000000000001</v>
      </c>
      <c r="C134" s="303">
        <f t="shared" si="26"/>
        <v>120.22644346174157</v>
      </c>
      <c r="D134" s="302">
        <f t="shared" si="1"/>
        <v>65.221939897551934</v>
      </c>
      <c r="E134" s="301">
        <f t="shared" si="2"/>
        <v>116.69729987292429</v>
      </c>
      <c r="G134" s="303"/>
      <c r="H134" s="315" t="str">
        <f t="shared" si="3"/>
        <v>1E+47-1.32379315655746E+53i</v>
      </c>
      <c r="I134" s="301" t="str">
        <f t="shared" si="4"/>
        <v>0.002-1.22460051485426i</v>
      </c>
      <c r="J134" s="301" t="str">
        <f t="shared" si="5"/>
        <v>0.002-1.22460051485426i</v>
      </c>
      <c r="K134" s="301"/>
      <c r="L134" s="301" t="str">
        <f t="shared" si="6"/>
        <v>0.0257020721796927-0.000539674769357155i</v>
      </c>
      <c r="M134" s="301" t="str">
        <f t="shared" si="7"/>
        <v>0.003+0.000226621506927982i</v>
      </c>
      <c r="N134" s="301" t="str">
        <f t="shared" si="8"/>
        <v>0.895576470179372-0.00903459624758967i</v>
      </c>
      <c r="O134" s="316">
        <f t="shared" si="9"/>
        <v>-0.95750455529325285</v>
      </c>
      <c r="P134" s="316">
        <f t="shared" si="10"/>
        <v>-0.57798154930368251</v>
      </c>
      <c r="Q134" s="301">
        <f t="shared" si="11"/>
        <v>755.40502309327189</v>
      </c>
      <c r="R134" s="301">
        <f t="shared" si="27"/>
        <v>2.080000000000001</v>
      </c>
      <c r="S134" s="308">
        <f t="shared" si="12"/>
        <v>15.692673698831472</v>
      </c>
      <c r="T134" s="301" t="str">
        <f t="shared" si="13"/>
        <v>1+0.00575065693428888i</v>
      </c>
      <c r="U134" s="303">
        <f t="shared" si="14"/>
        <v>49.529266198720457</v>
      </c>
      <c r="V134" s="301">
        <f t="shared" si="15"/>
        <v>117.27528142222798</v>
      </c>
      <c r="W134" s="301">
        <f t="shared" si="16"/>
        <v>59.999721009881839</v>
      </c>
      <c r="X134" s="303">
        <f t="shared" si="17"/>
        <v>-0.45991019963263885</v>
      </c>
      <c r="Y134" s="192" t="str">
        <f t="shared" si="18"/>
        <v>999.935665858155-8.02660323078938i</v>
      </c>
      <c r="Z134" s="192" t="str">
        <f t="shared" si="19"/>
        <v>-27872886.5111154i</v>
      </c>
      <c r="AA134" s="192" t="str">
        <f t="shared" si="20"/>
        <v>22150.1592153998-3851761.5410732i</v>
      </c>
      <c r="AB134" s="192" t="str">
        <f t="shared" si="21"/>
        <v>1381.90263844297-1979235.20190836i</v>
      </c>
      <c r="AC134" s="192" t="str">
        <f t="shared" si="22"/>
        <v>17098.0628031006-3384122.36600427i</v>
      </c>
      <c r="AD134" s="192" t="str">
        <f t="shared" si="23"/>
        <v>9999.70946016115-50.5228954130495i</v>
      </c>
      <c r="AE134" s="192" t="str">
        <f t="shared" si="24"/>
        <v>-137.271722539521+266.240852626318i</v>
      </c>
      <c r="AF134" s="296"/>
      <c r="AG134" s="296"/>
      <c r="AH134" s="296"/>
      <c r="AI134" s="296"/>
      <c r="AJ134" s="296"/>
      <c r="AK134" s="296"/>
      <c r="AL134" s="296"/>
      <c r="AM134" s="296"/>
      <c r="AN134" s="296"/>
      <c r="AO134" s="296"/>
      <c r="AP134" s="296"/>
      <c r="AQ134" s="296"/>
      <c r="AR134" s="296"/>
      <c r="AS134" s="296"/>
    </row>
    <row r="135" spans="1:45" s="192" customFormat="1" x14ac:dyDescent="0.2">
      <c r="A135" s="301">
        <f t="shared" si="0"/>
        <v>64.900000000000006</v>
      </c>
      <c r="B135" s="301">
        <f t="shared" si="25"/>
        <v>2.1000000000000014</v>
      </c>
      <c r="C135" s="303">
        <f t="shared" si="26"/>
        <v>125.89254117941711</v>
      </c>
      <c r="D135" s="302">
        <f t="shared" si="1"/>
        <v>64.899896430156446</v>
      </c>
      <c r="E135" s="301">
        <f t="shared" si="2"/>
        <v>115.6527314449431</v>
      </c>
      <c r="G135" s="303"/>
      <c r="H135" s="315" t="str">
        <f t="shared" si="3"/>
        <v>1E+47-1.26421264993828E+53i</v>
      </c>
      <c r="I135" s="301" t="str">
        <f t="shared" si="4"/>
        <v>0.002-1.16948441252385i</v>
      </c>
      <c r="J135" s="301" t="str">
        <f t="shared" si="5"/>
        <v>0.002-1.16948441252385i</v>
      </c>
      <c r="K135" s="301"/>
      <c r="L135" s="301" t="str">
        <f t="shared" si="6"/>
        <v>0.0257008945012778-0.000565080949190573i</v>
      </c>
      <c r="M135" s="301" t="str">
        <f t="shared" si="7"/>
        <v>0.003+0.000237301849506604i</v>
      </c>
      <c r="N135" s="301" t="str">
        <f t="shared" si="8"/>
        <v>0.895581686159647-0.00946061072750273i</v>
      </c>
      <c r="O135" s="316">
        <f t="shared" si="9"/>
        <v>-0.95741131353561415</v>
      </c>
      <c r="P135" s="316">
        <f t="shared" si="10"/>
        <v>-0.60523000116888315</v>
      </c>
      <c r="Q135" s="301">
        <f t="shared" si="11"/>
        <v>791.00616502201456</v>
      </c>
      <c r="R135" s="301">
        <f t="shared" si="27"/>
        <v>2.100000000000001</v>
      </c>
      <c r="S135" s="308">
        <f t="shared" si="12"/>
        <v>15.692766940589111</v>
      </c>
      <c r="T135" s="301" t="str">
        <f t="shared" si="13"/>
        <v>1+0.00602167704594076i</v>
      </c>
      <c r="U135" s="303">
        <f t="shared" si="14"/>
        <v>49.207129489567329</v>
      </c>
      <c r="V135" s="301">
        <f t="shared" si="15"/>
        <v>116.25796144611198</v>
      </c>
      <c r="W135" s="301">
        <f t="shared" si="16"/>
        <v>59.999694094366419</v>
      </c>
      <c r="X135" s="303">
        <f t="shared" si="17"/>
        <v>-0.48158410618078179</v>
      </c>
      <c r="Y135" s="192" t="str">
        <f t="shared" si="18"/>
        <v>999.929459453376-8.40483329749905i</v>
      </c>
      <c r="Z135" s="192" t="str">
        <f t="shared" si="19"/>
        <v>-26618399.9691321i</v>
      </c>
      <c r="AA135" s="192" t="str">
        <f t="shared" si="20"/>
        <v>22150.1592153998-3678403.7148474i</v>
      </c>
      <c r="AB135" s="192" t="str">
        <f t="shared" si="21"/>
        <v>1381.90263844297-1890154.94381512i</v>
      </c>
      <c r="AC135" s="192" t="str">
        <f t="shared" si="22"/>
        <v>17098.0619989528-3231812.86963021i</v>
      </c>
      <c r="AD135" s="192" t="str">
        <f t="shared" si="23"/>
        <v>9999.68143041797-52.9037973311329i</v>
      </c>
      <c r="AE135" s="192" t="str">
        <f t="shared" si="24"/>
        <v>-127.698165488296+258.855581846892i</v>
      </c>
      <c r="AF135" s="296"/>
      <c r="AG135" s="296"/>
      <c r="AH135" s="296"/>
      <c r="AI135" s="296"/>
      <c r="AJ135" s="296"/>
      <c r="AK135" s="296"/>
      <c r="AL135" s="296"/>
      <c r="AM135" s="296"/>
      <c r="AN135" s="296"/>
      <c r="AO135" s="296"/>
      <c r="AP135" s="296"/>
      <c r="AQ135" s="296"/>
      <c r="AR135" s="296"/>
      <c r="AS135" s="296"/>
    </row>
    <row r="136" spans="1:45" s="192" customFormat="1" x14ac:dyDescent="0.2">
      <c r="A136" s="301">
        <f t="shared" si="0"/>
        <v>64.572000000000003</v>
      </c>
      <c r="B136" s="301">
        <f t="shared" si="25"/>
        <v>2.120000000000001</v>
      </c>
      <c r="C136" s="303">
        <f t="shared" si="26"/>
        <v>131.82567385564107</v>
      </c>
      <c r="D136" s="302">
        <f t="shared" si="1"/>
        <v>64.572253063173235</v>
      </c>
      <c r="E136" s="301">
        <f t="shared" si="2"/>
        <v>114.63778725689509</v>
      </c>
      <c r="G136" s="303"/>
      <c r="H136" s="315" t="str">
        <f t="shared" si="3"/>
        <v>1E+47-1.20731370784557E+53i</v>
      </c>
      <c r="I136" s="301" t="str">
        <f t="shared" si="4"/>
        <v>0.002-1.11684894342791i</v>
      </c>
      <c r="J136" s="301" t="str">
        <f t="shared" si="5"/>
        <v>0.002-1.11684894342791i</v>
      </c>
      <c r="K136" s="301"/>
      <c r="L136" s="301" t="str">
        <f t="shared" si="6"/>
        <v>0.0256996033362632-0.000591680353968202i</v>
      </c>
      <c r="M136" s="301" t="str">
        <f t="shared" si="7"/>
        <v>0.003+0.000248485541123644i</v>
      </c>
      <c r="N136" s="301" t="str">
        <f t="shared" si="8"/>
        <v>0.89558740501114-0.00990673629834495i</v>
      </c>
      <c r="O136" s="316">
        <f t="shared" si="9"/>
        <v>-0.95730907670092313</v>
      </c>
      <c r="P136" s="316">
        <f t="shared" si="10"/>
        <v>-0.63376396962409831</v>
      </c>
      <c r="Q136" s="301">
        <f t="shared" si="11"/>
        <v>828.28513707881211</v>
      </c>
      <c r="R136" s="301">
        <f t="shared" si="27"/>
        <v>2.120000000000001</v>
      </c>
      <c r="S136" s="308">
        <f t="shared" si="12"/>
        <v>15.692869177423802</v>
      </c>
      <c r="T136" s="301" t="str">
        <f t="shared" si="13"/>
        <v>1+0.00630546994194737i</v>
      </c>
      <c r="U136" s="303">
        <f t="shared" si="14"/>
        <v>48.879383885749441</v>
      </c>
      <c r="V136" s="301">
        <f t="shared" si="15"/>
        <v>115.27155122651919</v>
      </c>
      <c r="W136" s="301">
        <f t="shared" si="16"/>
        <v>59.999664582282371</v>
      </c>
      <c r="X136" s="303">
        <f t="shared" si="17"/>
        <v>-0.50427932530904984</v>
      </c>
      <c r="Y136" s="192" t="str">
        <f t="shared" si="18"/>
        <v>999.92265435428-8.8008810816349i</v>
      </c>
      <c r="Z136" s="192" t="str">
        <f t="shared" si="19"/>
        <v>-25420374.6222744i</v>
      </c>
      <c r="AA136" s="192" t="str">
        <f t="shared" si="20"/>
        <v>22150.1592153998-3512848.27607297i</v>
      </c>
      <c r="AB136" s="192" t="str">
        <f t="shared" si="21"/>
        <v>1381.90263844297-1805083.95777521i</v>
      </c>
      <c r="AC136" s="192" t="str">
        <f t="shared" si="22"/>
        <v>17098.0611172222-3086358.48164921i</v>
      </c>
      <c r="AD136" s="192" t="str">
        <f t="shared" si="23"/>
        <v>9999.65069662129-55.3968826946969i</v>
      </c>
      <c r="AE136" s="192" t="str">
        <f t="shared" si="24"/>
        <v>-118.660019317529+251.350149049303i</v>
      </c>
      <c r="AF136" s="296"/>
      <c r="AG136" s="296"/>
      <c r="AH136" s="296"/>
      <c r="AI136" s="296"/>
      <c r="AJ136" s="296"/>
      <c r="AK136" s="296"/>
      <c r="AL136" s="296"/>
      <c r="AM136" s="296"/>
      <c r="AN136" s="296"/>
      <c r="AO136" s="296"/>
      <c r="AP136" s="296"/>
      <c r="AQ136" s="296"/>
      <c r="AR136" s="296"/>
      <c r="AS136" s="296"/>
    </row>
    <row r="137" spans="1:45" s="192" customFormat="1" x14ac:dyDescent="0.2">
      <c r="A137" s="301">
        <f t="shared" si="0"/>
        <v>64.239000000000004</v>
      </c>
      <c r="B137" s="301">
        <f t="shared" si="25"/>
        <v>2.140000000000001</v>
      </c>
      <c r="C137" s="303">
        <f t="shared" si="26"/>
        <v>138.03842646028886</v>
      </c>
      <c r="D137" s="302">
        <f t="shared" si="1"/>
        <v>64.239331394655665</v>
      </c>
      <c r="E137" s="301">
        <f t="shared" si="2"/>
        <v>113.65286314860296</v>
      </c>
      <c r="G137" s="303"/>
      <c r="H137" s="315" t="str">
        <f t="shared" si="3"/>
        <v>1E+47-1.15297563999457E+53i</v>
      </c>
      <c r="I137" s="301" t="str">
        <f t="shared" si="4"/>
        <v>0.002-1.06658246067953i</v>
      </c>
      <c r="J137" s="301" t="str">
        <f t="shared" si="5"/>
        <v>0.002-1.06658246067953i</v>
      </c>
      <c r="K137" s="301"/>
      <c r="L137" s="301" t="str">
        <f t="shared" si="6"/>
        <v>0.0256981877626811-0.000619528607422201i</v>
      </c>
      <c r="M137" s="301" t="str">
        <f t="shared" si="7"/>
        <v>0.003+0.000260196303888443i</v>
      </c>
      <c r="N137" s="301" t="str">
        <f t="shared" si="8"/>
        <v>0.895593675177675-0.0103739257528131i</v>
      </c>
      <c r="O137" s="316">
        <f t="shared" si="9"/>
        <v>-0.95719697710604756</v>
      </c>
      <c r="P137" s="316">
        <f t="shared" si="10"/>
        <v>-0.66364423726980204</v>
      </c>
      <c r="Q137" s="301">
        <f t="shared" si="11"/>
        <v>867.32101296147675</v>
      </c>
      <c r="R137" s="301">
        <f t="shared" si="27"/>
        <v>2.140000000000001</v>
      </c>
      <c r="S137" s="308">
        <f t="shared" si="12"/>
        <v>15.692981277018678</v>
      </c>
      <c r="T137" s="301" t="str">
        <f t="shared" si="13"/>
        <v>1+0.00660263758508994i</v>
      </c>
      <c r="U137" s="303">
        <f t="shared" si="14"/>
        <v>48.546350117636983</v>
      </c>
      <c r="V137" s="301">
        <f t="shared" si="15"/>
        <v>114.31650738587277</v>
      </c>
      <c r="W137" s="301">
        <f t="shared" si="16"/>
        <v>59.999632223156183</v>
      </c>
      <c r="X137" s="303">
        <f t="shared" si="17"/>
        <v>-0.52804396819556665</v>
      </c>
      <c r="Y137" s="192" t="str">
        <f t="shared" si="18"/>
        <v>999.915192817797-9.21558516333041i</v>
      </c>
      <c r="Z137" s="192" t="str">
        <f t="shared" si="19"/>
        <v>-24276269.2981595i</v>
      </c>
      <c r="AA137" s="192" t="str">
        <f t="shared" si="20"/>
        <v>22150.1592153998-3354744.05946788i</v>
      </c>
      <c r="AB137" s="192" t="str">
        <f t="shared" si="21"/>
        <v>1381.90263844297-1723841.79682156i</v>
      </c>
      <c r="AC137" s="192" t="str">
        <f t="shared" si="22"/>
        <v>17098.060150424-2947450.67380297i</v>
      </c>
      <c r="AD137" s="192" t="str">
        <f t="shared" si="23"/>
        <v>9999.61699793049-58.0074348424014i</v>
      </c>
      <c r="AE137" s="192" t="str">
        <f t="shared" si="24"/>
        <v>-110.148734344628+243.765126208108i</v>
      </c>
      <c r="AF137" s="296"/>
      <c r="AG137" s="296"/>
      <c r="AH137" s="296"/>
      <c r="AI137" s="296"/>
      <c r="AJ137" s="296"/>
      <c r="AK137" s="296"/>
      <c r="AL137" s="296"/>
      <c r="AM137" s="296"/>
      <c r="AN137" s="296"/>
      <c r="AO137" s="296"/>
      <c r="AP137" s="296"/>
      <c r="AQ137" s="296"/>
      <c r="AR137" s="296"/>
      <c r="AS137" s="296"/>
    </row>
    <row r="138" spans="1:45" s="192" customFormat="1" x14ac:dyDescent="0.2">
      <c r="A138" s="301">
        <f t="shared" si="0"/>
        <v>63.901000000000003</v>
      </c>
      <c r="B138" s="301">
        <f t="shared" si="25"/>
        <v>2.160000000000001</v>
      </c>
      <c r="C138" s="303">
        <f t="shared" si="26"/>
        <v>144.5439770745931</v>
      </c>
      <c r="D138" s="302">
        <f t="shared" si="1"/>
        <v>63.901446973161086</v>
      </c>
      <c r="E138" s="301">
        <f t="shared" si="2"/>
        <v>112.69819918785205</v>
      </c>
      <c r="G138" s="303"/>
      <c r="H138" s="315" t="str">
        <f t="shared" si="3"/>
        <v>1E+47-1.10108318805814E+53i</v>
      </c>
      <c r="I138" s="301" t="str">
        <f t="shared" si="4"/>
        <v>0.002-1.01857834232945i</v>
      </c>
      <c r="J138" s="301" t="str">
        <f t="shared" si="5"/>
        <v>0.002-1.01857834232945i</v>
      </c>
      <c r="K138" s="301"/>
      <c r="L138" s="301" t="str">
        <f t="shared" si="6"/>
        <v>0.0256966358102876-0.000648683864416955i</v>
      </c>
      <c r="M138" s="301" t="str">
        <f t="shared" si="7"/>
        <v>0.003+0.000272458977898916i</v>
      </c>
      <c r="N138" s="301" t="str">
        <f t="shared" si="8"/>
        <v>0.895600549762217-0.010863177526385i</v>
      </c>
      <c r="O138" s="316">
        <f t="shared" si="9"/>
        <v>-0.95707406338481404</v>
      </c>
      <c r="P138" s="316">
        <f t="shared" si="10"/>
        <v>-0.69493448065875052</v>
      </c>
      <c r="Q138" s="301">
        <f t="shared" si="11"/>
        <v>908.19659299638636</v>
      </c>
      <c r="R138" s="301">
        <f t="shared" si="27"/>
        <v>2.160000000000001</v>
      </c>
      <c r="S138" s="308">
        <f t="shared" si="12"/>
        <v>15.693104190739913</v>
      </c>
      <c r="T138" s="301" t="str">
        <f t="shared" si="13"/>
        <v>1+0.00691381030778153i</v>
      </c>
      <c r="U138" s="303">
        <f t="shared" si="14"/>
        <v>48.208342782421177</v>
      </c>
      <c r="V138" s="301">
        <f t="shared" si="15"/>
        <v>113.3931336685108</v>
      </c>
      <c r="W138" s="301">
        <f t="shared" si="16"/>
        <v>59.999596742356985</v>
      </c>
      <c r="X138" s="303">
        <f t="shared" si="17"/>
        <v>-0.55292841019913974</v>
      </c>
      <c r="Y138" s="192" t="str">
        <f t="shared" si="18"/>
        <v>999.907011533533-9.64982347449297i</v>
      </c>
      <c r="Z138" s="192" t="str">
        <f t="shared" si="19"/>
        <v>-23183657.1960021i</v>
      </c>
      <c r="AA138" s="192" t="str">
        <f t="shared" si="20"/>
        <v>22150.1592153998-3203755.70479128i</v>
      </c>
      <c r="AB138" s="192" t="str">
        <f t="shared" si="21"/>
        <v>1381.90263844297-1646256.13543846i</v>
      </c>
      <c r="AC138" s="192" t="str">
        <f t="shared" si="22"/>
        <v>17098.0590903509-2814794.80400729i</v>
      </c>
      <c r="AD138" s="192" t="str">
        <f t="shared" si="23"/>
        <v>9999.58004834793-60.7409855602762i</v>
      </c>
      <c r="AE138" s="192" t="str">
        <f t="shared" si="24"/>
        <v>-102.152525623842+236.138195306516i</v>
      </c>
      <c r="AF138" s="296"/>
      <c r="AG138" s="296"/>
      <c r="AH138" s="296"/>
      <c r="AI138" s="296"/>
      <c r="AJ138" s="296"/>
      <c r="AK138" s="296"/>
      <c r="AL138" s="296"/>
      <c r="AM138" s="296"/>
      <c r="AN138" s="296"/>
      <c r="AO138" s="296"/>
      <c r="AP138" s="296"/>
      <c r="AQ138" s="296"/>
      <c r="AR138" s="296"/>
      <c r="AS138" s="296"/>
    </row>
    <row r="139" spans="1:45" s="192" customFormat="1" x14ac:dyDescent="0.2">
      <c r="A139" s="301">
        <f t="shared" si="0"/>
        <v>63.558999999999997</v>
      </c>
      <c r="B139" s="301">
        <f t="shared" si="25"/>
        <v>2.1800000000000015</v>
      </c>
      <c r="C139" s="303">
        <f t="shared" si="26"/>
        <v>151.3561248436213</v>
      </c>
      <c r="D139" s="302">
        <f t="shared" si="1"/>
        <v>63.558907514095679</v>
      </c>
      <c r="E139" s="301">
        <f t="shared" si="2"/>
        <v>111.77389151867987</v>
      </c>
      <c r="G139" s="303"/>
      <c r="H139" s="315" t="str">
        <f t="shared" si="3"/>
        <v>1E+47-1.05152628118837E+53i</v>
      </c>
      <c r="I139" s="301" t="str">
        <f t="shared" si="4"/>
        <v>0.002-0.972734765206626i</v>
      </c>
      <c r="J139" s="301" t="str">
        <f t="shared" si="5"/>
        <v>0.002-0.97273476520663i</v>
      </c>
      <c r="K139" s="301"/>
      <c r="L139" s="301" t="str">
        <f t="shared" si="6"/>
        <v>0.0256949343605275-0.000679206916911785i</v>
      </c>
      <c r="M139" s="301" t="str">
        <f t="shared" si="7"/>
        <v>0.003+0.000285299573930724i</v>
      </c>
      <c r="N139" s="301" t="str">
        <f t="shared" si="8"/>
        <v>0.895608086973407-0.0113755379579735i</v>
      </c>
      <c r="O139" s="316">
        <f t="shared" si="9"/>
        <v>-0.95693929242048892</v>
      </c>
      <c r="P139" s="316">
        <f t="shared" si="10"/>
        <v>-0.72770141103609032</v>
      </c>
      <c r="Q139" s="301">
        <f t="shared" si="11"/>
        <v>950.99857976908049</v>
      </c>
      <c r="R139" s="301">
        <f t="shared" si="27"/>
        <v>2.180000000000001</v>
      </c>
      <c r="S139" s="308">
        <f t="shared" si="12"/>
        <v>15.693238961704237</v>
      </c>
      <c r="T139" s="301" t="str">
        <f t="shared" si="13"/>
        <v>1+0.00723964814908662i</v>
      </c>
      <c r="U139" s="303">
        <f t="shared" si="14"/>
        <v>47.86566855239144</v>
      </c>
      <c r="V139" s="301">
        <f t="shared" si="15"/>
        <v>112.50159292971597</v>
      </c>
      <c r="W139" s="301">
        <f t="shared" si="16"/>
        <v>59.999557838767437</v>
      </c>
      <c r="X139" s="303">
        <f t="shared" si="17"/>
        <v>-0.57898539708854146</v>
      </c>
      <c r="Y139" s="192" t="str">
        <f t="shared" si="18"/>
        <v>999.898041087363-10.1045151283284i</v>
      </c>
      <c r="Z139" s="192" t="str">
        <f t="shared" si="19"/>
        <v>-22140220.7390445i</v>
      </c>
      <c r="AA139" s="192" t="str">
        <f t="shared" si="20"/>
        <v>22150.1592153998-3059562.94549955i</v>
      </c>
      <c r="AB139" s="192" t="str">
        <f t="shared" si="21"/>
        <v>1381.90263844297-1572162.40403603i</v>
      </c>
      <c r="AC139" s="192" t="str">
        <f t="shared" si="22"/>
        <v>17098.0579280041-2688109.49137686i</v>
      </c>
      <c r="AD139" s="192" t="str">
        <f t="shared" si="23"/>
        <v>9999.53953429351-63.6033267094136i</v>
      </c>
      <c r="AE139" s="192" t="str">
        <f t="shared" si="24"/>
        <v>-94.656891165548+228.503981678811i</v>
      </c>
      <c r="AF139" s="296"/>
      <c r="AG139" s="296"/>
      <c r="AH139" s="296"/>
      <c r="AI139" s="296"/>
      <c r="AJ139" s="296"/>
      <c r="AK139" s="296"/>
      <c r="AL139" s="296"/>
      <c r="AM139" s="296"/>
      <c r="AN139" s="296"/>
      <c r="AO139" s="296"/>
      <c r="AP139" s="296"/>
      <c r="AQ139" s="296"/>
      <c r="AR139" s="296"/>
      <c r="AS139" s="296"/>
    </row>
    <row r="140" spans="1:45" s="192" customFormat="1" x14ac:dyDescent="0.2">
      <c r="A140" s="301">
        <f t="shared" si="0"/>
        <v>63.212000000000003</v>
      </c>
      <c r="B140" s="301">
        <f t="shared" si="25"/>
        <v>2.2000000000000015</v>
      </c>
      <c r="C140" s="303">
        <f t="shared" si="26"/>
        <v>158.48931924611182</v>
      </c>
      <c r="D140" s="302">
        <f t="shared" si="1"/>
        <v>63.212011424355346</v>
      </c>
      <c r="E140" s="301">
        <f t="shared" si="2"/>
        <v>110.87990471017248</v>
      </c>
      <c r="G140" s="303"/>
      <c r="H140" s="315" t="str">
        <f t="shared" si="3"/>
        <v>1E+47-1.00419980254158E+53i</v>
      </c>
      <c r="I140" s="301" t="str">
        <f t="shared" si="4"/>
        <v>0.002-0.928954488937636i</v>
      </c>
      <c r="J140" s="301" t="str">
        <f t="shared" si="5"/>
        <v>0.002-0.928954488937636i</v>
      </c>
      <c r="K140" s="301"/>
      <c r="L140" s="301" t="str">
        <f t="shared" si="6"/>
        <v>0.0256930690370708-0.000711161302958111i</v>
      </c>
      <c r="M140" s="301" t="str">
        <f t="shared" si="7"/>
        <v>0.003+0.000298745328609619i</v>
      </c>
      <c r="N140" s="301" t="str">
        <f t="shared" si="8"/>
        <v>0.895616350614589-0.0119121036733771i</v>
      </c>
      <c r="O140" s="316">
        <f t="shared" si="9"/>
        <v>-0.95679152050094429</v>
      </c>
      <c r="P140" s="316">
        <f t="shared" si="10"/>
        <v>-0.76201492235790658</v>
      </c>
      <c r="Q140" s="301">
        <f t="shared" si="11"/>
        <v>995.81776203206459</v>
      </c>
      <c r="R140" s="301">
        <f t="shared" si="27"/>
        <v>2.2000000000000011</v>
      </c>
      <c r="S140" s="308">
        <f t="shared" si="12"/>
        <v>15.693386733623782</v>
      </c>
      <c r="T140" s="301" t="str">
        <f t="shared" si="13"/>
        <v>1+0.00758084225475245i</v>
      </c>
      <c r="U140" s="303">
        <f t="shared" si="14"/>
        <v>47.518624690731563</v>
      </c>
      <c r="V140" s="301">
        <f t="shared" si="15"/>
        <v>111.64191963253039</v>
      </c>
      <c r="W140" s="301">
        <f t="shared" si="16"/>
        <v>59.999515182230297</v>
      </c>
      <c r="X140" s="303">
        <f t="shared" si="17"/>
        <v>-0.60627015620736979</v>
      </c>
      <c r="Y140" s="192" t="str">
        <f t="shared" si="18"/>
        <v>999.888205373444-10.5806223313776i</v>
      </c>
      <c r="Z140" s="192" t="str">
        <f t="shared" si="19"/>
        <v>-21143746.6586656i</v>
      </c>
      <c r="AA140" s="192" t="str">
        <f t="shared" si="20"/>
        <v>22150.1592153998-2921859.92941797i</v>
      </c>
      <c r="AB140" s="192" t="str">
        <f t="shared" si="21"/>
        <v>1381.90263844297-1501403.43987604i</v>
      </c>
      <c r="AC140" s="192" t="str">
        <f t="shared" si="22"/>
        <v>17098.0566535164-2567126.01937855i</v>
      </c>
      <c r="AD140" s="192" t="str">
        <f t="shared" si="23"/>
        <v>9999.49511194568-66.600522389624i</v>
      </c>
      <c r="AE140" s="192" t="str">
        <f t="shared" si="24"/>
        <v>-87.6451109830893+220.89396686841i</v>
      </c>
      <c r="AF140" s="296"/>
      <c r="AG140" s="296"/>
      <c r="AH140" s="296"/>
      <c r="AI140" s="296"/>
      <c r="AJ140" s="296"/>
      <c r="AK140" s="296"/>
      <c r="AL140" s="296"/>
      <c r="AM140" s="296"/>
      <c r="AN140" s="296"/>
      <c r="AO140" s="296"/>
      <c r="AP140" s="296"/>
      <c r="AQ140" s="296"/>
      <c r="AR140" s="296"/>
      <c r="AS140" s="296"/>
    </row>
    <row r="141" spans="1:45" s="192" customFormat="1" x14ac:dyDescent="0.2">
      <c r="A141" s="301">
        <f t="shared" si="0"/>
        <v>62.860999999999997</v>
      </c>
      <c r="B141" s="301">
        <f t="shared" si="25"/>
        <v>2.2200000000000011</v>
      </c>
      <c r="C141" s="303">
        <f t="shared" si="26"/>
        <v>165.95869074375653</v>
      </c>
      <c r="D141" s="302">
        <f t="shared" si="1"/>
        <v>62.861046620717829</v>
      </c>
      <c r="E141" s="301">
        <f t="shared" si="2"/>
        <v>110.01608430938144</v>
      </c>
      <c r="G141" s="303"/>
      <c r="H141" s="315" t="str">
        <f t="shared" si="3"/>
        <v>1E+47-9.59003366311403E+52i</v>
      </c>
      <c r="I141" s="301" t="str">
        <f t="shared" si="4"/>
        <v>0.002-0.88714464968677i</v>
      </c>
      <c r="J141" s="301" t="str">
        <f t="shared" si="5"/>
        <v>0.002-0.88714464968677i</v>
      </c>
      <c r="K141" s="301"/>
      <c r="L141" s="301" t="str">
        <f t="shared" si="6"/>
        <v>0.0256910240860532-0.000744613418587531i</v>
      </c>
      <c r="M141" s="301" t="str">
        <f t="shared" si="7"/>
        <v>0.003+0.00031282476218398i</v>
      </c>
      <c r="N141" s="301" t="str">
        <f t="shared" si="8"/>
        <v>0.895625410619284-0.0124740240997297i</v>
      </c>
      <c r="O141" s="316">
        <f t="shared" si="9"/>
        <v>-0.95662949362212968</v>
      </c>
      <c r="P141" s="316">
        <f t="shared" si="10"/>
        <v>-0.79794824702719191</v>
      </c>
      <c r="Q141" s="301">
        <f t="shared" si="11"/>
        <v>1042.7492072799319</v>
      </c>
      <c r="R141" s="301">
        <f t="shared" si="27"/>
        <v>2.2200000000000011</v>
      </c>
      <c r="S141" s="308">
        <f t="shared" si="12"/>
        <v>15.693548760502596</v>
      </c>
      <c r="T141" s="301" t="str">
        <f t="shared" si="13"/>
        <v>1+0.00793811634322184i</v>
      </c>
      <c r="U141" s="303">
        <f t="shared" si="14"/>
        <v>47.167497860215235</v>
      </c>
      <c r="V141" s="301">
        <f t="shared" si="15"/>
        <v>110.81403255640863</v>
      </c>
      <c r="W141" s="301">
        <f t="shared" si="16"/>
        <v>59.99946841074896</v>
      </c>
      <c r="X141" s="303">
        <f t="shared" si="17"/>
        <v>-0.63484051279670517</v>
      </c>
      <c r="Y141" s="192" t="str">
        <f t="shared" si="18"/>
        <v>999.877420949659-11.0791523814064i</v>
      </c>
      <c r="Z141" s="192" t="str">
        <f t="shared" si="19"/>
        <v>-20192121.2997411i</v>
      </c>
      <c r="AA141" s="192" t="str">
        <f t="shared" si="20"/>
        <v>22150.1592153998-2790354.56998728i</v>
      </c>
      <c r="AB141" s="192" t="str">
        <f t="shared" si="21"/>
        <v>1381.90263844297-1433829.1537087i</v>
      </c>
      <c r="AC141" s="192" t="str">
        <f t="shared" si="22"/>
        <v>17098.0552560685-2451587.76584771i</v>
      </c>
      <c r="AD141" s="192" t="str">
        <f t="shared" si="23"/>
        <v>9999.44640432619-69.7389216625281i</v>
      </c>
      <c r="AE141" s="192" t="str">
        <f t="shared" si="24"/>
        <v>-81.0987172211737+213.336470781094i</v>
      </c>
      <c r="AF141" s="296"/>
      <c r="AG141" s="296"/>
      <c r="AH141" s="296"/>
      <c r="AI141" s="296"/>
      <c r="AJ141" s="296"/>
      <c r="AK141" s="296"/>
      <c r="AL141" s="296"/>
      <c r="AM141" s="296"/>
      <c r="AN141" s="296"/>
      <c r="AO141" s="296"/>
      <c r="AP141" s="296"/>
      <c r="AQ141" s="296"/>
      <c r="AR141" s="296"/>
      <c r="AS141" s="296"/>
    </row>
    <row r="142" spans="1:45" s="192" customFormat="1" x14ac:dyDescent="0.2">
      <c r="A142" s="301">
        <f t="shared" si="0"/>
        <v>62.506</v>
      </c>
      <c r="B142" s="301">
        <f t="shared" si="25"/>
        <v>2.2400000000000011</v>
      </c>
      <c r="C142" s="303">
        <f t="shared" si="26"/>
        <v>173.78008287493799</v>
      </c>
      <c r="D142" s="302">
        <f t="shared" si="1"/>
        <v>62.506289622399848</v>
      </c>
      <c r="E142" s="301">
        <f t="shared" si="2"/>
        <v>109.1821693437258</v>
      </c>
      <c r="G142" s="303"/>
      <c r="H142" s="315" t="str">
        <f t="shared" si="3"/>
        <v>1E+47-9.15841104796989E+52i</v>
      </c>
      <c r="I142" s="301" t="str">
        <f t="shared" si="4"/>
        <v>0.002-0.847216563179454i</v>
      </c>
      <c r="J142" s="301" t="str">
        <f t="shared" si="5"/>
        <v>0.002-0.847216563179454i</v>
      </c>
      <c r="K142" s="301"/>
      <c r="L142" s="301" t="str">
        <f t="shared" si="6"/>
        <v>0.0256887822450837-0.000779632632399138i</v>
      </c>
      <c r="M142" s="301" t="str">
        <f t="shared" si="7"/>
        <v>0.003+0.000327567739020078i</v>
      </c>
      <c r="N142" s="301" t="str">
        <f t="shared" si="8"/>
        <v>0.895635343637464-0.0130625041198941i</v>
      </c>
      <c r="O142" s="316">
        <f t="shared" si="9"/>
        <v>-0.95645183685765445</v>
      </c>
      <c r="P142" s="316">
        <f t="shared" si="10"/>
        <v>-0.83557811982088903</v>
      </c>
      <c r="Q142" s="301">
        <f t="shared" si="11"/>
        <v>1091.8924634002612</v>
      </c>
      <c r="R142" s="301">
        <f t="shared" si="27"/>
        <v>2.2400000000000011</v>
      </c>
      <c r="S142" s="308">
        <f t="shared" si="12"/>
        <v>15.693726417267071</v>
      </c>
      <c r="T142" s="301" t="str">
        <f t="shared" si="13"/>
        <v>1+0.008312228240737i</v>
      </c>
      <c r="U142" s="303">
        <f t="shared" si="14"/>
        <v>46.812563205132776</v>
      </c>
      <c r="V142" s="301">
        <f t="shared" si="15"/>
        <v>110.0177474635467</v>
      </c>
      <c r="W142" s="301">
        <f t="shared" si="16"/>
        <v>59.999417127418411</v>
      </c>
      <c r="X142" s="303">
        <f t="shared" si="17"/>
        <v>-0.66475701170651391</v>
      </c>
      <c r="Y142" s="192" t="str">
        <f t="shared" si="18"/>
        <v>999.865596331099-11.6011597545634i</v>
      </c>
      <c r="Z142" s="192" t="str">
        <f t="shared" si="19"/>
        <v>-19283326.1372983i</v>
      </c>
      <c r="AA142" s="192" t="str">
        <f t="shared" si="20"/>
        <v>22150.1592153998-2664767.92670889i</v>
      </c>
      <c r="AB142" s="192" t="str">
        <f t="shared" si="21"/>
        <v>1381.90263844297-1369296.2114132i</v>
      </c>
      <c r="AC142" s="192" t="str">
        <f t="shared" si="22"/>
        <v>17098.0537237977-2341249.65865807i</v>
      </c>
      <c r="AD142" s="192" t="str">
        <f t="shared" si="23"/>
        <v>9999.39299810419-73.0251718584116i</v>
      </c>
      <c r="AE142" s="192" t="str">
        <f t="shared" si="24"/>
        <v>-74.9979283281315+205.856692447492i</v>
      </c>
      <c r="AF142" s="296"/>
      <c r="AG142" s="296"/>
      <c r="AH142" s="296"/>
      <c r="AI142" s="296"/>
      <c r="AJ142" s="296"/>
      <c r="AK142" s="296"/>
      <c r="AL142" s="296"/>
      <c r="AM142" s="296"/>
      <c r="AN142" s="296"/>
      <c r="AO142" s="296"/>
      <c r="AP142" s="296"/>
      <c r="AQ142" s="296"/>
      <c r="AR142" s="296"/>
      <c r="AS142" s="296"/>
    </row>
    <row r="143" spans="1:45" s="192" customFormat="1" x14ac:dyDescent="0.2">
      <c r="A143" s="301">
        <f t="shared" si="0"/>
        <v>62.148000000000003</v>
      </c>
      <c r="B143" s="301">
        <f t="shared" si="25"/>
        <v>2.2600000000000016</v>
      </c>
      <c r="C143" s="303">
        <f t="shared" si="26"/>
        <v>181.97008586099895</v>
      </c>
      <c r="D143" s="302">
        <f t="shared" si="1"/>
        <v>62.148004894714916</v>
      </c>
      <c r="E143" s="301">
        <f t="shared" si="2"/>
        <v>108.37780456074717</v>
      </c>
      <c r="G143" s="303"/>
      <c r="H143" s="315" t="str">
        <f t="shared" si="3"/>
        <v>1E+47-8.74621465054801E+52i</v>
      </c>
      <c r="I143" s="301" t="str">
        <f t="shared" si="4"/>
        <v>0.002-0.809085536590936i</v>
      </c>
      <c r="J143" s="301" t="str">
        <f t="shared" si="5"/>
        <v>0.002-0.809085536590936i</v>
      </c>
      <c r="K143" s="301"/>
      <c r="L143" s="301" t="str">
        <f t="shared" si="6"/>
        <v>0.0256863245999973-0.000816291402598085i</v>
      </c>
      <c r="M143" s="301" t="str">
        <f t="shared" si="7"/>
        <v>0.003+0.000343005530948411i</v>
      </c>
      <c r="N143" s="301" t="str">
        <f t="shared" si="8"/>
        <v>0.895646233677333-0.0136788068765839i</v>
      </c>
      <c r="O143" s="316">
        <f t="shared" si="9"/>
        <v>-0.95625704270499079</v>
      </c>
      <c r="P143" s="316">
        <f t="shared" si="10"/>
        <v>-0.87498495052077818</v>
      </c>
      <c r="Q143" s="301">
        <f t="shared" si="11"/>
        <v>1143.3517698280364</v>
      </c>
      <c r="R143" s="301">
        <f t="shared" si="27"/>
        <v>2.2600000000000011</v>
      </c>
      <c r="S143" s="308">
        <f t="shared" si="12"/>
        <v>15.693921211419735</v>
      </c>
      <c r="T143" s="301" t="str">
        <f t="shared" si="13"/>
        <v>1+0.00870397148879062i</v>
      </c>
      <c r="U143" s="303">
        <f t="shared" si="14"/>
        <v>46.454083683295181</v>
      </c>
      <c r="V143" s="301">
        <f t="shared" si="15"/>
        <v>109.25278951126795</v>
      </c>
      <c r="W143" s="301">
        <f t="shared" si="16"/>
        <v>59.999360897060647</v>
      </c>
      <c r="X143" s="303">
        <f t="shared" si="17"/>
        <v>-0.69608304473597626</v>
      </c>
      <c r="Y143" s="192" t="str">
        <f t="shared" si="18"/>
        <v>999.852631215636-12.1477482852904i</v>
      </c>
      <c r="Z143" s="192" t="str">
        <f t="shared" si="19"/>
        <v>-18415433.4949533i</v>
      </c>
      <c r="AA143" s="192" t="str">
        <f t="shared" si="20"/>
        <v>22150.1592153998-2544833.6134747i</v>
      </c>
      <c r="AB143" s="192" t="str">
        <f t="shared" si="21"/>
        <v>1381.90263844297-1307667.72996684i</v>
      </c>
      <c r="AC143" s="192" t="str">
        <f t="shared" si="22"/>
        <v>17098.0520436965-2235877.65589094i</v>
      </c>
      <c r="AD143" s="192" t="str">
        <f t="shared" si="23"/>
        <v>9999.33444009253-76.4662324920024i</v>
      </c>
      <c r="AE143" s="192" t="str">
        <f t="shared" si="24"/>
        <v>-69.3220426890315+198.476798780276i</v>
      </c>
      <c r="AF143" s="296"/>
      <c r="AG143" s="296"/>
      <c r="AH143" s="296"/>
      <c r="AI143" s="296"/>
      <c r="AJ143" s="296"/>
      <c r="AK143" s="296"/>
      <c r="AL143" s="296"/>
      <c r="AM143" s="296"/>
      <c r="AN143" s="296"/>
      <c r="AO143" s="296"/>
      <c r="AP143" s="296"/>
      <c r="AQ143" s="296"/>
      <c r="AR143" s="296"/>
      <c r="AS143" s="296"/>
    </row>
    <row r="144" spans="1:45" s="192" customFormat="1" x14ac:dyDescent="0.2">
      <c r="A144" s="301">
        <f t="shared" si="0"/>
        <v>61.786000000000001</v>
      </c>
      <c r="B144" s="301">
        <f t="shared" si="25"/>
        <v>2.2800000000000011</v>
      </c>
      <c r="C144" s="303">
        <f t="shared" si="26"/>
        <v>190.54607179632529</v>
      </c>
      <c r="D144" s="302">
        <f t="shared" ref="D144:D207" si="28">S144+U144</f>
        <v>61.786444418675416</v>
      </c>
      <c r="E144" s="301">
        <f t="shared" ref="E144:E207" si="29">P144+V144</f>
        <v>107.60255223442881</v>
      </c>
      <c r="G144" s="303"/>
      <c r="H144" s="315" t="str">
        <f t="shared" ref="H144:H207" si="30">IMSUM(IMDIV(1,COMPLEX(0,Q144*COUT_1*10^-6)),ESR_1*10^-3)</f>
        <v>1E+47-8.35257014702543E+52i</v>
      </c>
      <c r="I144" s="301" t="str">
        <f t="shared" ref="I144:I207" si="31">IMSUM(IMDIV(1,COMPLEX(0,Q144*MLCC*10^-6)),MLCC_ESR*10^-3)</f>
        <v>0.002-0.772670688901519i</v>
      </c>
      <c r="J144" s="301" t="str">
        <f t="shared" ref="J144:J207" si="32">IMDIV(IMPRODUCT(H144,I144),IMSUM(H144,I144))</f>
        <v>0.002-0.772670688901519i</v>
      </c>
      <c r="K144" s="301"/>
      <c r="L144" s="301" t="str">
        <f t="shared" ref="L144:L207" si="33">IMDIV(IMPRODUCT(J144,VOUT_1/IOUT_max),IMSUM(J144,VOUT_1/IOUT_max))</f>
        <v>0.0256836304282501-0.000854665396171435i</v>
      </c>
      <c r="M144" s="301" t="str">
        <f t="shared" ref="M144:M207" si="34">COMPLEX(DCR_1*10^-3,Q144*LOUT_1*10^-6)</f>
        <v>0.003+0.000359170883595437i</v>
      </c>
      <c r="N144" s="301" t="str">
        <f t="shared" ref="N144:N207" si="35">IMDIV(L144,IMSUM(M144,L144))</f>
        <v>0.895658172807775-0.0143242567369253i</v>
      </c>
      <c r="O144" s="316">
        <f t="shared" ref="O144:O207" si="36">20*LOG(IMABS(N144))</f>
        <v>-0.95604345830981152</v>
      </c>
      <c r="P144" s="316">
        <f t="shared" ref="P144:P207" si="37">180/PI()*IMARGUMENT(N144)</f>
        <v>-0.91625300580338198</v>
      </c>
      <c r="Q144" s="301">
        <f t="shared" ref="Q144:Q207" si="38">2*PI()*C144</f>
        <v>1197.2362786514577</v>
      </c>
      <c r="R144" s="301">
        <f t="shared" si="27"/>
        <v>2.2800000000000011</v>
      </c>
      <c r="S144" s="308">
        <f t="shared" ref="S144:S207" si="39">20*LOG(IMABS(N144)*$F$62)</f>
        <v>15.694134795814916</v>
      </c>
      <c r="T144" s="301" t="str">
        <f t="shared" ref="T144:T207" si="40">COMPLEX(1,Q144*(R_1+R_2)*C_1*10^-12)</f>
        <v>1+0.00911417702733375i</v>
      </c>
      <c r="U144" s="303">
        <f t="shared" ref="U144:U207" si="41">20*LOG(IMABS(AE144))</f>
        <v>46.092309622860498</v>
      </c>
      <c r="V144" s="301">
        <f t="shared" ref="V144:V207" si="42">IF(180/PI()*IMARGUMENT(AE144)&lt;0,180/PI()*IMARGUMENT(AE144)+360,180/PI()*IMARGUMENT(AE144))</f>
        <v>108.5188052402322</v>
      </c>
      <c r="W144" s="301">
        <f t="shared" ref="W144:W207" si="43">20*LOG(IMABS(Y144))</f>
        <v>59.999299242536175</v>
      </c>
      <c r="X144" s="303">
        <f t="shared" ref="X144:X207" si="44">180/PI()*IMARGUMENT(Y144)</f>
        <v>-0.72888498385222111</v>
      </c>
      <c r="Y144" s="192" t="str">
        <f t="shared" ref="Y144:Y207" si="45">IMDIV(10^(DCGAIN/20),IMPRODUCT(COMPLEX(1,2*PI()*C144/(2*PI()*(GBWP*10^6/10^(DCGAIN/20)))),COMPLEX(1,2*PI()*C144/(2*PI()*EAP*10^6))))</f>
        <v>999.838415635093-12.720073442528i</v>
      </c>
      <c r="Z144" s="192" t="str">
        <f t="shared" ref="Z144:Z207" si="46">IMDIV(1,COMPLEX(0,2*PI()*C144*C_3*10^-12))</f>
        <v>-17586602.4560512i</v>
      </c>
      <c r="AA144" s="192" t="str">
        <f t="shared" ref="AA144:AA207" si="47">IMSUM(R_3,IMDIV(1,COMPLEX(0,2*PI()*C144*C_2*10^-12)))</f>
        <v>22150.1592153998-2430297.23352648i</v>
      </c>
      <c r="AB144" s="192" t="str">
        <f t="shared" ref="AB144:AB207" si="48">IMSUM(R_2,IMDIV(1,COMPLEX(0,2*PI()*C144*C_1*10^-12)))</f>
        <v>1381.90263844297-1248812.98709782i</v>
      </c>
      <c r="AC144" s="192" t="str">
        <f t="shared" ref="AC144:AC207" si="49">IMDIV(IMPRODUCT(Z144,AA144),IMSUM(Z144,AA144))</f>
        <v>17098.0502015025-2135248.24940096i</v>
      </c>
      <c r="AD144" s="192" t="str">
        <f t="shared" ref="AD144:AD207" si="50">IMDIV(IMPRODUCT(AB144,R_1),IMSUM(AB144,R_1))</f>
        <v>9999.27023340677-80.0693898131722i</v>
      </c>
      <c r="AE144" s="192" t="str">
        <f t="shared" ref="AE144:AE207" si="51">IMDIV(IMPRODUCT(-1,Y144),IMSUM(1,IMDIV(AD144,R_4),IMPRODUCT(IMDIV(AD144,AC144),IMSUM(1,Y144))))</f>
        <v>-64.0497892704524+191.216051196231i</v>
      </c>
      <c r="AF144" s="296"/>
      <c r="AG144" s="296"/>
      <c r="AH144" s="296"/>
      <c r="AI144" s="296"/>
      <c r="AJ144" s="296"/>
      <c r="AK144" s="296"/>
      <c r="AL144" s="296"/>
      <c r="AM144" s="296"/>
      <c r="AN144" s="296"/>
      <c r="AO144" s="296"/>
      <c r="AP144" s="296"/>
      <c r="AQ144" s="296"/>
      <c r="AR144" s="296"/>
      <c r="AS144" s="296"/>
    </row>
    <row r="145" spans="1:45" s="192" customFormat="1" x14ac:dyDescent="0.2">
      <c r="A145" s="301">
        <f t="shared" ref="A145:A208" si="52">ROUND(ABS(D145),3)</f>
        <v>61.421999999999997</v>
      </c>
      <c r="B145" s="301">
        <f t="shared" ref="B145:B208" si="53">LOG(C145)</f>
        <v>2.3000000000000012</v>
      </c>
      <c r="C145" s="303">
        <f t="shared" ref="C145:C208" si="54">10^R145</f>
        <v>199.52623149688853</v>
      </c>
      <c r="D145" s="302">
        <f t="shared" si="28"/>
        <v>61.421847460470794</v>
      </c>
      <c r="E145" s="301">
        <f t="shared" si="29"/>
        <v>106.85590340607943</v>
      </c>
      <c r="G145" s="303"/>
      <c r="H145" s="315" t="str">
        <f t="shared" si="30"/>
        <v>1E+47-7.97664256463329E+52i</v>
      </c>
      <c r="I145" s="301" t="str">
        <f t="shared" si="31"/>
        <v>0.002-0.73789477933703i</v>
      </c>
      <c r="J145" s="301" t="str">
        <f t="shared" si="32"/>
        <v>0.00200000000000001-0.73789477933703i</v>
      </c>
      <c r="K145" s="301"/>
      <c r="L145" s="301" t="str">
        <f t="shared" si="33"/>
        <v>0.0256806770277582-0.000894833609811224i</v>
      </c>
      <c r="M145" s="301" t="str">
        <f t="shared" si="34"/>
        <v>0.003+0.000376098085841449i</v>
      </c>
      <c r="N145" s="301" t="str">
        <f t="shared" si="35"/>
        <v>0.895671261927052-0.0150002424292302i</v>
      </c>
      <c r="O145" s="316">
        <f t="shared" si="36"/>
        <v>-0.95580927146086481</v>
      </c>
      <c r="P145" s="316">
        <f t="shared" si="37"/>
        <v>-0.95947060099252424</v>
      </c>
      <c r="Q145" s="301">
        <f t="shared" si="38"/>
        <v>1253.6602861381627</v>
      </c>
      <c r="R145" s="301">
        <f t="shared" ref="R145:R208" si="55">R144+0.02</f>
        <v>2.3000000000000012</v>
      </c>
      <c r="S145" s="308">
        <f t="shared" si="39"/>
        <v>15.694368982663862</v>
      </c>
      <c r="T145" s="301" t="str">
        <f t="shared" si="40"/>
        <v>1+0.00954371495731085i</v>
      </c>
      <c r="U145" s="303">
        <f t="shared" si="41"/>
        <v>45.727478477806933</v>
      </c>
      <c r="V145" s="301">
        <f t="shared" si="42"/>
        <v>107.81537400707195</v>
      </c>
      <c r="W145" s="301">
        <f t="shared" si="43"/>
        <v>59.999231640700394</v>
      </c>
      <c r="X145" s="303">
        <f t="shared" si="44"/>
        <v>-0.76323232054624357</v>
      </c>
      <c r="Y145" s="192" t="str">
        <f t="shared" si="45"/>
        <v>999.822829024882-13.3193447058012i</v>
      </c>
      <c r="Z145" s="192" t="str">
        <f t="shared" si="46"/>
        <v>-16795074.9588353i</v>
      </c>
      <c r="AA145" s="192" t="str">
        <f t="shared" si="47"/>
        <v>22150.1592153998-2320915.8398462i</v>
      </c>
      <c r="AB145" s="192" t="str">
        <f t="shared" si="48"/>
        <v>1381.90263844297-1192607.1440057i</v>
      </c>
      <c r="AC145" s="192" t="str">
        <f t="shared" si="49"/>
        <v>17098.0481815775-2039147.99072529i</v>
      </c>
      <c r="AD145" s="192" t="str">
        <f t="shared" si="50"/>
        <v>9999.19983325447-83.8422720194021i</v>
      </c>
      <c r="AE145" s="192" t="str">
        <f t="shared" si="51"/>
        <v>-59.1596346092032+184.090960753417i</v>
      </c>
      <c r="AF145" s="296"/>
      <c r="AG145" s="296"/>
      <c r="AH145" s="296"/>
      <c r="AI145" s="296"/>
      <c r="AJ145" s="296"/>
      <c r="AK145" s="296"/>
      <c r="AL145" s="296"/>
      <c r="AM145" s="296"/>
      <c r="AN145" s="296"/>
      <c r="AO145" s="296"/>
      <c r="AP145" s="296"/>
      <c r="AQ145" s="296"/>
      <c r="AR145" s="296"/>
      <c r="AS145" s="296"/>
    </row>
    <row r="146" spans="1:45" s="192" customFormat="1" x14ac:dyDescent="0.2">
      <c r="A146" s="301">
        <f t="shared" si="52"/>
        <v>61.054000000000002</v>
      </c>
      <c r="B146" s="301">
        <f t="shared" si="53"/>
        <v>2.3200000000000016</v>
      </c>
      <c r="C146" s="303">
        <f t="shared" si="54"/>
        <v>208.9296130854047</v>
      </c>
      <c r="D146" s="302">
        <f t="shared" si="28"/>
        <v>61.054440514816292</v>
      </c>
      <c r="E146" s="301">
        <f t="shared" si="29"/>
        <v>106.13728846305928</v>
      </c>
      <c r="G146" s="303"/>
      <c r="H146" s="315" t="str">
        <f t="shared" si="30"/>
        <v>1E+47-7.61763451056779E+52i</v>
      </c>
      <c r="I146" s="301" t="str">
        <f t="shared" si="31"/>
        <v>0.002-0.704684043530784i</v>
      </c>
      <c r="J146" s="301" t="str">
        <f t="shared" si="32"/>
        <v>0.002-0.704684043530783i</v>
      </c>
      <c r="K146" s="301"/>
      <c r="L146" s="301" t="str">
        <f t="shared" si="33"/>
        <v>0.0256774395298884-0.000936878492105674i</v>
      </c>
      <c r="M146" s="301" t="str">
        <f t="shared" si="34"/>
        <v>0.003+0.000393823042551879i</v>
      </c>
      <c r="N146" s="301" t="str">
        <f t="shared" si="35"/>
        <v>0.895685611603845-0.0157082203649244i</v>
      </c>
      <c r="O146" s="316">
        <f t="shared" si="36"/>
        <v>-0.95555249523730079</v>
      </c>
      <c r="P146" s="316">
        <f t="shared" si="37"/>
        <v>-1.004730302330906</v>
      </c>
      <c r="Q146" s="301">
        <f t="shared" si="38"/>
        <v>1312.7434751729306</v>
      </c>
      <c r="R146" s="301">
        <f t="shared" si="55"/>
        <v>2.3200000000000012</v>
      </c>
      <c r="S146" s="308">
        <f t="shared" si="39"/>
        <v>15.694625758887426</v>
      </c>
      <c r="T146" s="301" t="str">
        <f t="shared" si="40"/>
        <v>1+0.00999349638626057i</v>
      </c>
      <c r="U146" s="303">
        <f t="shared" si="41"/>
        <v>45.359814755928866</v>
      </c>
      <c r="V146" s="301">
        <f t="shared" si="42"/>
        <v>107.14201876539019</v>
      </c>
      <c r="W146" s="301">
        <f t="shared" si="43"/>
        <v>59.999157517970893</v>
      </c>
      <c r="X146" s="303">
        <f t="shared" si="44"/>
        <v>-0.79919781159443903</v>
      </c>
      <c r="Y146" s="192" t="str">
        <f t="shared" si="45"/>
        <v>999.80573920434-13.9468280448014i</v>
      </c>
      <c r="Z146" s="192" t="str">
        <f t="shared" si="46"/>
        <v>-16039172.0673619i</v>
      </c>
      <c r="AA146" s="192" t="str">
        <f t="shared" si="47"/>
        <v>22150.1592153998-2216457.41983283i</v>
      </c>
      <c r="AB146" s="192" t="str">
        <f t="shared" si="48"/>
        <v>1381.90263844297-1138930.98056164i</v>
      </c>
      <c r="AC146" s="192" t="str">
        <f t="shared" si="49"/>
        <v>17098.0459667742-1947373.03833083i</v>
      </c>
      <c r="AD146" s="192" t="str">
        <f t="shared" si="50"/>
        <v>9999.12264231931-87.7928651576336i</v>
      </c>
      <c r="AE146" s="192" t="str">
        <f t="shared" si="51"/>
        <v>-54.630046903409+177.115463423403i</v>
      </c>
      <c r="AF146" s="296"/>
      <c r="AG146" s="296"/>
      <c r="AH146" s="296"/>
      <c r="AI146" s="296"/>
      <c r="AJ146" s="296"/>
      <c r="AK146" s="296"/>
      <c r="AL146" s="296"/>
      <c r="AM146" s="296"/>
      <c r="AN146" s="296"/>
      <c r="AO146" s="296"/>
      <c r="AP146" s="296"/>
      <c r="AQ146" s="296"/>
      <c r="AR146" s="296"/>
      <c r="AS146" s="296"/>
    </row>
    <row r="147" spans="1:45" s="192" customFormat="1" x14ac:dyDescent="0.2">
      <c r="A147" s="301">
        <f t="shared" si="52"/>
        <v>60.683999999999997</v>
      </c>
      <c r="B147" s="301">
        <f t="shared" si="53"/>
        <v>2.3400000000000016</v>
      </c>
      <c r="C147" s="303">
        <f t="shared" si="54"/>
        <v>218.776162394956</v>
      </c>
      <c r="D147" s="302">
        <f t="shared" si="28"/>
        <v>60.684437396978169</v>
      </c>
      <c r="E147" s="301">
        <f t="shared" si="29"/>
        <v>105.4460869898024</v>
      </c>
      <c r="G147" s="303"/>
      <c r="H147" s="315" t="str">
        <f t="shared" si="30"/>
        <v>1E+47-7.27478448061328E+52i</v>
      </c>
      <c r="I147" s="301" t="str">
        <f t="shared" si="31"/>
        <v>0.002-0.672968037059508i</v>
      </c>
      <c r="J147" s="301" t="str">
        <f t="shared" si="32"/>
        <v>0.00200000000000001-0.672968037059508i</v>
      </c>
      <c r="K147" s="301"/>
      <c r="L147" s="301" t="str">
        <f t="shared" si="33"/>
        <v>0.0256738906952048-0.000980886066417008i</v>
      </c>
      <c r="M147" s="301" t="str">
        <f t="shared" si="34"/>
        <v>0.003+0.000412383350736337i</v>
      </c>
      <c r="N147" s="301" t="str">
        <f t="shared" si="35"/>
        <v>0.895701342997236-0.0164497181599125i</v>
      </c>
      <c r="O147" s="316">
        <f t="shared" si="36"/>
        <v>-0.95527095117930283</v>
      </c>
      <c r="P147" s="316">
        <f t="shared" si="37"/>
        <v>-1.0521291404870519</v>
      </c>
      <c r="Q147" s="301">
        <f t="shared" si="38"/>
        <v>1374.6111691211227</v>
      </c>
      <c r="R147" s="301">
        <f t="shared" si="55"/>
        <v>2.3400000000000012</v>
      </c>
      <c r="S147" s="308">
        <f t="shared" si="39"/>
        <v>15.694907302945424</v>
      </c>
      <c r="T147" s="301" t="str">
        <f t="shared" si="40"/>
        <v>1+0.0104644753608969i</v>
      </c>
      <c r="U147" s="303">
        <f t="shared" si="41"/>
        <v>44.989530094032745</v>
      </c>
      <c r="V147" s="301">
        <f t="shared" si="42"/>
        <v>106.49821613028945</v>
      </c>
      <c r="W147" s="301">
        <f t="shared" si="43"/>
        <v>59.999076245468153</v>
      </c>
      <c r="X147" s="303">
        <f t="shared" si="44"/>
        <v>-0.83685763150351922</v>
      </c>
      <c r="Y147" s="192" t="str">
        <f t="shared" si="45"/>
        <v>999.787001259213-14.6038485060858i</v>
      </c>
      <c r="Z147" s="192" t="str">
        <f t="shared" si="46"/>
        <v>-15317290.4102527i</v>
      </c>
      <c r="AA147" s="192" t="str">
        <f t="shared" si="47"/>
        <v>22150.1592153998-2116700.40317255i</v>
      </c>
      <c r="AB147" s="192" t="str">
        <f t="shared" si="48"/>
        <v>1381.90263844297-1087670.64242649i</v>
      </c>
      <c r="AC147" s="192" t="str">
        <f t="shared" si="49"/>
        <v>17098.0435382914-1859728.72523898i</v>
      </c>
      <c r="AD147" s="192" t="str">
        <f t="shared" si="50"/>
        <v>9999.03800570106-91.9295297439351i</v>
      </c>
      <c r="AE147" s="192" t="str">
        <f t="shared" si="51"/>
        <v>-50.4397190527711+170.301108188134i</v>
      </c>
      <c r="AF147" s="296"/>
      <c r="AG147" s="296"/>
      <c r="AH147" s="296"/>
      <c r="AI147" s="296"/>
      <c r="AJ147" s="296"/>
      <c r="AK147" s="296"/>
      <c r="AL147" s="296"/>
      <c r="AM147" s="296"/>
      <c r="AN147" s="296"/>
      <c r="AO147" s="296"/>
      <c r="AP147" s="296"/>
      <c r="AQ147" s="296"/>
      <c r="AR147" s="296"/>
      <c r="AS147" s="296"/>
    </row>
    <row r="148" spans="1:45" s="192" customFormat="1" x14ac:dyDescent="0.2">
      <c r="A148" s="301">
        <f t="shared" si="52"/>
        <v>60.311999999999998</v>
      </c>
      <c r="B148" s="301">
        <f t="shared" si="53"/>
        <v>2.3600000000000012</v>
      </c>
      <c r="C148" s="303">
        <f t="shared" si="54"/>
        <v>229.08676527677804</v>
      </c>
      <c r="D148" s="302">
        <f t="shared" si="28"/>
        <v>60.312039459664923</v>
      </c>
      <c r="E148" s="301">
        <f t="shared" si="29"/>
        <v>104.78163685243618</v>
      </c>
      <c r="G148" s="303"/>
      <c r="H148" s="315" t="str">
        <f t="shared" si="30"/>
        <v>1E+47-6.94736524388947E+52i</v>
      </c>
      <c r="I148" s="301" t="str">
        <f t="shared" si="31"/>
        <v>0.002-0.64267948602123i</v>
      </c>
      <c r="J148" s="301" t="str">
        <f t="shared" si="32"/>
        <v>0.00200000000000001-0.64267948602123i</v>
      </c>
      <c r="K148" s="301"/>
      <c r="L148" s="301" t="str">
        <f t="shared" si="33"/>
        <v>0.0256700006904663-0.00102694605374587i</v>
      </c>
      <c r="M148" s="301" t="str">
        <f t="shared" si="34"/>
        <v>0.003+0.000431818379296905i</v>
      </c>
      <c r="N148" s="301" t="str">
        <f t="shared" si="35"/>
        <v>0.895718588862815-0.0172263383711555i</v>
      </c>
      <c r="O148" s="316">
        <f t="shared" si="36"/>
        <v>-0.95496225084032549</v>
      </c>
      <c r="P148" s="316">
        <f t="shared" si="37"/>
        <v>-1.1017688360801505</v>
      </c>
      <c r="Q148" s="301">
        <f t="shared" si="38"/>
        <v>1439.3945976563505</v>
      </c>
      <c r="R148" s="301">
        <f t="shared" si="55"/>
        <v>2.3600000000000012</v>
      </c>
      <c r="S148" s="308">
        <f t="shared" si="39"/>
        <v>15.695216003284401</v>
      </c>
      <c r="T148" s="301" t="str">
        <f t="shared" si="40"/>
        <v>1+0.0109576508907704i</v>
      </c>
      <c r="U148" s="303">
        <f t="shared" si="41"/>
        <v>44.616823456380523</v>
      </c>
      <c r="V148" s="301">
        <f t="shared" si="42"/>
        <v>105.88340568851633</v>
      </c>
      <c r="W148" s="301">
        <f t="shared" si="43"/>
        <v>59.998987133689006</v>
      </c>
      <c r="X148" s="303">
        <f t="shared" si="44"/>
        <v>-0.87629153192648324</v>
      </c>
      <c r="Y148" s="192" t="str">
        <f t="shared" si="45"/>
        <v>999.766456316982-15.291792910508i</v>
      </c>
      <c r="Z148" s="192" t="str">
        <f t="shared" si="46"/>
        <v>-14627898.7797286i</v>
      </c>
      <c r="AA148" s="192" t="str">
        <f t="shared" si="47"/>
        <v>22150.1592153998-2021433.19185837i</v>
      </c>
      <c r="AB148" s="192" t="str">
        <f t="shared" si="48"/>
        <v>1381.90263844297-1038717.39955047i</v>
      </c>
      <c r="AC148" s="192" t="str">
        <f t="shared" si="49"/>
        <v>17098.0408755138-1776029.14611096i</v>
      </c>
      <c r="AD148" s="192" t="str">
        <f t="shared" si="50"/>
        <v>9998.94520536894-96.2610181301269i</v>
      </c>
      <c r="AE148" s="192" t="str">
        <f t="shared" si="51"/>
        <v>-46.5677532774562+163.657251748641i</v>
      </c>
      <c r="AF148" s="296"/>
      <c r="AG148" s="296"/>
      <c r="AH148" s="296"/>
      <c r="AI148" s="296"/>
      <c r="AJ148" s="296"/>
      <c r="AK148" s="296"/>
      <c r="AL148" s="296"/>
      <c r="AM148" s="296"/>
      <c r="AN148" s="296"/>
      <c r="AO148" s="296"/>
      <c r="AP148" s="296"/>
      <c r="AQ148" s="296"/>
      <c r="AR148" s="296"/>
      <c r="AS148" s="296"/>
    </row>
    <row r="149" spans="1:45" s="192" customFormat="1" x14ac:dyDescent="0.2">
      <c r="A149" s="301">
        <f t="shared" si="52"/>
        <v>59.936999999999998</v>
      </c>
      <c r="B149" s="301">
        <f t="shared" si="53"/>
        <v>2.3800000000000012</v>
      </c>
      <c r="C149" s="303">
        <f t="shared" si="54"/>
        <v>239.88329190194978</v>
      </c>
      <c r="D149" s="302">
        <f t="shared" si="28"/>
        <v>59.937435912743695</v>
      </c>
      <c r="E149" s="301">
        <f t="shared" si="29"/>
        <v>104.14324250080988</v>
      </c>
      <c r="G149" s="303"/>
      <c r="H149" s="315" t="str">
        <f t="shared" si="30"/>
        <v>1E+47-6.63468230029746E+52i</v>
      </c>
      <c r="I149" s="301" t="str">
        <f t="shared" si="31"/>
        <v>0.002-0.613754144338342i</v>
      </c>
      <c r="J149" s="301" t="str">
        <f t="shared" si="32"/>
        <v>0.002-0.613754144338342i</v>
      </c>
      <c r="K149" s="301"/>
      <c r="L149" s="301" t="str">
        <f t="shared" si="33"/>
        <v>0.0256657368452581-0.00107515199474533i</v>
      </c>
      <c r="M149" s="301" t="str">
        <f t="shared" si="34"/>
        <v>0.003+0.000452169352534861i</v>
      </c>
      <c r="N149" s="301" t="str">
        <f t="shared" si="35"/>
        <v>0.895737494652662-0.018039762465941i</v>
      </c>
      <c r="O149" s="316">
        <f t="shared" si="36"/>
        <v>-0.95462377556606082</v>
      </c>
      <c r="P149" s="316">
        <f t="shared" si="37"/>
        <v>-1.1537560380805021</v>
      </c>
      <c r="Q149" s="301">
        <f t="shared" si="38"/>
        <v>1507.2311751162026</v>
      </c>
      <c r="R149" s="301">
        <f t="shared" si="55"/>
        <v>2.3800000000000012</v>
      </c>
      <c r="S149" s="308">
        <f t="shared" si="39"/>
        <v>15.695554478558666</v>
      </c>
      <c r="T149" s="301" t="str">
        <f t="shared" si="40"/>
        <v>1+0.0114740690673011i</v>
      </c>
      <c r="U149" s="303">
        <f t="shared" si="41"/>
        <v>44.241881434185032</v>
      </c>
      <c r="V149" s="301">
        <f t="shared" si="42"/>
        <v>105.29699853889038</v>
      </c>
      <c r="W149" s="301">
        <f t="shared" si="43"/>
        <v>59.998889426667681</v>
      </c>
      <c r="X149" s="303">
        <f t="shared" si="44"/>
        <v>-0.91758300834642015</v>
      </c>
      <c r="Y149" s="192" t="str">
        <f t="shared" si="45"/>
        <v>999.743930204802-16.0121126649445i</v>
      </c>
      <c r="Z149" s="192" t="str">
        <f t="shared" si="46"/>
        <v>-13969534.8837128i</v>
      </c>
      <c r="AA149" s="192" t="str">
        <f t="shared" si="47"/>
        <v>22150.1592153998-1930453.71136239i</v>
      </c>
      <c r="AB149" s="192" t="str">
        <f t="shared" si="48"/>
        <v>1381.90263844297-991967.415542168i</v>
      </c>
      <c r="AC149" s="192" t="str">
        <f t="shared" si="49"/>
        <v>17098.0379558371-1696096.76291754i</v>
      </c>
      <c r="AD149" s="192" t="str">
        <f t="shared" si="50"/>
        <v>9998.84345408163-100.796492647202i</v>
      </c>
      <c r="AE149" s="192" t="str">
        <f t="shared" si="51"/>
        <v>-42.9938104616718+157.191254703599i</v>
      </c>
      <c r="AF149" s="296"/>
      <c r="AG149" s="296"/>
      <c r="AH149" s="296"/>
      <c r="AI149" s="296"/>
      <c r="AJ149" s="296"/>
      <c r="AK149" s="296"/>
      <c r="AL149" s="296"/>
      <c r="AM149" s="296"/>
      <c r="AN149" s="296"/>
      <c r="AO149" s="296"/>
      <c r="AP149" s="296"/>
      <c r="AQ149" s="296"/>
      <c r="AR149" s="296"/>
      <c r="AS149" s="296"/>
    </row>
    <row r="150" spans="1:45" s="192" customFormat="1" x14ac:dyDescent="0.2">
      <c r="A150" s="301">
        <f t="shared" si="52"/>
        <v>59.561</v>
      </c>
      <c r="B150" s="301">
        <f t="shared" si="53"/>
        <v>2.4000000000000017</v>
      </c>
      <c r="C150" s="303">
        <f t="shared" si="54"/>
        <v>251.18864315095894</v>
      </c>
      <c r="D150" s="302">
        <f t="shared" si="28"/>
        <v>59.560804225756009</v>
      </c>
      <c r="E150" s="301">
        <f t="shared" si="29"/>
        <v>103.5301824901004</v>
      </c>
      <c r="G150" s="303"/>
      <c r="H150" s="315" t="str">
        <f t="shared" si="30"/>
        <v>1E+47-6.33607240739172E+52i</v>
      </c>
      <c r="I150" s="301" t="str">
        <f t="shared" si="31"/>
        <v>0.002-0.586130657483043i</v>
      </c>
      <c r="J150" s="301" t="str">
        <f t="shared" si="32"/>
        <v>0.002-0.586130657483044i</v>
      </c>
      <c r="K150" s="301"/>
      <c r="L150" s="301" t="str">
        <f t="shared" si="33"/>
        <v>0.0256610633865209-0.00112560136989072i</v>
      </c>
      <c r="M150" s="301" t="str">
        <f t="shared" si="34"/>
        <v>0.003+0.000473479437592944i</v>
      </c>
      <c r="N150" s="301" t="str">
        <f t="shared" si="35"/>
        <v>0.895758219717633-0.018891755043237i</v>
      </c>
      <c r="O150" s="316">
        <f t="shared" si="36"/>
        <v>-0.95425265433019901</v>
      </c>
      <c r="P150" s="316">
        <f t="shared" si="37"/>
        <v>-1.2082025760266006</v>
      </c>
      <c r="Q150" s="301">
        <f t="shared" si="38"/>
        <v>1578.2647919764813</v>
      </c>
      <c r="R150" s="301">
        <f t="shared" si="55"/>
        <v>2.4000000000000012</v>
      </c>
      <c r="S150" s="308">
        <f t="shared" si="39"/>
        <v>15.695925599794528</v>
      </c>
      <c r="T150" s="301" t="str">
        <f t="shared" si="40"/>
        <v>1+0.0120148252826787i</v>
      </c>
      <c r="U150" s="303">
        <f t="shared" si="41"/>
        <v>43.864878625961481</v>
      </c>
      <c r="V150" s="301">
        <f t="shared" si="42"/>
        <v>104.73838506612699</v>
      </c>
      <c r="W150" s="301">
        <f t="shared" si="43"/>
        <v>59.998782295575666</v>
      </c>
      <c r="X150" s="303">
        <f t="shared" si="44"/>
        <v>-0.9608194743345474</v>
      </c>
      <c r="Y150" s="192" t="str">
        <f t="shared" si="45"/>
        <v>999.719231978887-16.7663266918123i</v>
      </c>
      <c r="Z150" s="192" t="str">
        <f t="shared" si="46"/>
        <v>-13340802.2441136i</v>
      </c>
      <c r="AA150" s="192" t="str">
        <f t="shared" si="47"/>
        <v>22150.1592153998-1843568.98200865i</v>
      </c>
      <c r="AB150" s="192" t="str">
        <f t="shared" si="48"/>
        <v>1381.90263844297-947321.527417611i</v>
      </c>
      <c r="AC150" s="192" t="str">
        <f t="shared" si="49"/>
        <v>17098.0347544765-1619762.02835713i</v>
      </c>
      <c r="AD150" s="192" t="str">
        <f t="shared" si="50"/>
        <v>9998.73188872279-105.545544555995i</v>
      </c>
      <c r="AE150" s="192" t="str">
        <f t="shared" si="51"/>
        <v>-39.6982276616918+150.908675060823i</v>
      </c>
      <c r="AF150" s="296"/>
      <c r="AG150" s="296"/>
      <c r="AH150" s="296"/>
      <c r="AI150" s="296"/>
      <c r="AJ150" s="296"/>
      <c r="AK150" s="296"/>
      <c r="AL150" s="296"/>
      <c r="AM150" s="296"/>
      <c r="AN150" s="296"/>
      <c r="AO150" s="296"/>
      <c r="AP150" s="296"/>
      <c r="AQ150" s="296"/>
      <c r="AR150" s="296"/>
      <c r="AS150" s="296"/>
    </row>
    <row r="151" spans="1:45" s="192" customFormat="1" x14ac:dyDescent="0.2">
      <c r="A151" s="301">
        <f t="shared" si="52"/>
        <v>59.182000000000002</v>
      </c>
      <c r="B151" s="301">
        <f t="shared" si="53"/>
        <v>2.4200000000000017</v>
      </c>
      <c r="C151" s="303">
        <f t="shared" si="54"/>
        <v>263.02679918953913</v>
      </c>
      <c r="D151" s="302">
        <f t="shared" si="28"/>
        <v>59.182310595346493</v>
      </c>
      <c r="E151" s="301">
        <f t="shared" si="29"/>
        <v>102.94171623869262</v>
      </c>
      <c r="G151" s="303"/>
      <c r="H151" s="315" t="str">
        <f t="shared" si="30"/>
        <v>1E+47-6.05090217355407E+52i</v>
      </c>
      <c r="I151" s="301" t="str">
        <f t="shared" si="31"/>
        <v>0.002-0.559750432336179i</v>
      </c>
      <c r="J151" s="301" t="str">
        <f t="shared" si="32"/>
        <v>0.002-0.55975043233618i</v>
      </c>
      <c r="K151" s="301"/>
      <c r="L151" s="301" t="str">
        <f t="shared" si="33"/>
        <v>0.0256559411491214-0.0011783957166306i</v>
      </c>
      <c r="M151" s="301" t="str">
        <f t="shared" si="34"/>
        <v>0.003+0.000495793836018656i</v>
      </c>
      <c r="N151" s="301" t="str">
        <f t="shared" si="35"/>
        <v>0.895780938621028-0.0197841683287005i</v>
      </c>
      <c r="O151" s="316">
        <f t="shared" si="36"/>
        <v>-0.95384573944118212</v>
      </c>
      <c r="P151" s="316">
        <f t="shared" si="37"/>
        <v>-1.2652257270946246</v>
      </c>
      <c r="Q151" s="301">
        <f t="shared" si="38"/>
        <v>1652.6461200621877</v>
      </c>
      <c r="R151" s="301">
        <f t="shared" si="55"/>
        <v>2.4200000000000013</v>
      </c>
      <c r="S151" s="308">
        <f t="shared" si="39"/>
        <v>15.696332514683544</v>
      </c>
      <c r="T151" s="301" t="str">
        <f t="shared" si="40"/>
        <v>1+0.0125810665533366i</v>
      </c>
      <c r="U151" s="303">
        <f t="shared" si="41"/>
        <v>43.485978080662953</v>
      </c>
      <c r="V151" s="301">
        <f t="shared" si="42"/>
        <v>104.20694196578725</v>
      </c>
      <c r="W151" s="301">
        <f t="shared" si="43"/>
        <v>59.998664831706478</v>
      </c>
      <c r="X151" s="303">
        <f t="shared" si="44"/>
        <v>-1.0060924436978065</v>
      </c>
      <c r="Y151" s="192" t="str">
        <f t="shared" si="45"/>
        <v>999.692152313142-17.556024479756i</v>
      </c>
      <c r="Z151" s="192" t="str">
        <f t="shared" si="46"/>
        <v>-12740367.2347066i</v>
      </c>
      <c r="AA151" s="192" t="str">
        <f t="shared" si="47"/>
        <v>22150.1592153998-1760594.70963735i</v>
      </c>
      <c r="AB151" s="192" t="str">
        <f t="shared" si="48"/>
        <v>1381.90263844297-904685.035262325i</v>
      </c>
      <c r="AC151" s="192" t="str">
        <f t="shared" si="49"/>
        <v>17098.0312442556-1546863.02622324i</v>
      </c>
      <c r="AD151" s="192" t="str">
        <f t="shared" si="50"/>
        <v>9998.60956299637-110.518213836054i</v>
      </c>
      <c r="AE151" s="192" t="str">
        <f t="shared" si="51"/>
        <v>-36.6621073318335+144.813455859042i</v>
      </c>
      <c r="AF151" s="296"/>
      <c r="AG151" s="296"/>
      <c r="AH151" s="296"/>
      <c r="AI151" s="296"/>
      <c r="AJ151" s="296"/>
      <c r="AK151" s="296"/>
      <c r="AL151" s="296"/>
      <c r="AM151" s="296"/>
      <c r="AN151" s="296"/>
      <c r="AO151" s="296"/>
      <c r="AP151" s="296"/>
      <c r="AQ151" s="296"/>
      <c r="AR151" s="296"/>
      <c r="AS151" s="296"/>
    </row>
    <row r="152" spans="1:45" s="192" customFormat="1" x14ac:dyDescent="0.2">
      <c r="A152" s="301">
        <f t="shared" si="52"/>
        <v>58.802</v>
      </c>
      <c r="B152" s="301">
        <f t="shared" si="53"/>
        <v>2.4400000000000013</v>
      </c>
      <c r="C152" s="303">
        <f t="shared" si="54"/>
        <v>275.42287033381757</v>
      </c>
      <c r="D152" s="302">
        <f t="shared" si="28"/>
        <v>58.802110461877817</v>
      </c>
      <c r="E152" s="301">
        <f t="shared" si="29"/>
        <v>102.3770900501117</v>
      </c>
      <c r="G152" s="303"/>
      <c r="H152" s="315" t="str">
        <f t="shared" si="30"/>
        <v>1E+47-5.77856671448514E+52i</v>
      </c>
      <c r="I152" s="301" t="str">
        <f t="shared" si="31"/>
        <v>0.002-0.534557512903342i</v>
      </c>
      <c r="J152" s="301" t="str">
        <f t="shared" si="32"/>
        <v>0.002-0.534557512903342i</v>
      </c>
      <c r="K152" s="301"/>
      <c r="L152" s="301" t="str">
        <f t="shared" si="33"/>
        <v>0.0256503272604784-0.00123364074213751i</v>
      </c>
      <c r="M152" s="301" t="str">
        <f t="shared" si="34"/>
        <v>0.003+0.000519159879642801i</v>
      </c>
      <c r="N152" s="301" t="str">
        <f t="shared" si="35"/>
        <v>0.895805842573439-0.0207189469673767i</v>
      </c>
      <c r="O152" s="316">
        <f t="shared" si="36"/>
        <v>-0.95339957991651625</v>
      </c>
      <c r="P152" s="316">
        <f t="shared" si="37"/>
        <v>-1.3249484991623026</v>
      </c>
      <c r="Q152" s="301">
        <f t="shared" si="38"/>
        <v>1730.5329321426709</v>
      </c>
      <c r="R152" s="301">
        <f t="shared" si="55"/>
        <v>2.4400000000000013</v>
      </c>
      <c r="S152" s="308">
        <f t="shared" si="39"/>
        <v>15.696778674208209</v>
      </c>
      <c r="T152" s="301" t="str">
        <f t="shared" si="40"/>
        <v>1+0.0131739939529271i</v>
      </c>
      <c r="U152" s="303">
        <f t="shared" si="41"/>
        <v>43.105331787669606</v>
      </c>
      <c r="V152" s="301">
        <f t="shared" si="42"/>
        <v>103.70203854927401</v>
      </c>
      <c r="W152" s="301">
        <f t="shared" si="43"/>
        <v>59.998536038786568</v>
      </c>
      <c r="X152" s="303">
        <f t="shared" si="44"/>
        <v>-1.0534977208401146</v>
      </c>
      <c r="Y152" s="192" t="str">
        <f t="shared" si="45"/>
        <v>999.662461733675-18.3828692587231i</v>
      </c>
      <c r="Z152" s="192" t="str">
        <f t="shared" si="46"/>
        <v>-12166956.2523352i</v>
      </c>
      <c r="AA152" s="192" t="str">
        <f t="shared" si="47"/>
        <v>22150.1592153998-1681354.89469223i</v>
      </c>
      <c r="AB152" s="192" t="str">
        <f t="shared" si="48"/>
        <v>1381.90263844297-863967.501360061i</v>
      </c>
      <c r="AC152" s="192" t="str">
        <f t="shared" si="49"/>
        <v>17098.0273953767-1477245.12795846i</v>
      </c>
      <c r="AD152" s="192" t="str">
        <f t="shared" si="50"/>
        <v>9998.47543942011-115.725009844144i</v>
      </c>
      <c r="AE152" s="192" t="str">
        <f t="shared" si="51"/>
        <v>-33.8673817957342+138.908104486464i</v>
      </c>
      <c r="AF152" s="296"/>
      <c r="AG152" s="296"/>
      <c r="AH152" s="296"/>
      <c r="AI152" s="296"/>
      <c r="AJ152" s="296"/>
      <c r="AK152" s="296"/>
      <c r="AL152" s="296"/>
      <c r="AM152" s="296"/>
      <c r="AN152" s="296"/>
      <c r="AO152" s="296"/>
      <c r="AP152" s="296"/>
      <c r="AQ152" s="296"/>
      <c r="AR152" s="296"/>
      <c r="AS152" s="296"/>
    </row>
    <row r="153" spans="1:45" s="192" customFormat="1" x14ac:dyDescent="0.2">
      <c r="A153" s="301">
        <f t="shared" si="52"/>
        <v>58.42</v>
      </c>
      <c r="B153" s="301">
        <f t="shared" si="53"/>
        <v>2.4600000000000013</v>
      </c>
      <c r="C153" s="303">
        <f t="shared" si="54"/>
        <v>288.40315031266152</v>
      </c>
      <c r="D153" s="302">
        <f t="shared" si="28"/>
        <v>58.420349061628649</v>
      </c>
      <c r="E153" s="301">
        <f t="shared" si="29"/>
        <v>101.83554243485662</v>
      </c>
      <c r="G153" s="303"/>
      <c r="H153" s="315" t="str">
        <f t="shared" si="30"/>
        <v>1E+47-5.51848837016355E+52i</v>
      </c>
      <c r="I153" s="301" t="str">
        <f t="shared" si="31"/>
        <v>0.002-0.510498461624752i</v>
      </c>
      <c r="J153" s="301" t="str">
        <f t="shared" si="32"/>
        <v>0.00199999999999999-0.510498461624752i</v>
      </c>
      <c r="K153" s="301"/>
      <c r="L153" s="301" t="str">
        <f t="shared" si="33"/>
        <v>0.0256441747971384-0.00129144643004041i</v>
      </c>
      <c r="M153" s="301" t="str">
        <f t="shared" si="34"/>
        <v>0.003+0.000543627130976646i</v>
      </c>
      <c r="N153" s="301" t="str">
        <f t="shared" si="35"/>
        <v>0.895833140999347-0.0216981331409233i</v>
      </c>
      <c r="O153" s="316">
        <f t="shared" si="36"/>
        <v>-0.95291039230180219</v>
      </c>
      <c r="P153" s="316">
        <f t="shared" si="37"/>
        <v>-1.3874999311288922</v>
      </c>
      <c r="Q153" s="301">
        <f t="shared" si="38"/>
        <v>1812.0904365888205</v>
      </c>
      <c r="R153" s="301">
        <f t="shared" si="55"/>
        <v>2.4600000000000013</v>
      </c>
      <c r="S153" s="308">
        <f t="shared" si="39"/>
        <v>15.697267861822922</v>
      </c>
      <c r="T153" s="301" t="str">
        <f t="shared" si="40"/>
        <v>1+0.0137948651599599i</v>
      </c>
      <c r="U153" s="303">
        <f t="shared" si="41"/>
        <v>42.723081199805726</v>
      </c>
      <c r="V153" s="301">
        <f t="shared" si="42"/>
        <v>103.22304236598551</v>
      </c>
      <c r="W153" s="301">
        <f t="shared" si="43"/>
        <v>59.99839482454788</v>
      </c>
      <c r="X153" s="303">
        <f t="shared" si="44"/>
        <v>-1.1031355996697267</v>
      </c>
      <c r="Y153" s="192" t="str">
        <f t="shared" si="45"/>
        <v>999.629908684588-19.2486013024336i</v>
      </c>
      <c r="Z153" s="192" t="str">
        <f t="shared" si="46"/>
        <v>-11619353.0154273i</v>
      </c>
      <c r="AA153" s="192" t="str">
        <f t="shared" si="47"/>
        <v>22150.1592153998-1605681.45890193i</v>
      </c>
      <c r="AB153" s="192" t="str">
        <f t="shared" si="48"/>
        <v>1381.90263844297-825082.558362323i</v>
      </c>
      <c r="AC153" s="192" t="str">
        <f t="shared" si="49"/>
        <v>17098.0231751669-1410760.6646666i</v>
      </c>
      <c r="AD153" s="192" t="str">
        <f t="shared" si="50"/>
        <v>9998.32838055051-121.176932873998i</v>
      </c>
      <c r="AE153" s="192" t="str">
        <f t="shared" si="51"/>
        <v>-31.2968563603312+133.193861981876i</v>
      </c>
      <c r="AF153" s="296"/>
      <c r="AG153" s="296"/>
      <c r="AH153" s="296"/>
      <c r="AI153" s="296"/>
      <c r="AJ153" s="296"/>
      <c r="AK153" s="296"/>
      <c r="AL153" s="296"/>
      <c r="AM153" s="296"/>
      <c r="AN153" s="296"/>
      <c r="AO153" s="296"/>
      <c r="AP153" s="296"/>
      <c r="AQ153" s="296"/>
      <c r="AR153" s="296"/>
      <c r="AS153" s="296"/>
    </row>
    <row r="154" spans="1:45" s="192" customFormat="1" x14ac:dyDescent="0.2">
      <c r="A154" s="301">
        <f t="shared" si="52"/>
        <v>58.036999999999999</v>
      </c>
      <c r="B154" s="301">
        <f t="shared" si="53"/>
        <v>2.4800000000000018</v>
      </c>
      <c r="C154" s="303">
        <f t="shared" si="54"/>
        <v>301.99517204020276</v>
      </c>
      <c r="D154" s="302">
        <f t="shared" si="28"/>
        <v>58.037162002983543</v>
      </c>
      <c r="E154" s="301">
        <f t="shared" si="29"/>
        <v>101.31630877347455</v>
      </c>
      <c r="G154" s="303"/>
      <c r="H154" s="315" t="str">
        <f t="shared" si="30"/>
        <v>1E+47-5.27011547955172E+52i</v>
      </c>
      <c r="I154" s="301" t="str">
        <f t="shared" si="31"/>
        <v>0.002-0.487522246026985i</v>
      </c>
      <c r="J154" s="301" t="str">
        <f t="shared" si="32"/>
        <v>0.002-0.487522246026986i</v>
      </c>
      <c r="K154" s="301"/>
      <c r="L154" s="301" t="str">
        <f t="shared" si="33"/>
        <v>0.0256374324110622-0.00135192713925061i</v>
      </c>
      <c r="M154" s="301" t="str">
        <f t="shared" si="34"/>
        <v>0.003+0.000569247488340652i</v>
      </c>
      <c r="N154" s="301" t="str">
        <f t="shared" si="35"/>
        <v>0.895863063246798-0.0227238720393838i</v>
      </c>
      <c r="O154" s="316">
        <f t="shared" si="36"/>
        <v>-0.95237402869084908</v>
      </c>
      <c r="P154" s="316">
        <f t="shared" si="37"/>
        <v>-1.4530154118889274</v>
      </c>
      <c r="Q154" s="301">
        <f t="shared" si="38"/>
        <v>1897.4916278021733</v>
      </c>
      <c r="R154" s="301">
        <f t="shared" si="55"/>
        <v>2.4800000000000013</v>
      </c>
      <c r="S154" s="308">
        <f t="shared" si="39"/>
        <v>15.697804225433876</v>
      </c>
      <c r="T154" s="301" t="str">
        <f t="shared" si="40"/>
        <v>1+0.0144449971255067i</v>
      </c>
      <c r="U154" s="303">
        <f t="shared" si="41"/>
        <v>42.339357777549665</v>
      </c>
      <c r="V154" s="301">
        <f t="shared" si="42"/>
        <v>102.76932418536347</v>
      </c>
      <c r="W154" s="301">
        <f t="shared" si="43"/>
        <v>59.998239991491509</v>
      </c>
      <c r="X154" s="303">
        <f t="shared" si="44"/>
        <v>-1.1551110713924257</v>
      </c>
      <c r="Y154" s="192" t="str">
        <f t="shared" si="45"/>
        <v>999.594217409104-20.1550413609667i</v>
      </c>
      <c r="Z154" s="192" t="str">
        <f t="shared" si="46"/>
        <v>-11096395.9840989i</v>
      </c>
      <c r="AA154" s="192" t="str">
        <f t="shared" si="47"/>
        <v>22150.1592153998-1533413.88876343i</v>
      </c>
      <c r="AB154" s="192" t="str">
        <f t="shared" si="48"/>
        <v>1381.90263844297-787947.726091618i</v>
      </c>
      <c r="AC154" s="192" t="str">
        <f t="shared" si="49"/>
        <v>17098.0185478013-1347268.61388712i</v>
      </c>
      <c r="AD154" s="192" t="str">
        <f t="shared" si="50"/>
        <v>9998.16713936563-126.885496649159i</v>
      </c>
      <c r="AE154" s="192" t="str">
        <f t="shared" si="51"/>
        <v>-28.9342342670607+127.670861194138i</v>
      </c>
      <c r="AF154" s="296"/>
      <c r="AG154" s="296"/>
      <c r="AH154" s="296"/>
      <c r="AI154" s="296"/>
      <c r="AJ154" s="296"/>
      <c r="AK154" s="296"/>
      <c r="AL154" s="296"/>
      <c r="AM154" s="296"/>
      <c r="AN154" s="296"/>
      <c r="AO154" s="296"/>
      <c r="AP154" s="296"/>
      <c r="AQ154" s="296"/>
      <c r="AR154" s="296"/>
      <c r="AS154" s="296"/>
    </row>
    <row r="155" spans="1:45" s="192" customFormat="1" x14ac:dyDescent="0.2">
      <c r="A155" s="301">
        <f t="shared" si="52"/>
        <v>57.652999999999999</v>
      </c>
      <c r="B155" s="301">
        <f t="shared" si="53"/>
        <v>2.5000000000000018</v>
      </c>
      <c r="C155" s="303">
        <f t="shared" si="54"/>
        <v>316.2277660168391</v>
      </c>
      <c r="D155" s="302">
        <f t="shared" si="28"/>
        <v>57.652675856908516</v>
      </c>
      <c r="E155" s="301">
        <f t="shared" si="29"/>
        <v>100.81862536554134</v>
      </c>
      <c r="G155" s="303"/>
      <c r="H155" s="315" t="str">
        <f t="shared" si="30"/>
        <v>1E+47-5.03292121044868E+52i</v>
      </c>
      <c r="I155" s="301" t="str">
        <f t="shared" si="31"/>
        <v>0.002-0.46558013047629i</v>
      </c>
      <c r="J155" s="301" t="str">
        <f t="shared" si="32"/>
        <v>0.002-0.465580130476289i</v>
      </c>
      <c r="K155" s="301"/>
      <c r="L155" s="301" t="str">
        <f t="shared" si="33"/>
        <v>0.0256300439232662-0.00141520169268494i</v>
      </c>
      <c r="M155" s="301" t="str">
        <f t="shared" si="34"/>
        <v>0.003+0.000596075295947768i</v>
      </c>
      <c r="N155" s="301" t="str">
        <f t="shared" si="35"/>
        <v>0.895895860452316-0.0237984177211544i</v>
      </c>
      <c r="O155" s="316">
        <f t="shared" si="36"/>
        <v>-0.95178594168018971</v>
      </c>
      <c r="P155" s="316">
        <f t="shared" si="37"/>
        <v>-1.5216370195105235</v>
      </c>
      <c r="Q155" s="301">
        <f t="shared" si="38"/>
        <v>1986.9176531592275</v>
      </c>
      <c r="R155" s="301">
        <f t="shared" si="55"/>
        <v>2.5000000000000013</v>
      </c>
      <c r="S155" s="308">
        <f t="shared" si="39"/>
        <v>15.698392312444538</v>
      </c>
      <c r="T155" s="301" t="str">
        <f t="shared" si="40"/>
        <v>1+0.0151257688666313i</v>
      </c>
      <c r="U155" s="303">
        <f t="shared" si="41"/>
        <v>41.954283544463976</v>
      </c>
      <c r="V155" s="301">
        <f t="shared" si="42"/>
        <v>102.34026238505186</v>
      </c>
      <c r="W155" s="301">
        <f t="shared" si="43"/>
        <v>59.998070226765485</v>
      </c>
      <c r="X155" s="303">
        <f t="shared" si="44"/>
        <v>-1.2095340415375533</v>
      </c>
      <c r="Y155" s="192" t="str">
        <f t="shared" si="45"/>
        <v>999.55508562861-21.1040942258438i</v>
      </c>
      <c r="Z155" s="192" t="str">
        <f t="shared" si="46"/>
        <v>-10596975.8963725i</v>
      </c>
      <c r="AA155" s="192" t="str">
        <f t="shared" si="47"/>
        <v>22150.1592153998-1464398.89507137i</v>
      </c>
      <c r="AB155" s="192" t="str">
        <f t="shared" si="48"/>
        <v>1381.90263844297-752484.236589941i</v>
      </c>
      <c r="AC155" s="192" t="str">
        <f t="shared" si="49"/>
        <v>17098.0134739985-1286634.30046756i</v>
      </c>
      <c r="AD155" s="192" t="str">
        <f t="shared" si="50"/>
        <v>9997.99034872557-132.862751780592i</v>
      </c>
      <c r="AE155" s="192" t="str">
        <f t="shared" si="51"/>
        <v>-26.7641264248673+122.338273163136i</v>
      </c>
      <c r="AF155" s="296"/>
      <c r="AG155" s="296"/>
      <c r="AH155" s="296"/>
      <c r="AI155" s="296"/>
      <c r="AJ155" s="296"/>
      <c r="AK155" s="296"/>
      <c r="AL155" s="296"/>
      <c r="AM155" s="296"/>
      <c r="AN155" s="296"/>
      <c r="AO155" s="296"/>
      <c r="AP155" s="296"/>
      <c r="AQ155" s="296"/>
      <c r="AR155" s="296"/>
      <c r="AS155" s="296"/>
    </row>
    <row r="156" spans="1:45" s="192" customFormat="1" x14ac:dyDescent="0.2">
      <c r="A156" s="301">
        <f t="shared" si="52"/>
        <v>57.267000000000003</v>
      </c>
      <c r="B156" s="301">
        <f t="shared" si="53"/>
        <v>2.5200000000000014</v>
      </c>
      <c r="C156" s="303">
        <f t="shared" si="54"/>
        <v>331.13112148259222</v>
      </c>
      <c r="D156" s="302">
        <f t="shared" si="28"/>
        <v>57.2670087537361</v>
      </c>
      <c r="E156" s="301">
        <f t="shared" si="29"/>
        <v>100.34173291079014</v>
      </c>
      <c r="G156" s="303"/>
      <c r="H156" s="315" t="str">
        <f t="shared" si="30"/>
        <v>1E+47-4.80640244200853E+52i</v>
      </c>
      <c r="I156" s="301" t="str">
        <f t="shared" si="31"/>
        <v>0.002-0.444625572803748i</v>
      </c>
      <c r="J156" s="301" t="str">
        <f t="shared" si="32"/>
        <v>0.002-0.444625572803749i</v>
      </c>
      <c r="K156" s="301"/>
      <c r="L156" s="301" t="str">
        <f t="shared" si="33"/>
        <v>0.0256219478823381-0.00148139345334014i</v>
      </c>
      <c r="M156" s="301" t="str">
        <f t="shared" si="34"/>
        <v>0.003+0.000624167459174797i</v>
      </c>
      <c r="N156" s="301" t="str">
        <f t="shared" si="35"/>
        <v>0.895931807574037-0.024924139398924i</v>
      </c>
      <c r="O156" s="316">
        <f t="shared" si="36"/>
        <v>-0.95114114596622834</v>
      </c>
      <c r="P156" s="316">
        <f t="shared" si="37"/>
        <v>-1.5935138823432535</v>
      </c>
      <c r="Q156" s="301">
        <f t="shared" si="38"/>
        <v>2080.5581972493219</v>
      </c>
      <c r="R156" s="301">
        <f t="shared" si="55"/>
        <v>2.5200000000000014</v>
      </c>
      <c r="S156" s="308">
        <f t="shared" si="39"/>
        <v>15.699037108158498</v>
      </c>
      <c r="T156" s="301" t="str">
        <f t="shared" si="40"/>
        <v>1+0.0158386243914691i</v>
      </c>
      <c r="U156" s="303">
        <f t="shared" si="41"/>
        <v>41.5679716455776</v>
      </c>
      <c r="V156" s="301">
        <f t="shared" si="42"/>
        <v>101.9352467931334</v>
      </c>
      <c r="W156" s="301">
        <f t="shared" si="43"/>
        <v>59.997884091071867</v>
      </c>
      <c r="X156" s="303">
        <f t="shared" si="44"/>
        <v>-1.2665195565689695</v>
      </c>
      <c r="Y156" s="192" t="str">
        <f t="shared" si="45"/>
        <v>999.512182000573-22.0977524295362i</v>
      </c>
      <c r="Z156" s="192" t="str">
        <f t="shared" si="46"/>
        <v>-10120033.4152836i</v>
      </c>
      <c r="AA156" s="192" t="str">
        <f t="shared" si="47"/>
        <v>22150.1592153998-1398490.08777114i</v>
      </c>
      <c r="AB156" s="192" t="str">
        <f t="shared" si="48"/>
        <v>1381.90263844297-718616.867041396i</v>
      </c>
      <c r="AC156" s="192" t="str">
        <f t="shared" si="49"/>
        <v>17098.0079106881-1228729.11089958i</v>
      </c>
      <c r="AD156" s="192" t="str">
        <f t="shared" si="50"/>
        <v>9997.79650982257-139.121310220481i</v>
      </c>
      <c r="AE156" s="192" t="str">
        <f t="shared" si="51"/>
        <v>-24.7720485934597+117.194441478066i</v>
      </c>
      <c r="AF156" s="296"/>
      <c r="AG156" s="296"/>
      <c r="AH156" s="296"/>
      <c r="AI156" s="296"/>
      <c r="AJ156" s="296"/>
      <c r="AK156" s="296"/>
      <c r="AL156" s="296"/>
      <c r="AM156" s="296"/>
      <c r="AN156" s="296"/>
      <c r="AO156" s="296"/>
      <c r="AP156" s="296"/>
      <c r="AQ156" s="296"/>
      <c r="AR156" s="296"/>
      <c r="AS156" s="296"/>
    </row>
    <row r="157" spans="1:45" s="192" customFormat="1" x14ac:dyDescent="0.2">
      <c r="A157" s="301">
        <f t="shared" si="52"/>
        <v>56.88</v>
      </c>
      <c r="B157" s="301">
        <f t="shared" si="53"/>
        <v>2.5400000000000014</v>
      </c>
      <c r="C157" s="303">
        <f t="shared" si="54"/>
        <v>346.73685045253279</v>
      </c>
      <c r="D157" s="302">
        <f t="shared" si="28"/>
        <v>56.880270979832019</v>
      </c>
      <c r="E157" s="301">
        <f t="shared" si="29"/>
        <v>99.884879468761739</v>
      </c>
      <c r="G157" s="303"/>
      <c r="H157" s="315" t="str">
        <f t="shared" si="30"/>
        <v>1E+47-4.59007869755347E+52i</v>
      </c>
      <c r="I157" s="301" t="str">
        <f t="shared" si="31"/>
        <v>0.002-0.424614125583114i</v>
      </c>
      <c r="J157" s="301" t="str">
        <f t="shared" si="32"/>
        <v>0.002-0.424614125583115i</v>
      </c>
      <c r="K157" s="301"/>
      <c r="L157" s="301" t="str">
        <f t="shared" si="33"/>
        <v>0.0256130770852466-0.00155063038477531i</v>
      </c>
      <c r="M157" s="301" t="str">
        <f t="shared" si="34"/>
        <v>0.003+0.000653583565266324i</v>
      </c>
      <c r="N157" s="301" t="str">
        <f t="shared" si="35"/>
        <v>0.895971205606882-0.0261035281940767i</v>
      </c>
      <c r="O157" s="316">
        <f t="shared" si="36"/>
        <v>-0.95043417626619375</v>
      </c>
      <c r="P157" s="316">
        <f t="shared" si="37"/>
        <v>-1.6688025639779012</v>
      </c>
      <c r="Q157" s="301">
        <f t="shared" si="38"/>
        <v>2178.6118842210794</v>
      </c>
      <c r="R157" s="301">
        <f t="shared" si="55"/>
        <v>2.5400000000000014</v>
      </c>
      <c r="S157" s="308">
        <f t="shared" si="39"/>
        <v>15.699744077858533</v>
      </c>
      <c r="T157" s="301" t="str">
        <f t="shared" si="40"/>
        <v>1+0.0165850757621626i</v>
      </c>
      <c r="U157" s="303">
        <f t="shared" si="41"/>
        <v>41.180526901973487</v>
      </c>
      <c r="V157" s="301">
        <f t="shared" si="42"/>
        <v>101.55368203273964</v>
      </c>
      <c r="W157" s="301">
        <f t="shared" si="43"/>
        <v>59.997680006511125</v>
      </c>
      <c r="X157" s="303">
        <f t="shared" si="44"/>
        <v>-1.3261880404381412</v>
      </c>
      <c r="Y157" s="192" t="str">
        <f t="shared" si="45"/>
        <v>999.465143334571-23.1381000807982i</v>
      </c>
      <c r="Z157" s="192" t="str">
        <f t="shared" si="46"/>
        <v>-9664556.88188499i</v>
      </c>
      <c r="AA157" s="192" t="str">
        <f t="shared" si="47"/>
        <v>22150.1592153998-1335547.66544591i</v>
      </c>
      <c r="AB157" s="192" t="str">
        <f t="shared" si="48"/>
        <v>1381.90263844297-686273.780214486i</v>
      </c>
      <c r="AC157" s="192" t="str">
        <f t="shared" si="49"/>
        <v>17098.0018106434-1173430.22051232i</v>
      </c>
      <c r="AD157" s="192" t="str">
        <f t="shared" si="50"/>
        <v>9997.58397952462-145.674370743017i</v>
      </c>
      <c r="AE157" s="192" t="str">
        <f t="shared" si="51"/>
        <v>-22.9444083989165+112.237004677498i</v>
      </c>
      <c r="AF157" s="296"/>
      <c r="AG157" s="296"/>
      <c r="AH157" s="296"/>
      <c r="AI157" s="296"/>
      <c r="AJ157" s="296"/>
      <c r="AK157" s="296"/>
      <c r="AL157" s="296"/>
      <c r="AM157" s="296"/>
      <c r="AN157" s="296"/>
      <c r="AO157" s="296"/>
      <c r="AP157" s="296"/>
      <c r="AQ157" s="296"/>
      <c r="AR157" s="296"/>
      <c r="AS157" s="296"/>
    </row>
    <row r="158" spans="1:45" s="192" customFormat="1" x14ac:dyDescent="0.2">
      <c r="A158" s="301">
        <f t="shared" si="52"/>
        <v>56.493000000000002</v>
      </c>
      <c r="B158" s="301">
        <f t="shared" si="53"/>
        <v>2.5600000000000018</v>
      </c>
      <c r="C158" s="303">
        <f t="shared" si="54"/>
        <v>363.07805477010277</v>
      </c>
      <c r="D158" s="302">
        <f t="shared" si="28"/>
        <v>56.492565569117907</v>
      </c>
      <c r="E158" s="301">
        <f t="shared" si="29"/>
        <v>99.447322942409059</v>
      </c>
      <c r="G158" s="303"/>
      <c r="H158" s="315" t="str">
        <f t="shared" si="30"/>
        <v>1E+47-4.3834911254185E+52i</v>
      </c>
      <c r="I158" s="301" t="str">
        <f t="shared" si="31"/>
        <v>0.002-0.40550334185185i</v>
      </c>
      <c r="J158" s="301" t="str">
        <f t="shared" si="32"/>
        <v>0.002-0.40550334185185i</v>
      </c>
      <c r="K158" s="301"/>
      <c r="L158" s="301" t="str">
        <f t="shared" si="33"/>
        <v>0.0256033580577629-0.00162304509260958i</v>
      </c>
      <c r="M158" s="301" t="str">
        <f t="shared" si="34"/>
        <v>0.003+0.000684386009727256i</v>
      </c>
      <c r="N158" s="301" t="str">
        <f t="shared" si="35"/>
        <v>0.896014383994436-0.0273392044074266i</v>
      </c>
      <c r="O158" s="316">
        <f t="shared" si="36"/>
        <v>-0.949659041214027</v>
      </c>
      <c r="P158" s="316">
        <f t="shared" si="37"/>
        <v>-1.7476674742047829</v>
      </c>
      <c r="Q158" s="301">
        <f t="shared" si="38"/>
        <v>2281.2866990908547</v>
      </c>
      <c r="R158" s="301">
        <f t="shared" si="55"/>
        <v>2.5600000000000014</v>
      </c>
      <c r="S158" s="308">
        <f t="shared" si="39"/>
        <v>15.700519212910699</v>
      </c>
      <c r="T158" s="301" t="str">
        <f t="shared" si="40"/>
        <v>1+0.0173667063021475i</v>
      </c>
      <c r="U158" s="303">
        <f t="shared" si="41"/>
        <v>40.792046356207209</v>
      </c>
      <c r="V158" s="301">
        <f t="shared" si="42"/>
        <v>101.19499041661385</v>
      </c>
      <c r="W158" s="301">
        <f t="shared" si="43"/>
        <v>59.997456243262405</v>
      </c>
      <c r="X158" s="303">
        <f t="shared" si="44"/>
        <v>-1.3886655414388906</v>
      </c>
      <c r="Y158" s="192" t="str">
        <f t="shared" si="45"/>
        <v>999.413571543789-24.2273168365598i</v>
      </c>
      <c r="Z158" s="192" t="str">
        <f t="shared" si="46"/>
        <v>-9229580.16938259i</v>
      </c>
      <c r="AA158" s="192" t="str">
        <f t="shared" si="47"/>
        <v>22150.1592153998-1275438.11877908i</v>
      </c>
      <c r="AB158" s="192" t="str">
        <f t="shared" si="48"/>
        <v>1381.90263844297-655386.372085737i</v>
      </c>
      <c r="AC158" s="192" t="str">
        <f t="shared" si="49"/>
        <v>17097.9951220825-1120620.33294492i</v>
      </c>
      <c r="AD158" s="192" t="str">
        <f t="shared" si="50"/>
        <v>9997.35095650763-152.535745482067i</v>
      </c>
      <c r="AE158" s="192" t="str">
        <f t="shared" si="51"/>
        <v>-21.2684842796717+107.463006991415i</v>
      </c>
      <c r="AF158" s="296"/>
      <c r="AG158" s="296"/>
      <c r="AH158" s="296"/>
      <c r="AI158" s="296"/>
      <c r="AJ158" s="296"/>
      <c r="AK158" s="296"/>
      <c r="AL158" s="296"/>
      <c r="AM158" s="296"/>
      <c r="AN158" s="296"/>
      <c r="AO158" s="296"/>
      <c r="AP158" s="296"/>
      <c r="AQ158" s="296"/>
      <c r="AR158" s="296"/>
      <c r="AS158" s="296"/>
    </row>
    <row r="159" spans="1:45" s="192" customFormat="1" x14ac:dyDescent="0.2">
      <c r="A159" s="301">
        <f t="shared" si="52"/>
        <v>56.103999999999999</v>
      </c>
      <c r="B159" s="301">
        <f t="shared" si="53"/>
        <v>2.5800000000000018</v>
      </c>
      <c r="C159" s="303">
        <f t="shared" si="54"/>
        <v>380.18939632056265</v>
      </c>
      <c r="D159" s="302">
        <f t="shared" si="28"/>
        <v>56.103988885637442</v>
      </c>
      <c r="E159" s="301">
        <f t="shared" si="29"/>
        <v>99.028333129275197</v>
      </c>
      <c r="G159" s="303"/>
      <c r="H159" s="315" t="str">
        <f t="shared" si="30"/>
        <v>1E+47-4.18620152566541E+52i</v>
      </c>
      <c r="I159" s="301" t="str">
        <f t="shared" si="31"/>
        <v>0.002-0.387252685075432i</v>
      </c>
      <c r="J159" s="301" t="str">
        <f t="shared" si="32"/>
        <v>0.002-0.387252685075432i</v>
      </c>
      <c r="K159" s="301"/>
      <c r="L159" s="301" t="str">
        <f t="shared" si="33"/>
        <v>0.0255927104917467-0.00169877484313518i</v>
      </c>
      <c r="M159" s="301" t="str">
        <f t="shared" si="34"/>
        <v>0.003+0.000716640128672051i</v>
      </c>
      <c r="N159" s="301" t="str">
        <f t="shared" si="35"/>
        <v>0.896061703252997-0.0286339253603039i</v>
      </c>
      <c r="O159" s="316">
        <f t="shared" si="36"/>
        <v>-0.94880917285016186</v>
      </c>
      <c r="P159" s="316">
        <f t="shared" si="37"/>
        <v>-1.8302813083727136</v>
      </c>
      <c r="Q159" s="301">
        <f t="shared" si="38"/>
        <v>2388.8004289068358</v>
      </c>
      <c r="R159" s="301">
        <f t="shared" si="55"/>
        <v>2.5800000000000014</v>
      </c>
      <c r="S159" s="308">
        <f t="shared" si="39"/>
        <v>15.701369081274564</v>
      </c>
      <c r="T159" s="301" t="str">
        <f t="shared" si="40"/>
        <v>1+0.0181851739545941i</v>
      </c>
      <c r="U159" s="303">
        <f t="shared" si="41"/>
        <v>40.402619804362878</v>
      </c>
      <c r="V159" s="301">
        <f t="shared" si="42"/>
        <v>100.85861443764792</v>
      </c>
      <c r="W159" s="301">
        <f t="shared" si="43"/>
        <v>59.997210904989451</v>
      </c>
      <c r="X159" s="303">
        <f t="shared" si="44"/>
        <v>-1.4540839897246274</v>
      </c>
      <c r="Y159" s="192" t="str">
        <f t="shared" si="45"/>
        <v>999.357030307257-25.3676820103256i</v>
      </c>
      <c r="Z159" s="192" t="str">
        <f t="shared" si="46"/>
        <v>-8814180.63385084i</v>
      </c>
      <c r="AA159" s="192" t="str">
        <f t="shared" si="47"/>
        <v>22150.1592153998-1218033.94736315i</v>
      </c>
      <c r="AB159" s="192" t="str">
        <f t="shared" si="48"/>
        <v>1381.90263844297-625889.126321364i</v>
      </c>
      <c r="AC159" s="192" t="str">
        <f t="shared" si="49"/>
        <v>17097.9877882275-1070187.43134517i</v>
      </c>
      <c r="AD159" s="192" t="str">
        <f t="shared" si="50"/>
        <v>9997.09546606082-159.71988755428i</v>
      </c>
      <c r="AE159" s="192" t="str">
        <f t="shared" si="51"/>
        <v>-19.7323981875365+102.868997898528i</v>
      </c>
      <c r="AF159" s="296"/>
      <c r="AG159" s="296"/>
      <c r="AH159" s="296"/>
      <c r="AI159" s="296"/>
      <c r="AJ159" s="296"/>
      <c r="AK159" s="296"/>
      <c r="AL159" s="296"/>
      <c r="AM159" s="296"/>
      <c r="AN159" s="296"/>
      <c r="AO159" s="296"/>
      <c r="AP159" s="296"/>
      <c r="AQ159" s="296"/>
      <c r="AR159" s="296"/>
      <c r="AS159" s="296"/>
    </row>
    <row r="160" spans="1:45" s="192" customFormat="1" x14ac:dyDescent="0.2">
      <c r="A160" s="301">
        <f t="shared" si="52"/>
        <v>55.715000000000003</v>
      </c>
      <c r="B160" s="301">
        <f t="shared" si="53"/>
        <v>2.6000000000000014</v>
      </c>
      <c r="C160" s="303">
        <f t="shared" si="54"/>
        <v>398.10717055349869</v>
      </c>
      <c r="D160" s="302">
        <f t="shared" si="28"/>
        <v>55.714631194428279</v>
      </c>
      <c r="E160" s="301">
        <f t="shared" si="29"/>
        <v>98.627193381454191</v>
      </c>
      <c r="G160" s="303"/>
      <c r="H160" s="315" t="str">
        <f t="shared" si="30"/>
        <v>1E+47-3.9977914206021E+52i</v>
      </c>
      <c r="I160" s="301" t="str">
        <f t="shared" si="31"/>
        <v>0.002-0.369823443163932i</v>
      </c>
      <c r="J160" s="301" t="str">
        <f t="shared" si="32"/>
        <v>0.002-0.369823443163933i</v>
      </c>
      <c r="K160" s="301"/>
      <c r="L160" s="301" t="str">
        <f t="shared" si="33"/>
        <v>0.0255810466364952-0.00177796155457418i</v>
      </c>
      <c r="M160" s="301" t="str">
        <f t="shared" si="34"/>
        <v>0.003+0.000750414337411374i</v>
      </c>
      <c r="N160" s="301" t="str">
        <f t="shared" si="35"/>
        <v>0.896113557824034-0.029990593867046i</v>
      </c>
      <c r="O160" s="316">
        <f t="shared" si="36"/>
        <v>-0.94787737128878224</v>
      </c>
      <c r="P160" s="316">
        <f t="shared" si="37"/>
        <v>-1.9168255178416136</v>
      </c>
      <c r="Q160" s="301">
        <f t="shared" si="38"/>
        <v>2501.3811247045805</v>
      </c>
      <c r="R160" s="301">
        <f t="shared" si="55"/>
        <v>2.6000000000000014</v>
      </c>
      <c r="S160" s="308">
        <f t="shared" si="39"/>
        <v>15.702300882835944</v>
      </c>
      <c r="T160" s="301" t="str">
        <f t="shared" si="40"/>
        <v>1+0.0190422147991272i</v>
      </c>
      <c r="U160" s="303">
        <f t="shared" si="41"/>
        <v>40.012330311592336</v>
      </c>
      <c r="V160" s="301">
        <f t="shared" si="42"/>
        <v>100.54401889929581</v>
      </c>
      <c r="W160" s="301">
        <f t="shared" si="43"/>
        <v>59.996941912851113</v>
      </c>
      <c r="X160" s="303">
        <f t="shared" si="44"/>
        <v>-1.5225814658473706</v>
      </c>
      <c r="Y160" s="192" t="str">
        <f t="shared" si="45"/>
        <v>999.295041415914-26.5615788160742i</v>
      </c>
      <c r="Z160" s="192" t="str">
        <f t="shared" si="46"/>
        <v>-8417477.15718127i</v>
      </c>
      <c r="AA160" s="192" t="str">
        <f t="shared" si="47"/>
        <v>22150.1592153998-1163213.38925423i</v>
      </c>
      <c r="AB160" s="192" t="str">
        <f t="shared" si="48"/>
        <v>1381.90263844297-597719.475308338i</v>
      </c>
      <c r="AC160" s="192" t="str">
        <f t="shared" si="49"/>
        <v>17097.9797468225-1022024.54076669i</v>
      </c>
      <c r="AD160" s="192" t="str">
        <f t="shared" si="50"/>
        <v>9996.81534343986-167.241919794447i</v>
      </c>
      <c r="AE160" s="192" t="str">
        <f t="shared" si="51"/>
        <v>-18.3250836119248+98.451121093539i</v>
      </c>
      <c r="AF160" s="296"/>
      <c r="AG160" s="296"/>
      <c r="AH160" s="296"/>
      <c r="AI160" s="296"/>
      <c r="AJ160" s="296"/>
      <c r="AK160" s="296"/>
      <c r="AL160" s="296"/>
      <c r="AM160" s="296"/>
      <c r="AN160" s="296"/>
      <c r="AO160" s="296"/>
      <c r="AP160" s="296"/>
      <c r="AQ160" s="296"/>
      <c r="AR160" s="296"/>
      <c r="AS160" s="296"/>
    </row>
    <row r="161" spans="1:45" s="192" customFormat="1" x14ac:dyDescent="0.2">
      <c r="A161" s="301">
        <f t="shared" si="52"/>
        <v>55.325000000000003</v>
      </c>
      <c r="B161" s="301">
        <f t="shared" si="53"/>
        <v>2.6200000000000019</v>
      </c>
      <c r="C161" s="303">
        <f t="shared" si="54"/>
        <v>416.8693834703372</v>
      </c>
      <c r="D161" s="302">
        <f t="shared" si="28"/>
        <v>55.324577218883263</v>
      </c>
      <c r="E161" s="301">
        <f t="shared" si="29"/>
        <v>98.243201912685137</v>
      </c>
      <c r="G161" s="303"/>
      <c r="H161" s="315" t="str">
        <f t="shared" si="30"/>
        <v>1E+47-3.81786116713511E+52i</v>
      </c>
      <c r="I161" s="301" t="str">
        <f t="shared" si="31"/>
        <v>0.002-0.353178646358474i</v>
      </c>
      <c r="J161" s="301" t="str">
        <f t="shared" si="32"/>
        <v>0.002-0.353178646358474i</v>
      </c>
      <c r="K161" s="301"/>
      <c r="L161" s="301" t="str">
        <f t="shared" si="33"/>
        <v>0.0255682706413555-0.00186075175586665i</v>
      </c>
      <c r="M161" s="301" t="str">
        <f t="shared" si="34"/>
        <v>0.003+0.000785780275570151i</v>
      </c>
      <c r="N161" s="301" t="str">
        <f t="shared" si="35"/>
        <v>0.896170379171954-0.0314122674079974i</v>
      </c>
      <c r="O161" s="316">
        <f t="shared" si="36"/>
        <v>-0.94685574410793349</v>
      </c>
      <c r="P161" s="316">
        <f t="shared" si="37"/>
        <v>-2.0074908145534058</v>
      </c>
      <c r="Q161" s="301">
        <f t="shared" si="38"/>
        <v>2619.2675852338352</v>
      </c>
      <c r="R161" s="301">
        <f t="shared" si="55"/>
        <v>2.6200000000000014</v>
      </c>
      <c r="S161" s="308">
        <f t="shared" si="39"/>
        <v>15.703322510016793</v>
      </c>
      <c r="T161" s="301" t="str">
        <f t="shared" si="40"/>
        <v>1+0.0199396467342834i</v>
      </c>
      <c r="U161" s="303">
        <f t="shared" si="41"/>
        <v>39.621254708866473</v>
      </c>
      <c r="V161" s="301">
        <f t="shared" si="42"/>
        <v>100.25069272723854</v>
      </c>
      <c r="W161" s="301">
        <f t="shared" si="43"/>
        <v>59.996646987984548</v>
      </c>
      <c r="X161" s="303">
        <f t="shared" si="44"/>
        <v>-1.5943024806741042</v>
      </c>
      <c r="Y161" s="192" t="str">
        <f t="shared" si="45"/>
        <v>999.227080773171-27.8114987455263i</v>
      </c>
      <c r="Z161" s="192" t="str">
        <f t="shared" si="46"/>
        <v>-8038628.27811295i</v>
      </c>
      <c r="AA161" s="192" t="str">
        <f t="shared" si="47"/>
        <v>22150.1592153998-1110860.16269866i</v>
      </c>
      <c r="AB161" s="192" t="str">
        <f t="shared" si="48"/>
        <v>1381.90263844297-570817.667440085i</v>
      </c>
      <c r="AC161" s="192" t="str">
        <f t="shared" si="49"/>
        <v>17097.970929606-976029.501260815i</v>
      </c>
      <c r="AD161" s="192" t="str">
        <f t="shared" si="50"/>
        <v>9996.50821563039-175.117664627581i</v>
      </c>
      <c r="AE161" s="192" t="str">
        <f t="shared" si="51"/>
        <v>-17.0362502593426+94.2051935376438i</v>
      </c>
      <c r="AF161" s="296"/>
      <c r="AG161" s="296"/>
      <c r="AH161" s="296"/>
      <c r="AI161" s="296"/>
      <c r="AJ161" s="296"/>
      <c r="AK161" s="296"/>
      <c r="AL161" s="296"/>
      <c r="AM161" s="296"/>
      <c r="AN161" s="296"/>
      <c r="AO161" s="296"/>
      <c r="AP161" s="296"/>
      <c r="AQ161" s="296"/>
      <c r="AR161" s="296"/>
      <c r="AS161" s="296"/>
    </row>
    <row r="162" spans="1:45" s="192" customFormat="1" x14ac:dyDescent="0.2">
      <c r="A162" s="301">
        <f t="shared" si="52"/>
        <v>54.933999999999997</v>
      </c>
      <c r="B162" s="301">
        <f t="shared" si="53"/>
        <v>2.6400000000000019</v>
      </c>
      <c r="C162" s="303">
        <f t="shared" si="54"/>
        <v>436.51583224016775</v>
      </c>
      <c r="D162" s="302">
        <f t="shared" si="28"/>
        <v>54.93390668357636</v>
      </c>
      <c r="E162" s="301">
        <f t="shared" si="29"/>
        <v>97.875672787781482</v>
      </c>
      <c r="G162" s="303"/>
      <c r="H162" s="315" t="str">
        <f t="shared" si="30"/>
        <v>1E+47-3.64602910907317E+52i</v>
      </c>
      <c r="I162" s="301" t="str">
        <f t="shared" si="31"/>
        <v>0.002-0.337282988813429i</v>
      </c>
      <c r="J162" s="301" t="str">
        <f t="shared" si="32"/>
        <v>0.002-0.337282988813428i</v>
      </c>
      <c r="K162" s="301"/>
      <c r="L162" s="301" t="str">
        <f t="shared" si="33"/>
        <v>0.0255542778468279-0.00194729650715936i</v>
      </c>
      <c r="M162" s="301" t="str">
        <f t="shared" si="34"/>
        <v>0.003+0.000822812959044807i</v>
      </c>
      <c r="N162" s="301" t="str">
        <f t="shared" si="35"/>
        <v>0.896232639144667-0.0329021680813499i</v>
      </c>
      <c r="O162" s="316">
        <f t="shared" si="36"/>
        <v>-0.9457356399660195</v>
      </c>
      <c r="P162" s="316">
        <f t="shared" si="37"/>
        <v>-2.1024777131246215</v>
      </c>
      <c r="Q162" s="301">
        <f t="shared" si="38"/>
        <v>2742.7098634826912</v>
      </c>
      <c r="R162" s="301">
        <f t="shared" si="55"/>
        <v>2.6400000000000015</v>
      </c>
      <c r="S162" s="308">
        <f t="shared" si="39"/>
        <v>15.704442614158706</v>
      </c>
      <c r="T162" s="301" t="str">
        <f t="shared" si="40"/>
        <v>1+0.020879373333518i</v>
      </c>
      <c r="U162" s="303">
        <f t="shared" si="41"/>
        <v>39.229464069417652</v>
      </c>
      <c r="V162" s="301">
        <f t="shared" si="42"/>
        <v>99.978150500906111</v>
      </c>
      <c r="W162" s="301">
        <f t="shared" si="43"/>
        <v>59.996323632316731</v>
      </c>
      <c r="X162" s="303">
        <f t="shared" si="44"/>
        <v>-1.6693982670281828</v>
      </c>
      <c r="Y162" s="192" t="str">
        <f t="shared" si="45"/>
        <v>999.152574018043-29.1200460753002i</v>
      </c>
      <c r="Z162" s="192" t="str">
        <f t="shared" si="46"/>
        <v>-7676830.40738011i</v>
      </c>
      <c r="AA162" s="192" t="str">
        <f t="shared" si="47"/>
        <v>22150.1592153998-1060863.21948378i</v>
      </c>
      <c r="AB162" s="192" t="str">
        <f t="shared" si="48"/>
        <v>1381.90263844297-545126.640375331i</v>
      </c>
      <c r="AC162" s="192" t="str">
        <f t="shared" si="49"/>
        <v>17097.9612617307-932104.751181534i</v>
      </c>
      <c r="AD162" s="192" t="str">
        <f t="shared" si="50"/>
        <v>9996.1714813718-183.363675099244i</v>
      </c>
      <c r="AE162" s="192" t="str">
        <f t="shared" si="51"/>
        <v>-15.8563465064634+90.1267753100396i</v>
      </c>
      <c r="AF162" s="296"/>
      <c r="AG162" s="296"/>
      <c r="AH162" s="296"/>
      <c r="AI162" s="296"/>
      <c r="AJ162" s="296"/>
      <c r="AK162" s="296"/>
      <c r="AL162" s="296"/>
      <c r="AM162" s="296"/>
      <c r="AN162" s="296"/>
      <c r="AO162" s="296"/>
      <c r="AP162" s="296"/>
      <c r="AQ162" s="296"/>
      <c r="AR162" s="296"/>
      <c r="AS162" s="296"/>
    </row>
    <row r="163" spans="1:45" s="192" customFormat="1" x14ac:dyDescent="0.2">
      <c r="A163" s="301">
        <f t="shared" si="52"/>
        <v>54.542999999999999</v>
      </c>
      <c r="B163" s="301">
        <f t="shared" si="53"/>
        <v>2.6600000000000015</v>
      </c>
      <c r="C163" s="303">
        <f t="shared" si="54"/>
        <v>457.0881896148768</v>
      </c>
      <c r="D163" s="302">
        <f t="shared" si="28"/>
        <v>54.542694842205528</v>
      </c>
      <c r="E163" s="301">
        <f t="shared" si="29"/>
        <v>97.523936626276935</v>
      </c>
      <c r="G163" s="303"/>
      <c r="H163" s="315" t="str">
        <f t="shared" si="30"/>
        <v>1E+47-3.48193076758322E+52i</v>
      </c>
      <c r="I163" s="301" t="str">
        <f t="shared" si="31"/>
        <v>0.002-0.322102753707976i</v>
      </c>
      <c r="J163" s="301" t="str">
        <f t="shared" si="32"/>
        <v>0.002-0.322102753707975i</v>
      </c>
      <c r="K163" s="301"/>
      <c r="L163" s="301" t="str">
        <f t="shared" si="33"/>
        <v>0.0255389540214951-0.00203775127536545i</v>
      </c>
      <c r="M163" s="301" t="str">
        <f t="shared" si="34"/>
        <v>0.003+0.000861590939122053i</v>
      </c>
      <c r="N163" s="301" t="str">
        <f t="shared" si="35"/>
        <v>0.896300853614793-0.0344636934227452i</v>
      </c>
      <c r="O163" s="316">
        <f t="shared" si="36"/>
        <v>-0.94450757590329337</v>
      </c>
      <c r="P163" s="316">
        <f t="shared" si="37"/>
        <v>-2.2019971142977144</v>
      </c>
      <c r="Q163" s="301">
        <f t="shared" si="38"/>
        <v>2871.9697970735106</v>
      </c>
      <c r="R163" s="301">
        <f t="shared" si="55"/>
        <v>2.6600000000000015</v>
      </c>
      <c r="S163" s="308">
        <f t="shared" si="39"/>
        <v>15.705670678221432</v>
      </c>
      <c r="T163" s="301" t="str">
        <f t="shared" si="40"/>
        <v>1+0.0218633878829394i</v>
      </c>
      <c r="U163" s="303">
        <f t="shared" si="41"/>
        <v>38.837024163984097</v>
      </c>
      <c r="V163" s="301">
        <f t="shared" si="42"/>
        <v>99.725933740574646</v>
      </c>
      <c r="W163" s="301">
        <f t="shared" si="43"/>
        <v>59.995969107546841</v>
      </c>
      <c r="X163" s="303">
        <f t="shared" si="44"/>
        <v>-1.748027083393076</v>
      </c>
      <c r="Y163" s="192" t="str">
        <f t="shared" si="45"/>
        <v>999.070891736151-30.4899424989058i</v>
      </c>
      <c r="Z163" s="192" t="str">
        <f t="shared" si="46"/>
        <v>-7331316.12319191i</v>
      </c>
      <c r="AA163" s="192" t="str">
        <f t="shared" si="47"/>
        <v>22150.1592153998-1013116.50938984i</v>
      </c>
      <c r="AB163" s="192" t="str">
        <f t="shared" si="48"/>
        <v>1381.90263844297-520591.900001215i</v>
      </c>
      <c r="AC163" s="192" t="str">
        <f t="shared" si="49"/>
        <v>17097.9506611288-890157.120244241i</v>
      </c>
      <c r="AD163" s="192" t="str">
        <f t="shared" si="50"/>
        <v>9995.80228927732-191.997267081983i</v>
      </c>
      <c r="AE163" s="192" t="str">
        <f t="shared" si="51"/>
        <v>-14.7765205543409+86.2112309958102i</v>
      </c>
      <c r="AF163" s="296"/>
      <c r="AG163" s="296"/>
      <c r="AH163" s="296"/>
      <c r="AI163" s="296"/>
      <c r="AJ163" s="296"/>
      <c r="AK163" s="296"/>
      <c r="AL163" s="296"/>
      <c r="AM163" s="296"/>
      <c r="AN163" s="296"/>
      <c r="AO163" s="296"/>
      <c r="AP163" s="296"/>
      <c r="AQ163" s="296"/>
      <c r="AR163" s="296"/>
      <c r="AS163" s="296"/>
    </row>
    <row r="164" spans="1:45" s="192" customFormat="1" x14ac:dyDescent="0.2">
      <c r="A164" s="301">
        <f t="shared" si="52"/>
        <v>54.151000000000003</v>
      </c>
      <c r="B164" s="301">
        <f t="shared" si="53"/>
        <v>2.6800000000000015</v>
      </c>
      <c r="C164" s="303">
        <f t="shared" si="54"/>
        <v>478.63009232264011</v>
      </c>
      <c r="D164" s="302">
        <f t="shared" si="28"/>
        <v>54.151012990873518</v>
      </c>
      <c r="E164" s="301">
        <f t="shared" si="29"/>
        <v>97.187341048748465</v>
      </c>
      <c r="G164" s="303"/>
      <c r="H164" s="315" t="str">
        <f t="shared" si="30"/>
        <v>1E+47-3.32521806808191E+52i</v>
      </c>
      <c r="I164" s="301" t="str">
        <f t="shared" si="31"/>
        <v>0.002-0.307605741728206i</v>
      </c>
      <c r="J164" s="301" t="str">
        <f t="shared" si="32"/>
        <v>0.002-0.307605741728207i</v>
      </c>
      <c r="K164" s="301"/>
      <c r="L164" s="301" t="str">
        <f t="shared" si="33"/>
        <v>0.0255221745422809-0.00213227575727637i</v>
      </c>
      <c r="M164" s="301" t="str">
        <f t="shared" si="34"/>
        <v>0.003+0.000902196469096686i</v>
      </c>
      <c r="N164" s="301" t="str">
        <f t="shared" si="35"/>
        <v>0.8963755864195-0.0361004281937013i</v>
      </c>
      <c r="O164" s="316">
        <f t="shared" si="36"/>
        <v>-0.94316115773800513</v>
      </c>
      <c r="P164" s="316">
        <f t="shared" si="37"/>
        <v>-2.306270934083082</v>
      </c>
      <c r="Q164" s="301">
        <f t="shared" si="38"/>
        <v>3007.321563655621</v>
      </c>
      <c r="R164" s="301">
        <f t="shared" si="55"/>
        <v>2.6800000000000015</v>
      </c>
      <c r="S164" s="308">
        <f t="shared" si="39"/>
        <v>15.707017096386721</v>
      </c>
      <c r="T164" s="301" t="str">
        <f t="shared" si="40"/>
        <v>1+0.022893777609336i</v>
      </c>
      <c r="U164" s="303">
        <f t="shared" si="41"/>
        <v>38.443995894486797</v>
      </c>
      <c r="V164" s="301">
        <f t="shared" si="42"/>
        <v>99.493611982831553</v>
      </c>
      <c r="W164" s="301">
        <f t="shared" si="43"/>
        <v>59.995580412127232</v>
      </c>
      <c r="X164" s="303">
        <f t="shared" si="44"/>
        <v>-1.8303545299993871</v>
      </c>
      <c r="Y164" s="192" t="str">
        <f t="shared" si="45"/>
        <v>998.981344220837-31.9240318766569i</v>
      </c>
      <c r="Z164" s="192" t="str">
        <f t="shared" si="46"/>
        <v>-7001352.54342773i</v>
      </c>
      <c r="AA164" s="192" t="str">
        <f t="shared" si="47"/>
        <v>22150.1592153998-967518.755243215i</v>
      </c>
      <c r="AB164" s="192" t="str">
        <f t="shared" si="48"/>
        <v>1381.90263844297-497161.404843972i</v>
      </c>
      <c r="AC164" s="192" t="str">
        <f t="shared" si="49"/>
        <v>17097.9390378153-850097.631898999i</v>
      </c>
      <c r="AD164" s="192" t="str">
        <f t="shared" si="50"/>
        <v>9995.3975138718-201.036552671183i</v>
      </c>
      <c r="AE164" s="192" t="str">
        <f t="shared" si="51"/>
        <v>-13.7885810431055+82.4537833424878i</v>
      </c>
      <c r="AF164" s="296"/>
      <c r="AG164" s="296"/>
      <c r="AH164" s="296"/>
      <c r="AI164" s="296"/>
      <c r="AJ164" s="296"/>
      <c r="AK164" s="296"/>
      <c r="AL164" s="296"/>
      <c r="AM164" s="296"/>
      <c r="AN164" s="296"/>
      <c r="AO164" s="296"/>
      <c r="AP164" s="296"/>
      <c r="AQ164" s="296"/>
      <c r="AR164" s="296"/>
      <c r="AS164" s="296"/>
    </row>
    <row r="165" spans="1:45" s="192" customFormat="1" x14ac:dyDescent="0.2">
      <c r="A165" s="301">
        <f t="shared" si="52"/>
        <v>53.759</v>
      </c>
      <c r="B165" s="301">
        <f t="shared" si="53"/>
        <v>2.700000000000002</v>
      </c>
      <c r="C165" s="303">
        <f t="shared" si="54"/>
        <v>501.18723362727451</v>
      </c>
      <c r="D165" s="302">
        <f t="shared" si="28"/>
        <v>53.7589289674127</v>
      </c>
      <c r="E165" s="301">
        <f t="shared" si="29"/>
        <v>96.865250890831845</v>
      </c>
      <c r="G165" s="303"/>
      <c r="H165" s="315" t="str">
        <f t="shared" si="30"/>
        <v>1E+47-3.17555860192274E+52i</v>
      </c>
      <c r="I165" s="301" t="str">
        <f t="shared" si="31"/>
        <v>0.002-0.293761202768061i</v>
      </c>
      <c r="J165" s="301" t="str">
        <f t="shared" si="32"/>
        <v>0.002-0.293761202768061i</v>
      </c>
      <c r="K165" s="301"/>
      <c r="L165" s="301" t="str">
        <f t="shared" si="33"/>
        <v>0.0255038035158117-0.00223103364172668i</v>
      </c>
      <c r="M165" s="301" t="str">
        <f t="shared" si="34"/>
        <v>0.003+0.000944715678741862i</v>
      </c>
      <c r="N165" s="301" t="str">
        <f t="shared" si="35"/>
        <v>0.89645745361681-0.037816157253884i</v>
      </c>
      <c r="O165" s="316">
        <f t="shared" si="36"/>
        <v>-0.94168499291363605</v>
      </c>
      <c r="P165" s="316">
        <f t="shared" si="37"/>
        <v>-2.4155327834916522</v>
      </c>
      <c r="Q165" s="301">
        <f t="shared" si="38"/>
        <v>3149.0522624728737</v>
      </c>
      <c r="R165" s="301">
        <f t="shared" si="55"/>
        <v>2.7000000000000015</v>
      </c>
      <c r="S165" s="308">
        <f t="shared" si="39"/>
        <v>15.708493261211089</v>
      </c>
      <c r="T165" s="301" t="str">
        <f t="shared" si="40"/>
        <v>1+0.0239727281074642i</v>
      </c>
      <c r="U165" s="303">
        <f t="shared" si="41"/>
        <v>38.050435706201611</v>
      </c>
      <c r="V165" s="301">
        <f t="shared" si="42"/>
        <v>99.280783674323501</v>
      </c>
      <c r="W165" s="301">
        <f t="shared" si="43"/>
        <v>59.995154256055478</v>
      </c>
      <c r="X165" s="303">
        <f t="shared" si="44"/>
        <v>-1.9165538775956381</v>
      </c>
      <c r="Y165" s="192" t="str">
        <f t="shared" si="45"/>
        <v>998.883175743468-33.4252850944165i</v>
      </c>
      <c r="Z165" s="192" t="str">
        <f t="shared" si="46"/>
        <v>-6686239.77109578i</v>
      </c>
      <c r="AA165" s="192" t="str">
        <f t="shared" si="47"/>
        <v>22150.1592153998-923973.238093958i</v>
      </c>
      <c r="AB165" s="192" t="str">
        <f t="shared" si="48"/>
        <v>1381.90263844297-474785.455681997i</v>
      </c>
      <c r="AC165" s="192" t="str">
        <f t="shared" si="49"/>
        <v>17097.9262931234-811841.314599342i</v>
      </c>
      <c r="AD165" s="192" t="str">
        <f t="shared" si="50"/>
        <v>9994.95372935165-210.500474778093i</v>
      </c>
      <c r="AE165" s="192" t="str">
        <f t="shared" si="51"/>
        <v>-12.8849577398853+78.8495598991994i</v>
      </c>
      <c r="AF165" s="296"/>
      <c r="AG165" s="296"/>
      <c r="AH165" s="296"/>
      <c r="AI165" s="296"/>
      <c r="AJ165" s="296"/>
      <c r="AK165" s="296"/>
      <c r="AL165" s="296"/>
      <c r="AM165" s="296"/>
      <c r="AN165" s="296"/>
      <c r="AO165" s="296"/>
      <c r="AP165" s="296"/>
      <c r="AQ165" s="296"/>
      <c r="AR165" s="296"/>
      <c r="AS165" s="296"/>
    </row>
    <row r="166" spans="1:45" s="192" customFormat="1" x14ac:dyDescent="0.2">
      <c r="A166" s="301">
        <f t="shared" si="52"/>
        <v>53.366999999999997</v>
      </c>
      <c r="B166" s="301">
        <f t="shared" si="53"/>
        <v>2.720000000000002</v>
      </c>
      <c r="C166" s="303">
        <f t="shared" si="54"/>
        <v>524.80746024977486</v>
      </c>
      <c r="D166" s="302">
        <f t="shared" si="28"/>
        <v>53.366507637865666</v>
      </c>
      <c r="E166" s="301">
        <f t="shared" si="29"/>
        <v>96.55704820650449</v>
      </c>
      <c r="G166" s="303"/>
      <c r="H166" s="315" t="str">
        <f t="shared" si="30"/>
        <v>1E+47-3.03263492131281E+52i</v>
      </c>
      <c r="I166" s="301" t="str">
        <f t="shared" si="31"/>
        <v>0.002-0.280539770704238i</v>
      </c>
      <c r="J166" s="301" t="str">
        <f t="shared" si="32"/>
        <v>0.002-0.280539770704238i</v>
      </c>
      <c r="K166" s="301"/>
      <c r="L166" s="301" t="str">
        <f t="shared" si="33"/>
        <v>0.0254836928390364-0.00233419230123328i</v>
      </c>
      <c r="M166" s="301" t="str">
        <f t="shared" si="34"/>
        <v>0.003+0.000989238757001886i</v>
      </c>
      <c r="N166" s="301" t="str">
        <f t="shared" si="35"/>
        <v>0.896547128075532-0.0396148796483017i</v>
      </c>
      <c r="O166" s="316">
        <f t="shared" si="36"/>
        <v>-0.94006659509710522</v>
      </c>
      <c r="P166" s="316">
        <f t="shared" si="37"/>
        <v>-2.5300287044097285</v>
      </c>
      <c r="Q166" s="301">
        <f t="shared" si="38"/>
        <v>3297.46252333962</v>
      </c>
      <c r="R166" s="301">
        <f t="shared" si="55"/>
        <v>2.7200000000000015</v>
      </c>
      <c r="S166" s="308">
        <f t="shared" si="39"/>
        <v>15.710111659027621</v>
      </c>
      <c r="T166" s="301" t="str">
        <f t="shared" si="40"/>
        <v>1+0.025102527975988i</v>
      </c>
      <c r="U166" s="303">
        <f t="shared" si="41"/>
        <v>37.656395978838042</v>
      </c>
      <c r="V166" s="301">
        <f t="shared" si="42"/>
        <v>99.08707691091422</v>
      </c>
      <c r="W166" s="301">
        <f t="shared" si="43"/>
        <v>59.994687033272704</v>
      </c>
      <c r="X166" s="303">
        <f t="shared" si="44"/>
        <v>-2.0068064091758764</v>
      </c>
      <c r="Y166" s="192" t="str">
        <f t="shared" si="45"/>
        <v>998.775558288494-34.9968050195429i</v>
      </c>
      <c r="Z166" s="192" t="str">
        <f t="shared" si="46"/>
        <v>-6385309.40975813i</v>
      </c>
      <c r="AA166" s="192" t="str">
        <f t="shared" si="47"/>
        <v>22150.1592153998-882387.592061954i</v>
      </c>
      <c r="AB166" s="192" t="str">
        <f t="shared" si="48"/>
        <v>1381.90263844297-453416.590127115i</v>
      </c>
      <c r="AC166" s="192" t="str">
        <f t="shared" si="49"/>
        <v>17097.9123188685-775307.021566254i</v>
      </c>
      <c r="AD166" s="192" t="str">
        <f t="shared" si="50"/>
        <v>9994.46718085442-220.408842921146i</v>
      </c>
      <c r="AE166" s="192" t="str">
        <f t="shared" si="51"/>
        <v>-12.0586627861939+75.3936333228225i</v>
      </c>
      <c r="AF166" s="296"/>
      <c r="AG166" s="296"/>
      <c r="AH166" s="296"/>
      <c r="AI166" s="296"/>
      <c r="AJ166" s="296"/>
      <c r="AK166" s="296"/>
      <c r="AL166" s="296"/>
      <c r="AM166" s="296"/>
      <c r="AN166" s="296"/>
      <c r="AO166" s="296"/>
      <c r="AP166" s="296"/>
      <c r="AQ166" s="296"/>
      <c r="AR166" s="296"/>
      <c r="AS166" s="296"/>
    </row>
    <row r="167" spans="1:45" s="192" customFormat="1" x14ac:dyDescent="0.2">
      <c r="A167" s="301">
        <f t="shared" si="52"/>
        <v>52.973999999999997</v>
      </c>
      <c r="B167" s="301">
        <f t="shared" si="53"/>
        <v>2.7400000000000015</v>
      </c>
      <c r="C167" s="303">
        <f t="shared" si="54"/>
        <v>549.54087385762671</v>
      </c>
      <c r="D167" s="302">
        <f t="shared" si="28"/>
        <v>52.973811371571117</v>
      </c>
      <c r="E167" s="301">
        <f t="shared" si="29"/>
        <v>96.262132078805436</v>
      </c>
      <c r="G167" s="303"/>
      <c r="H167" s="315" t="str">
        <f t="shared" si="30"/>
        <v>1E+47-2.89614386596344E+52i</v>
      </c>
      <c r="I167" s="301" t="str">
        <f t="shared" si="31"/>
        <v>0.002-0.267913401106701i</v>
      </c>
      <c r="J167" s="301" t="str">
        <f t="shared" si="32"/>
        <v>0.002-0.267913401106701i</v>
      </c>
      <c r="K167" s="301"/>
      <c r="L167" s="301" t="str">
        <f t="shared" si="33"/>
        <v>0.0254616811977839-0.00244192240235237i</v>
      </c>
      <c r="M167" s="301" t="str">
        <f t="shared" si="34"/>
        <v>0.003+0.00103586014329506i</v>
      </c>
      <c r="N167" s="301" t="str">
        <f t="shared" si="35"/>
        <v>0.896645344414863-0.0415008240589512i</v>
      </c>
      <c r="O167" s="316">
        <f t="shared" si="36"/>
        <v>-0.938292279765639</v>
      </c>
      <c r="P167" s="316">
        <f t="shared" si="37"/>
        <v>-2.6500179679139046</v>
      </c>
      <c r="Q167" s="301">
        <f t="shared" si="38"/>
        <v>3452.8671443168705</v>
      </c>
      <c r="R167" s="301">
        <f t="shared" si="55"/>
        <v>2.7400000000000015</v>
      </c>
      <c r="S167" s="308">
        <f t="shared" si="39"/>
        <v>15.711885974359088</v>
      </c>
      <c r="T167" s="301" t="str">
        <f t="shared" si="40"/>
        <v>1+0.0262855736719034i</v>
      </c>
      <c r="U167" s="303">
        <f t="shared" si="41"/>
        <v>37.261925397212025</v>
      </c>
      <c r="V167" s="301">
        <f t="shared" si="42"/>
        <v>98.912150046719347</v>
      </c>
      <c r="W167" s="301">
        <f t="shared" si="43"/>
        <v>59.994174791444657</v>
      </c>
      <c r="X167" s="303">
        <f t="shared" si="44"/>
        <v>-2.1013017749028178</v>
      </c>
      <c r="Y167" s="192" t="str">
        <f t="shared" si="45"/>
        <v>998.657584705119-36.6418315394464i</v>
      </c>
      <c r="Z167" s="192" t="str">
        <f t="shared" si="46"/>
        <v>-6097923.14577193i</v>
      </c>
      <c r="AA167" s="192" t="str">
        <f t="shared" si="47"/>
        <v>22150.1592153998-842673.60841647i</v>
      </c>
      <c r="AB167" s="192" t="str">
        <f t="shared" si="48"/>
        <v>1381.90263844297-433009.481950515i</v>
      </c>
      <c r="AC167" s="192" t="str">
        <f t="shared" si="49"/>
        <v>17097.896996429-740417.258664897i</v>
      </c>
      <c r="AD167" s="192" t="str">
        <f t="shared" si="50"/>
        <v>9993.93375300571-230.782370208583i</v>
      </c>
      <c r="AE167" s="192" t="str">
        <f t="shared" si="51"/>
        <v>-11.3032528829524+72.0810559985198i</v>
      </c>
      <c r="AF167" s="296"/>
      <c r="AG167" s="296"/>
      <c r="AH167" s="296"/>
      <c r="AI167" s="296"/>
      <c r="AJ167" s="296"/>
      <c r="AK167" s="296"/>
      <c r="AL167" s="296"/>
      <c r="AM167" s="296"/>
      <c r="AN167" s="296"/>
      <c r="AO167" s="296"/>
      <c r="AP167" s="296"/>
      <c r="AQ167" s="296"/>
      <c r="AR167" s="296"/>
      <c r="AS167" s="296"/>
    </row>
    <row r="168" spans="1:45" s="192" customFormat="1" x14ac:dyDescent="0.2">
      <c r="A168" s="301">
        <f t="shared" si="52"/>
        <v>52.581000000000003</v>
      </c>
      <c r="B168" s="301">
        <f t="shared" si="53"/>
        <v>2.7600000000000016</v>
      </c>
      <c r="C168" s="303">
        <f t="shared" si="54"/>
        <v>575.43993733715911</v>
      </c>
      <c r="D168" s="302">
        <f t="shared" si="28"/>
        <v>52.580900506598958</v>
      </c>
      <c r="E168" s="301">
        <f t="shared" si="29"/>
        <v>95.979918252796125</v>
      </c>
      <c r="G168" s="303"/>
      <c r="H168" s="315" t="str">
        <f t="shared" si="30"/>
        <v>1E+47-2.76579592004654E+52i</v>
      </c>
      <c r="I168" s="301" t="str">
        <f t="shared" si="31"/>
        <v>0.002-0.255855311752687i</v>
      </c>
      <c r="J168" s="301" t="str">
        <f t="shared" si="32"/>
        <v>0.002-0.255855311752687i</v>
      </c>
      <c r="K168" s="301"/>
      <c r="L168" s="301" t="str">
        <f t="shared" si="33"/>
        <v>0.0254375930026273-0.00255439742271871i</v>
      </c>
      <c r="M168" s="301" t="str">
        <f t="shared" si="34"/>
        <v>0.003+0.00108467872783235i</v>
      </c>
      <c r="N168" s="301" t="str">
        <f t="shared" si="35"/>
        <v>0.896752904307701-0.043478465791736i</v>
      </c>
      <c r="O168" s="316">
        <f t="shared" si="36"/>
        <v>-0.93634704995455253</v>
      </c>
      <c r="P168" s="316">
        <f t="shared" si="37"/>
        <v>-2.7757739421845655</v>
      </c>
      <c r="Q168" s="301">
        <f t="shared" si="38"/>
        <v>3615.5957594411798</v>
      </c>
      <c r="R168" s="301">
        <f t="shared" si="55"/>
        <v>2.7600000000000016</v>
      </c>
      <c r="S168" s="308">
        <f t="shared" si="39"/>
        <v>15.713831204170175</v>
      </c>
      <c r="T168" s="301" t="str">
        <f t="shared" si="40"/>
        <v>1+0.0275243745937451i</v>
      </c>
      <c r="U168" s="303">
        <f t="shared" si="41"/>
        <v>36.867069302428781</v>
      </c>
      <c r="V168" s="301">
        <f t="shared" si="42"/>
        <v>98.755692194980696</v>
      </c>
      <c r="W168" s="301">
        <f t="shared" si="43"/>
        <v>59.993613198882656</v>
      </c>
      <c r="X168" s="303">
        <f t="shared" si="44"/>
        <v>-2.2002383604226043</v>
      </c>
      <c r="Y168" s="192" t="str">
        <f t="shared" si="45"/>
        <v>998.528261223571-38.3637466647347i</v>
      </c>
      <c r="Z168" s="192" t="str">
        <f t="shared" si="46"/>
        <v>-5823471.3943407i</v>
      </c>
      <c r="AA168" s="192" t="str">
        <f t="shared" si="47"/>
        <v>22150.1592153998-804747.048473661i</v>
      </c>
      <c r="AB168" s="192" t="str">
        <f t="shared" si="48"/>
        <v>1381.90263844297-413520.844939725i</v>
      </c>
      <c r="AC168" s="192" t="str">
        <f t="shared" si="49"/>
        <v>17097.8801957397-707098.020029198i</v>
      </c>
      <c r="AD168" s="192" t="str">
        <f t="shared" si="50"/>
        <v>9993.34893549093-241.642711495913i</v>
      </c>
      <c r="AE168" s="192" t="str">
        <f t="shared" si="51"/>
        <v>-10.6127926998674+68.906889580321i</v>
      </c>
      <c r="AF168" s="296"/>
      <c r="AG168" s="296"/>
      <c r="AH168" s="296"/>
      <c r="AI168" s="296"/>
      <c r="AJ168" s="296"/>
      <c r="AK168" s="296"/>
      <c r="AL168" s="296"/>
      <c r="AM168" s="296"/>
      <c r="AN168" s="296"/>
      <c r="AO168" s="296"/>
      <c r="AP168" s="296"/>
      <c r="AQ168" s="296"/>
      <c r="AR168" s="296"/>
      <c r="AS168" s="296"/>
    </row>
    <row r="169" spans="1:45" s="192" customFormat="1" x14ac:dyDescent="0.2">
      <c r="A169" s="301">
        <f t="shared" si="52"/>
        <v>52.188000000000002</v>
      </c>
      <c r="B169" s="301">
        <f t="shared" si="53"/>
        <v>2.780000000000002</v>
      </c>
      <c r="C169" s="303">
        <f t="shared" si="54"/>
        <v>602.55958607436048</v>
      </c>
      <c r="D169" s="302">
        <f t="shared" si="28"/>
        <v>52.187833807512149</v>
      </c>
      <c r="E169" s="301">
        <f t="shared" si="29"/>
        <v>95.709838602232168</v>
      </c>
      <c r="G169" s="303"/>
      <c r="H169" s="315" t="str">
        <f t="shared" si="30"/>
        <v>1E+47-2.64131459809279E+52i</v>
      </c>
      <c r="I169" s="301" t="str">
        <f t="shared" si="31"/>
        <v>0.002-0.244339925818019i</v>
      </c>
      <c r="J169" s="301" t="str">
        <f t="shared" si="32"/>
        <v>0.002-0.244339925818019i</v>
      </c>
      <c r="K169" s="301"/>
      <c r="L169" s="301" t="str">
        <f t="shared" si="33"/>
        <v>0.0254112372623228-0.00267179306135651i</v>
      </c>
      <c r="M169" s="301" t="str">
        <f t="shared" si="34"/>
        <v>0.003+0.00113579806137679i</v>
      </c>
      <c r="N169" s="301" t="str">
        <f t="shared" si="35"/>
        <v>0.896870682158903-0.0455525454939735i</v>
      </c>
      <c r="O169" s="316">
        <f t="shared" si="36"/>
        <v>-0.93421447126678669</v>
      </c>
      <c r="P169" s="316">
        <f t="shared" si="37"/>
        <v>-2.9075850381630044</v>
      </c>
      <c r="Q169" s="301">
        <f t="shared" si="38"/>
        <v>3785.9935379226349</v>
      </c>
      <c r="R169" s="301">
        <f t="shared" si="55"/>
        <v>2.7800000000000016</v>
      </c>
      <c r="S169" s="308">
        <f t="shared" si="39"/>
        <v>15.715963782857941</v>
      </c>
      <c r="T169" s="301" t="str">
        <f t="shared" si="40"/>
        <v>1+0.0288215584043574i</v>
      </c>
      <c r="U169" s="303">
        <f t="shared" si="41"/>
        <v>36.471870024654208</v>
      </c>
      <c r="V169" s="301">
        <f t="shared" si="42"/>
        <v>98.617423640395174</v>
      </c>
      <c r="W169" s="301">
        <f t="shared" si="43"/>
        <v>59.992997508339172</v>
      </c>
      <c r="X169" s="303">
        <f t="shared" si="44"/>
        <v>-2.3038236687144518</v>
      </c>
      <c r="Y169" s="192" t="str">
        <f t="shared" si="45"/>
        <v>998.386499279675-40.1660796749347i</v>
      </c>
      <c r="Z169" s="192" t="str">
        <f t="shared" si="46"/>
        <v>-5561372.00650328i</v>
      </c>
      <c r="AA169" s="192" t="str">
        <f t="shared" si="47"/>
        <v>22150.1592153998-768527.464914978i</v>
      </c>
      <c r="AB169" s="192" t="str">
        <f t="shared" si="48"/>
        <v>1381.90263844297-394909.341082757i</v>
      </c>
      <c r="AC169" s="192" t="str">
        <f t="shared" si="49"/>
        <v>17097.8617741881-675278.631085418i</v>
      </c>
      <c r="AD169" s="192" t="str">
        <f t="shared" si="50"/>
        <v>9992.70778537668-253.012502690334i</v>
      </c>
      <c r="AE169" s="192" t="str">
        <f t="shared" si="51"/>
        <v>-9.98181971919419+65.8662300130133i</v>
      </c>
      <c r="AF169" s="296"/>
      <c r="AG169" s="296"/>
      <c r="AH169" s="296"/>
      <c r="AI169" s="296"/>
      <c r="AJ169" s="296"/>
      <c r="AK169" s="296"/>
      <c r="AL169" s="296"/>
      <c r="AM169" s="296"/>
      <c r="AN169" s="296"/>
      <c r="AO169" s="296"/>
      <c r="AP169" s="296"/>
      <c r="AQ169" s="296"/>
      <c r="AR169" s="296"/>
      <c r="AS169" s="296"/>
    </row>
    <row r="170" spans="1:45" s="192" customFormat="1" x14ac:dyDescent="0.2">
      <c r="A170" s="301">
        <f t="shared" si="52"/>
        <v>51.795000000000002</v>
      </c>
      <c r="B170" s="301">
        <f t="shared" si="53"/>
        <v>2.800000000000002</v>
      </c>
      <c r="C170" s="303">
        <f t="shared" si="54"/>
        <v>630.95734448019596</v>
      </c>
      <c r="D170" s="302">
        <f t="shared" si="28"/>
        <v>51.794668917653034</v>
      </c>
      <c r="E170" s="301">
        <f t="shared" si="29"/>
        <v>95.451340438116389</v>
      </c>
      <c r="G170" s="303"/>
      <c r="H170" s="315" t="str">
        <f t="shared" si="30"/>
        <v>1E+47-2.5224358585288E+52i</v>
      </c>
      <c r="I170" s="301" t="str">
        <f t="shared" si="31"/>
        <v>0.002-0.233342817625236i</v>
      </c>
      <c r="J170" s="301" t="str">
        <f t="shared" si="32"/>
        <v>0.002-0.233342817625236i</v>
      </c>
      <c r="K170" s="301"/>
      <c r="L170" s="301" t="str">
        <f t="shared" si="33"/>
        <v>0.0253824063962261-0.00279428652738629i</v>
      </c>
      <c r="M170" s="301" t="str">
        <f t="shared" si="34"/>
        <v>0.003+0.0011893265748885i</v>
      </c>
      <c r="N170" s="301" t="str">
        <f t="shared" si="35"/>
        <v>0.896999631165574-0.0477280898261106i</v>
      </c>
      <c r="O170" s="316">
        <f t="shared" si="36"/>
        <v>-0.93187653516993896</v>
      </c>
      <c r="P170" s="316">
        <f t="shared" si="37"/>
        <v>-3.0457557422363322</v>
      </c>
      <c r="Q170" s="301">
        <f t="shared" si="38"/>
        <v>3964.4219162950162</v>
      </c>
      <c r="R170" s="301">
        <f t="shared" si="55"/>
        <v>2.8000000000000016</v>
      </c>
      <c r="S170" s="308">
        <f t="shared" si="39"/>
        <v>15.718301718954786</v>
      </c>
      <c r="T170" s="301" t="str">
        <f t="shared" si="40"/>
        <v>1+0.030179876604519i</v>
      </c>
      <c r="U170" s="303">
        <f t="shared" si="41"/>
        <v>36.07636719869825</v>
      </c>
      <c r="V170" s="301">
        <f t="shared" si="42"/>
        <v>98.497096180352727</v>
      </c>
      <c r="W170" s="301">
        <f t="shared" si="43"/>
        <v>59.992322517390235</v>
      </c>
      <c r="X170" s="303">
        <f t="shared" si="44"/>
        <v>-2.4122747155547346</v>
      </c>
      <c r="Y170" s="192" t="str">
        <f t="shared" si="45"/>
        <v>998.231106587127-42.0525122801796i</v>
      </c>
      <c r="Z170" s="192" t="str">
        <f t="shared" si="46"/>
        <v>-5311069.0343178i</v>
      </c>
      <c r="AA170" s="192" t="str">
        <f t="shared" si="47"/>
        <v>22150.1592153998-733938.031147653i</v>
      </c>
      <c r="AB170" s="192" t="str">
        <f t="shared" si="48"/>
        <v>1381.90263844297-377135.492884644i</v>
      </c>
      <c r="AC170" s="192" t="str">
        <f t="shared" si="49"/>
        <v>17097.8415754042-644891.598641902i</v>
      </c>
      <c r="AD170" s="192" t="str">
        <f t="shared" si="50"/>
        <v>9992.00488588233-264.915401160848i</v>
      </c>
      <c r="AE170" s="192" t="str">
        <f t="shared" si="51"/>
        <v>-9.40531066028129+62.9542285515287i</v>
      </c>
      <c r="AF170" s="296"/>
      <c r="AG170" s="296"/>
      <c r="AH170" s="296"/>
      <c r="AI170" s="296"/>
      <c r="AJ170" s="296"/>
      <c r="AK170" s="296"/>
      <c r="AL170" s="296"/>
      <c r="AM170" s="296"/>
      <c r="AN170" s="296"/>
      <c r="AO170" s="296"/>
      <c r="AP170" s="296"/>
      <c r="AQ170" s="296"/>
      <c r="AR170" s="296"/>
      <c r="AS170" s="296"/>
    </row>
    <row r="171" spans="1:45" s="192" customFormat="1" x14ac:dyDescent="0.2">
      <c r="A171" s="301">
        <f t="shared" si="52"/>
        <v>51.401000000000003</v>
      </c>
      <c r="B171" s="301">
        <f t="shared" si="53"/>
        <v>2.8200000000000016</v>
      </c>
      <c r="C171" s="303">
        <f t="shared" si="54"/>
        <v>660.6934480075987</v>
      </c>
      <c r="D171" s="302">
        <f t="shared" si="28"/>
        <v>51.401462808320126</v>
      </c>
      <c r="E171" s="301">
        <f t="shared" si="29"/>
        <v>95.203885663977033</v>
      </c>
      <c r="G171" s="303"/>
      <c r="H171" s="315" t="str">
        <f t="shared" si="30"/>
        <v>1E+47-2.40890754360962E+52i</v>
      </c>
      <c r="I171" s="301" t="str">
        <f t="shared" si="31"/>
        <v>0.002-0.222840660833452i</v>
      </c>
      <c r="J171" s="301" t="str">
        <f t="shared" si="32"/>
        <v>0.002-0.222840660833452i</v>
      </c>
      <c r="K171" s="301"/>
      <c r="L171" s="301" t="str">
        <f t="shared" si="33"/>
        <v>0.0253508749885118-0.00292205569071098i</v>
      </c>
      <c r="M171" s="301" t="str">
        <f t="shared" si="34"/>
        <v>0.003+0.00124537780952135i</v>
      </c>
      <c r="N171" s="301" t="str">
        <f t="shared" si="35"/>
        <v>0.897140789760862-0.0500104343439303i</v>
      </c>
      <c r="O171" s="316">
        <f t="shared" si="36"/>
        <v>-0.92931350952595482</v>
      </c>
      <c r="P171" s="316">
        <f t="shared" si="37"/>
        <v>-3.190607746546219</v>
      </c>
      <c r="Q171" s="301">
        <f t="shared" si="38"/>
        <v>4151.2593650711642</v>
      </c>
      <c r="R171" s="301">
        <f t="shared" si="55"/>
        <v>2.8200000000000016</v>
      </c>
      <c r="S171" s="308">
        <f t="shared" si="39"/>
        <v>15.720864744598773</v>
      </c>
      <c r="T171" s="301" t="str">
        <f t="shared" si="40"/>
        <v>1+0.0316022103692453i</v>
      </c>
      <c r="U171" s="303">
        <f t="shared" si="41"/>
        <v>35.680598063721355</v>
      </c>
      <c r="V171" s="301">
        <f t="shared" si="42"/>
        <v>98.394493410523253</v>
      </c>
      <c r="W171" s="301">
        <f t="shared" si="43"/>
        <v>59.991582525090692</v>
      </c>
      <c r="X171" s="303">
        <f t="shared" si="44"/>
        <v>-2.5258184385983475</v>
      </c>
      <c r="Y171" s="192" t="str">
        <f t="shared" si="45"/>
        <v>998.060777392108-44.0268837669347i</v>
      </c>
      <c r="Z171" s="192" t="str">
        <f t="shared" si="46"/>
        <v>-5072031.55162152i</v>
      </c>
      <c r="AA171" s="192" t="str">
        <f t="shared" si="47"/>
        <v>22150.1592153998-700905.378345179i</v>
      </c>
      <c r="AB171" s="192" t="str">
        <f t="shared" si="48"/>
        <v>1381.90263844297-360161.599630375i</v>
      </c>
      <c r="AC171" s="192" t="str">
        <f t="shared" si="49"/>
        <v>17097.8194279328-615872.467726933i</v>
      </c>
      <c r="AD171" s="192" t="str">
        <f t="shared" si="50"/>
        <v>9991.23430127691-277.376127197073i</v>
      </c>
      <c r="AE171" s="192" t="str">
        <f t="shared" si="51"/>
        <v>-8.87864957893312+60.1661092491341i</v>
      </c>
      <c r="AF171" s="296"/>
      <c r="AG171" s="296"/>
      <c r="AH171" s="296"/>
      <c r="AI171" s="296"/>
      <c r="AJ171" s="296"/>
      <c r="AK171" s="296"/>
      <c r="AL171" s="296"/>
      <c r="AM171" s="296"/>
      <c r="AN171" s="296"/>
      <c r="AO171" s="296"/>
      <c r="AP171" s="296"/>
      <c r="AQ171" s="296"/>
      <c r="AR171" s="296"/>
      <c r="AS171" s="296"/>
    </row>
    <row r="172" spans="1:45" s="192" customFormat="1" x14ac:dyDescent="0.2">
      <c r="A172" s="301">
        <f t="shared" si="52"/>
        <v>51.008000000000003</v>
      </c>
      <c r="B172" s="301">
        <f t="shared" si="53"/>
        <v>2.8400000000000016</v>
      </c>
      <c r="C172" s="303">
        <f t="shared" si="54"/>
        <v>691.83097091893922</v>
      </c>
      <c r="D172" s="302">
        <f t="shared" si="28"/>
        <v>51.008272227369197</v>
      </c>
      <c r="E172" s="301">
        <f t="shared" si="29"/>
        <v>94.966949779379192</v>
      </c>
      <c r="G172" s="303"/>
      <c r="H172" s="315" t="str">
        <f t="shared" si="30"/>
        <v>1E+47-2.30048884455829E+52i</v>
      </c>
      <c r="I172" s="301" t="str">
        <f t="shared" si="31"/>
        <v>0.002-0.212811178960064i</v>
      </c>
      <c r="J172" s="301" t="str">
        <f t="shared" si="32"/>
        <v>0.002-0.212811178960064i</v>
      </c>
      <c r="K172" s="301"/>
      <c r="L172" s="301" t="str">
        <f t="shared" si="33"/>
        <v>0.0253163984887786-0.0030552780766661i</v>
      </c>
      <c r="M172" s="301" t="str">
        <f t="shared" si="34"/>
        <v>0.003+0.0013040706574589i</v>
      </c>
      <c r="N172" s="301" t="str">
        <f t="shared" si="35"/>
        <v>0.897295288435102-0.0524052488852685i</v>
      </c>
      <c r="O172" s="316">
        <f t="shared" si="36"/>
        <v>-0.92650377521382332</v>
      </c>
      <c r="P172" s="316">
        <f t="shared" si="37"/>
        <v>-3.3424811890307784</v>
      </c>
      <c r="Q172" s="301">
        <f t="shared" si="38"/>
        <v>4346.9021915296662</v>
      </c>
      <c r="R172" s="301">
        <f t="shared" si="55"/>
        <v>2.8400000000000016</v>
      </c>
      <c r="S172" s="308">
        <f t="shared" si="39"/>
        <v>15.723674478910903</v>
      </c>
      <c r="T172" s="301" t="str">
        <f t="shared" si="40"/>
        <v>1+0.0330915766591469i</v>
      </c>
      <c r="U172" s="303">
        <f t="shared" si="41"/>
        <v>35.284597748458296</v>
      </c>
      <c r="V172" s="301">
        <f t="shared" si="42"/>
        <v>98.30943096840997</v>
      </c>
      <c r="W172" s="301">
        <f t="shared" si="43"/>
        <v>59.990771284562719</v>
      </c>
      <c r="X172" s="303">
        <f t="shared" si="44"/>
        <v>-2.6446921199879392</v>
      </c>
      <c r="Y172" s="192" t="str">
        <f t="shared" si="45"/>
        <v>997.874081840132-46.0931960897143i</v>
      </c>
      <c r="Z172" s="192" t="str">
        <f t="shared" si="46"/>
        <v>-4843752.52786536i</v>
      </c>
      <c r="AA172" s="192" t="str">
        <f t="shared" si="47"/>
        <v>22150.1592153998-669359.439822194i</v>
      </c>
      <c r="AB172" s="192" t="str">
        <f t="shared" si="48"/>
        <v>1381.90263844297-343951.657416629i</v>
      </c>
      <c r="AC172" s="192" t="str">
        <f t="shared" si="49"/>
        <v>17097.7951437793-588159.684871056i</v>
      </c>
      <c r="AD172" s="192" t="str">
        <f t="shared" si="50"/>
        <v>9990.38952754771-290.420506441233i</v>
      </c>
      <c r="AE172" s="192" t="str">
        <f t="shared" si="51"/>
        <v>-8.39759769311576+57.4971833423454i</v>
      </c>
      <c r="AF172" s="296"/>
      <c r="AG172" s="296"/>
      <c r="AH172" s="296"/>
      <c r="AI172" s="296"/>
      <c r="AJ172" s="296"/>
      <c r="AK172" s="296"/>
      <c r="AL172" s="296"/>
      <c r="AM172" s="296"/>
      <c r="AN172" s="296"/>
      <c r="AO172" s="296"/>
      <c r="AP172" s="296"/>
      <c r="AQ172" s="296"/>
      <c r="AR172" s="296"/>
      <c r="AS172" s="296"/>
    </row>
    <row r="173" spans="1:45" s="192" customFormat="1" x14ac:dyDescent="0.2">
      <c r="A173" s="301">
        <f t="shared" si="52"/>
        <v>50.615000000000002</v>
      </c>
      <c r="B173" s="301">
        <f t="shared" si="53"/>
        <v>2.8600000000000021</v>
      </c>
      <c r="C173" s="303">
        <f t="shared" si="54"/>
        <v>724.43596007499343</v>
      </c>
      <c r="D173" s="302">
        <f t="shared" si="28"/>
        <v>50.615154149911149</v>
      </c>
      <c r="E173" s="301">
        <f t="shared" si="29"/>
        <v>94.74002072974055</v>
      </c>
      <c r="G173" s="303"/>
      <c r="H173" s="315" t="str">
        <f t="shared" si="30"/>
        <v>1E+47-2.19694979077819E+52i</v>
      </c>
      <c r="I173" s="301" t="str">
        <f t="shared" si="31"/>
        <v>0.002-0.203233098129342i</v>
      </c>
      <c r="J173" s="301" t="str">
        <f t="shared" si="32"/>
        <v>0.002-0.203233098129342i</v>
      </c>
      <c r="K173" s="301"/>
      <c r="L173" s="301" t="str">
        <f t="shared" si="33"/>
        <v>0.0252787118657677-0.00319412968499494i</v>
      </c>
      <c r="M173" s="301" t="str">
        <f t="shared" si="34"/>
        <v>0.003+0.00136552961410072i</v>
      </c>
      <c r="N173" s="301" t="str">
        <f t="shared" si="35"/>
        <v>0.897464356918016-0.0549185657989468i</v>
      </c>
      <c r="O173" s="316">
        <f t="shared" si="36"/>
        <v>-0.92342364761681661</v>
      </c>
      <c r="P173" s="316">
        <f t="shared" si="37"/>
        <v>-3.5017360170596588</v>
      </c>
      <c r="Q173" s="301">
        <f t="shared" si="38"/>
        <v>4551.7653803357362</v>
      </c>
      <c r="R173" s="301">
        <f t="shared" si="55"/>
        <v>2.8600000000000017</v>
      </c>
      <c r="S173" s="308">
        <f t="shared" si="39"/>
        <v>15.726754606507908</v>
      </c>
      <c r="T173" s="301" t="str">
        <f t="shared" si="40"/>
        <v>1+0.0346511346198075i</v>
      </c>
      <c r="U173" s="303">
        <f t="shared" si="41"/>
        <v>34.888399543403239</v>
      </c>
      <c r="V173" s="301">
        <f t="shared" si="42"/>
        <v>98.241756746800206</v>
      </c>
      <c r="W173" s="301">
        <f t="shared" si="43"/>
        <v>59.989881951147353</v>
      </c>
      <c r="X173" s="303">
        <f t="shared" si="44"/>
        <v>-2.7691438222925502</v>
      </c>
      <c r="Y173" s="192" t="str">
        <f t="shared" si="45"/>
        <v>997.66945437989-48.2556188637067i</v>
      </c>
      <c r="Z173" s="192" t="str">
        <f t="shared" si="46"/>
        <v>-4625747.75263401i</v>
      </c>
      <c r="AA173" s="192" t="str">
        <f t="shared" si="47"/>
        <v>22150.1592153998-639233.30241366i</v>
      </c>
      <c r="AB173" s="192" t="str">
        <f t="shared" si="48"/>
        <v>1381.90263844297-328471.282782664i</v>
      </c>
      <c r="AC173" s="192" t="str">
        <f t="shared" si="49"/>
        <v>17097.7685168137-561694.467543891i</v>
      </c>
      <c r="AD173" s="192" t="str">
        <f t="shared" si="50"/>
        <v>9989.46343845765-304.075513196287i</v>
      </c>
      <c r="AE173" s="192" t="str">
        <f t="shared" si="51"/>
        <v>-7.95826495235114+54.9428609189554i</v>
      </c>
      <c r="AF173" s="296"/>
      <c r="AG173" s="296"/>
      <c r="AH173" s="296"/>
      <c r="AI173" s="296"/>
      <c r="AJ173" s="296"/>
      <c r="AK173" s="296"/>
      <c r="AL173" s="296"/>
      <c r="AM173" s="296"/>
      <c r="AN173" s="296"/>
      <c r="AO173" s="296"/>
      <c r="AP173" s="296"/>
      <c r="AQ173" s="296"/>
      <c r="AR173" s="296"/>
      <c r="AS173" s="296"/>
    </row>
    <row r="174" spans="1:45" s="192" customFormat="1" x14ac:dyDescent="0.2">
      <c r="A174" s="301">
        <f t="shared" si="52"/>
        <v>50.222000000000001</v>
      </c>
      <c r="B174" s="301">
        <f t="shared" si="53"/>
        <v>2.8800000000000021</v>
      </c>
      <c r="C174" s="303">
        <f t="shared" si="54"/>
        <v>758.57757502918719</v>
      </c>
      <c r="D174" s="302">
        <f t="shared" si="28"/>
        <v>50.222166233907124</v>
      </c>
      <c r="E174" s="301">
        <f t="shared" si="29"/>
        <v>94.522597596967657</v>
      </c>
      <c r="G174" s="303"/>
      <c r="H174" s="315" t="str">
        <f t="shared" si="30"/>
        <v>1E+47-2.09807076205452E+52i</v>
      </c>
      <c r="I174" s="301" t="str">
        <f t="shared" si="31"/>
        <v>0.002-0.194086101947689i</v>
      </c>
      <c r="J174" s="301" t="str">
        <f t="shared" si="32"/>
        <v>0.002-0.194086101947689i</v>
      </c>
      <c r="K174" s="301"/>
      <c r="L174" s="301" t="str">
        <f t="shared" si="33"/>
        <v>0.0252375282235135-0.00333878361189864i</v>
      </c>
      <c r="M174" s="301" t="str">
        <f t="shared" si="34"/>
        <v>0.003+0.00142988504213379i</v>
      </c>
      <c r="N174" s="301" t="str">
        <f t="shared" si="35"/>
        <v>0.897649331692434-0.0575568114041659i</v>
      </c>
      <c r="O174" s="316">
        <f t="shared" si="36"/>
        <v>-0.92004718165263522</v>
      </c>
      <c r="P174" s="316">
        <f t="shared" si="37"/>
        <v>-3.6687534905446708</v>
      </c>
      <c r="Q174" s="301">
        <f t="shared" si="38"/>
        <v>4766.2834737793091</v>
      </c>
      <c r="R174" s="301">
        <f t="shared" si="55"/>
        <v>2.8800000000000017</v>
      </c>
      <c r="S174" s="308">
        <f t="shared" si="39"/>
        <v>15.730131072472091</v>
      </c>
      <c r="T174" s="301" t="str">
        <f t="shared" si="40"/>
        <v>1+0.0362841922827553i</v>
      </c>
      <c r="U174" s="303">
        <f t="shared" si="41"/>
        <v>34.492035161435034</v>
      </c>
      <c r="V174" s="301">
        <f t="shared" si="42"/>
        <v>98.191351087512331</v>
      </c>
      <c r="W174" s="301">
        <f t="shared" si="43"/>
        <v>59.988907025719115</v>
      </c>
      <c r="X174" s="303">
        <f t="shared" si="44"/>
        <v>-2.899432837448181</v>
      </c>
      <c r="Y174" s="192" t="str">
        <f t="shared" si="45"/>
        <v>997.445181123716-50.5184942051581i</v>
      </c>
      <c r="Z174" s="192" t="str">
        <f t="shared" si="46"/>
        <v>-4417554.8085708i</v>
      </c>
      <c r="AA174" s="192" t="str">
        <f t="shared" si="47"/>
        <v>22150.1592153998-610463.064543042i</v>
      </c>
      <c r="AB174" s="192" t="str">
        <f t="shared" si="48"/>
        <v>1381.90263844297-313687.639778396i</v>
      </c>
      <c r="AC174" s="192" t="str">
        <f t="shared" si="49"/>
        <v>17097.7393210219-536420.679468435i</v>
      </c>
      <c r="AD174" s="192" t="str">
        <f t="shared" si="50"/>
        <v>9988.44822657619-318.369314487944i</v>
      </c>
      <c r="AE174" s="192" t="str">
        <f t="shared" si="51"/>
        <v>-7.557083341096+52.4986602164378i</v>
      </c>
      <c r="AF174" s="296"/>
      <c r="AG174" s="296"/>
      <c r="AH174" s="296"/>
      <c r="AI174" s="296"/>
      <c r="AJ174" s="296"/>
      <c r="AK174" s="296"/>
      <c r="AL174" s="296"/>
      <c r="AM174" s="296"/>
      <c r="AN174" s="296"/>
      <c r="AO174" s="296"/>
      <c r="AP174" s="296"/>
      <c r="AQ174" s="296"/>
      <c r="AR174" s="296"/>
      <c r="AS174" s="296"/>
    </row>
    <row r="175" spans="1:45" s="192" customFormat="1" x14ac:dyDescent="0.2">
      <c r="A175" s="301">
        <f t="shared" si="52"/>
        <v>49.829000000000001</v>
      </c>
      <c r="B175" s="301">
        <f t="shared" si="53"/>
        <v>2.9000000000000017</v>
      </c>
      <c r="C175" s="303">
        <f t="shared" si="54"/>
        <v>794.32823472428493</v>
      </c>
      <c r="D175" s="302">
        <f t="shared" si="28"/>
        <v>49.82936728358959</v>
      </c>
      <c r="E175" s="301">
        <f t="shared" si="29"/>
        <v>94.314189121689424</v>
      </c>
      <c r="G175" s="303"/>
      <c r="H175" s="315" t="str">
        <f t="shared" si="30"/>
        <v>1E+47-2.00364202271041E+52i</v>
      </c>
      <c r="I175" s="301" t="str">
        <f t="shared" si="31"/>
        <v>0.002-0.185350788409844i</v>
      </c>
      <c r="J175" s="301" t="str">
        <f t="shared" si="32"/>
        <v>0.002-0.185350788409844i</v>
      </c>
      <c r="K175" s="301"/>
      <c r="L175" s="301" t="str">
        <f t="shared" si="33"/>
        <v>0.0251925373923472-0.00348940845237006i</v>
      </c>
      <c r="M175" s="301" t="str">
        <f t="shared" si="34"/>
        <v>0.003+0.00149727344804926i</v>
      </c>
      <c r="N175" s="301" t="str">
        <f t="shared" si="35"/>
        <v>0.897851663792699-0.0603268411272064i</v>
      </c>
      <c r="O175" s="316">
        <f t="shared" si="36"/>
        <v>-0.9163459589297579</v>
      </c>
      <c r="P175" s="316">
        <f t="shared" si="37"/>
        <v>-3.8439378427527653</v>
      </c>
      <c r="Q175" s="301">
        <f t="shared" si="38"/>
        <v>4990.911493497525</v>
      </c>
      <c r="R175" s="301">
        <f t="shared" si="55"/>
        <v>2.9000000000000017</v>
      </c>
      <c r="S175" s="308">
        <f t="shared" si="39"/>
        <v>15.733832295194967</v>
      </c>
      <c r="T175" s="301" t="str">
        <f t="shared" si="40"/>
        <v>1+0.0379942135822412i</v>
      </c>
      <c r="U175" s="303">
        <f t="shared" si="41"/>
        <v>34.095534988394625</v>
      </c>
      <c r="V175" s="301">
        <f t="shared" si="42"/>
        <v>98.158126964442189</v>
      </c>
      <c r="W175" s="301">
        <f t="shared" si="43"/>
        <v>59.987838292729798</v>
      </c>
      <c r="X175" s="303">
        <f t="shared" si="44"/>
        <v>-3.0358301482208847</v>
      </c>
      <c r="Y175" s="192" t="str">
        <f t="shared" si="45"/>
        <v>997.199386079012-52.8863413571234i</v>
      </c>
      <c r="Z175" s="192" t="str">
        <f t="shared" si="46"/>
        <v>-4218732.09052844i</v>
      </c>
      <c r="AA175" s="192" t="str">
        <f t="shared" si="47"/>
        <v>22150.1592153998-582987.700678529i</v>
      </c>
      <c r="AB175" s="192" t="str">
        <f t="shared" si="48"/>
        <v>1381.90263844297-299569.37031493i</v>
      </c>
      <c r="AC175" s="192" t="str">
        <f t="shared" si="49"/>
        <v>17097.7073085873-512284.711548462i</v>
      </c>
      <c r="AD175" s="192" t="str">
        <f t="shared" si="50"/>
        <v>9987.33533883453-333.331314729173i</v>
      </c>
      <c r="AE175" s="192" t="str">
        <f t="shared" si="51"/>
        <v>-7.1907818853585+50.1602148615608i</v>
      </c>
      <c r="AF175" s="296"/>
      <c r="AG175" s="296"/>
      <c r="AH175" s="296"/>
      <c r="AI175" s="296"/>
      <c r="AJ175" s="296"/>
      <c r="AK175" s="296"/>
      <c r="AL175" s="296"/>
      <c r="AM175" s="296"/>
      <c r="AN175" s="296"/>
      <c r="AO175" s="296"/>
      <c r="AP175" s="296"/>
      <c r="AQ175" s="296"/>
      <c r="AR175" s="296"/>
      <c r="AS175" s="296"/>
    </row>
    <row r="176" spans="1:45" s="192" customFormat="1" x14ac:dyDescent="0.2">
      <c r="A176" s="301">
        <f t="shared" si="52"/>
        <v>49.436999999999998</v>
      </c>
      <c r="B176" s="301">
        <f t="shared" si="53"/>
        <v>2.9200000000000021</v>
      </c>
      <c r="C176" s="303">
        <f t="shared" si="54"/>
        <v>831.76377110267515</v>
      </c>
      <c r="D176" s="302">
        <f t="shared" si="28"/>
        <v>49.436817723746998</v>
      </c>
      <c r="E176" s="301">
        <f t="shared" si="29"/>
        <v>94.114312043866136</v>
      </c>
      <c r="G176" s="303"/>
      <c r="H176" s="315" t="str">
        <f t="shared" si="30"/>
        <v>1E+47-1.91346327672943E+52i</v>
      </c>
      <c r="I176" s="301" t="str">
        <f t="shared" si="31"/>
        <v>0.002-0.177008628744628i</v>
      </c>
      <c r="J176" s="301" t="str">
        <f t="shared" si="32"/>
        <v>0.002-0.177008628744628i</v>
      </c>
      <c r="K176" s="301"/>
      <c r="L176" s="301" t="str">
        <f t="shared" si="33"/>
        <v>0.0251434045108511-0.00364616645862019i</v>
      </c>
      <c r="M176" s="301" t="str">
        <f t="shared" si="34"/>
        <v>0.003+0.00156783777169098i</v>
      </c>
      <c r="N176" s="301" t="str">
        <f t="shared" si="35"/>
        <v>0.898072926818606-0.0632359788302238i</v>
      </c>
      <c r="O176" s="316">
        <f t="shared" si="36"/>
        <v>-0.9122888555162435</v>
      </c>
      <c r="P176" s="316">
        <f t="shared" si="37"/>
        <v>-4.027718119764482</v>
      </c>
      <c r="Q176" s="301">
        <f t="shared" si="38"/>
        <v>5226.1259056366134</v>
      </c>
      <c r="R176" s="301">
        <f t="shared" si="55"/>
        <v>2.9200000000000017</v>
      </c>
      <c r="S176" s="308">
        <f t="shared" si="39"/>
        <v>15.737889398608482</v>
      </c>
      <c r="T176" s="301" t="str">
        <f t="shared" si="40"/>
        <v>1+0.039784825702708i</v>
      </c>
      <c r="U176" s="303">
        <f t="shared" si="41"/>
        <v>33.698928325138517</v>
      </c>
      <c r="V176" s="301">
        <f t="shared" si="42"/>
        <v>98.142030163630622</v>
      </c>
      <c r="W176" s="301">
        <f t="shared" si="43"/>
        <v>59.986666752512505</v>
      </c>
      <c r="X176" s="303">
        <f t="shared" si="44"/>
        <v>-3.1786189015348811</v>
      </c>
      <c r="Y176" s="192" t="str">
        <f t="shared" si="45"/>
        <v>996.930016159614-55.3638610276263i</v>
      </c>
      <c r="Z176" s="192" t="str">
        <f t="shared" si="46"/>
        <v>-4028857.86886538i</v>
      </c>
      <c r="AA176" s="192" t="str">
        <f t="shared" si="47"/>
        <v>22150.1592153998-556748.931889681i</v>
      </c>
      <c r="AB176" s="192" t="str">
        <f t="shared" si="48"/>
        <v>1381.90263844297-286086.527649868i</v>
      </c>
      <c r="AC176" s="192" t="str">
        <f t="shared" si="49"/>
        <v>17097.6722077886-489235.36815637i</v>
      </c>
      <c r="AD176" s="192" t="str">
        <f t="shared" si="50"/>
        <v>9986.1154061195-348.99220080182i</v>
      </c>
      <c r="AE176" s="192" t="str">
        <f t="shared" si="51"/>
        <v>-6.85636331575693+47.9232793282883i</v>
      </c>
      <c r="AF176" s="296"/>
      <c r="AG176" s="296"/>
      <c r="AH176" s="296"/>
      <c r="AI176" s="296"/>
      <c r="AJ176" s="296"/>
      <c r="AK176" s="296"/>
      <c r="AL176" s="296"/>
      <c r="AM176" s="296"/>
      <c r="AN176" s="296"/>
      <c r="AO176" s="296"/>
      <c r="AP176" s="296"/>
      <c r="AQ176" s="296"/>
      <c r="AR176" s="296"/>
      <c r="AS176" s="296"/>
    </row>
    <row r="177" spans="1:45" s="192" customFormat="1" x14ac:dyDescent="0.2">
      <c r="A177" s="301">
        <f t="shared" si="52"/>
        <v>49.045000000000002</v>
      </c>
      <c r="B177" s="301">
        <f t="shared" si="53"/>
        <v>2.9400000000000022</v>
      </c>
      <c r="C177" s="303">
        <f t="shared" si="54"/>
        <v>870.96358995608477</v>
      </c>
      <c r="D177" s="302">
        <f t="shared" si="28"/>
        <v>49.044580088022052</v>
      </c>
      <c r="E177" s="301">
        <f t="shared" si="29"/>
        <v>93.922489244225332</v>
      </c>
      <c r="G177" s="303"/>
      <c r="H177" s="315" t="str">
        <f t="shared" si="30"/>
        <v>1E+47-1.82734324290089E+52i</v>
      </c>
      <c r="I177" s="301" t="str">
        <f t="shared" si="31"/>
        <v>0.002-0.169041928112941i</v>
      </c>
      <c r="J177" s="301" t="str">
        <f t="shared" si="32"/>
        <v>0.002-0.169041928112941i</v>
      </c>
      <c r="K177" s="301"/>
      <c r="L177" s="301" t="str">
        <f t="shared" si="33"/>
        <v>0.0250897686191804-0.00380921142924077i</v>
      </c>
      <c r="M177" s="301" t="str">
        <f t="shared" si="34"/>
        <v>0.003+0.00164172768945014i</v>
      </c>
      <c r="N177" s="301" t="str">
        <f t="shared" si="35"/>
        <v>0.898314825067099-0.0662920609258227i</v>
      </c>
      <c r="O177" s="316">
        <f t="shared" si="36"/>
        <v>-0.90784178871050158</v>
      </c>
      <c r="P177" s="316">
        <f t="shared" si="37"/>
        <v>-4.2205502226758194</v>
      </c>
      <c r="Q177" s="301">
        <f t="shared" si="38"/>
        <v>5472.4256315004577</v>
      </c>
      <c r="R177" s="301">
        <f t="shared" si="55"/>
        <v>2.9400000000000017</v>
      </c>
      <c r="S177" s="308">
        <f t="shared" si="39"/>
        <v>15.742336465414224</v>
      </c>
      <c r="T177" s="301" t="str">
        <f t="shared" si="40"/>
        <v>1+0.0416598267725347i</v>
      </c>
      <c r="U177" s="303">
        <f t="shared" si="41"/>
        <v>33.302243622607826</v>
      </c>
      <c r="V177" s="301">
        <f t="shared" si="42"/>
        <v>98.143039466901158</v>
      </c>
      <c r="W177" s="301">
        <f t="shared" si="43"/>
        <v>59.985382547339761</v>
      </c>
      <c r="X177" s="303">
        <f t="shared" si="44"/>
        <v>-3.3280948928009821</v>
      </c>
      <c r="Y177" s="192" t="str">
        <f t="shared" si="45"/>
        <v>996.634824880883-57.9559393552354i</v>
      </c>
      <c r="Z177" s="192" t="str">
        <f t="shared" si="46"/>
        <v>-3847529.39490056i</v>
      </c>
      <c r="AA177" s="192" t="str">
        <f t="shared" si="47"/>
        <v>22150.1592153998-531691.102229999i</v>
      </c>
      <c r="AB177" s="192" t="str">
        <f t="shared" si="48"/>
        <v>1381.90263844297-273210.512866241i</v>
      </c>
      <c r="AC177" s="192" t="str">
        <f t="shared" si="49"/>
        <v>17097.6337206938-467223.758540313i</v>
      </c>
      <c r="AD177" s="192" t="str">
        <f t="shared" si="50"/>
        <v>9984.77816638234-365.383987330893i</v>
      </c>
      <c r="AE177" s="192" t="str">
        <f t="shared" si="51"/>
        <v>-6.55108232834968+45.7837328601371i</v>
      </c>
      <c r="AF177" s="296"/>
      <c r="AG177" s="296"/>
      <c r="AH177" s="296"/>
      <c r="AI177" s="296"/>
      <c r="AJ177" s="296"/>
      <c r="AK177" s="296"/>
      <c r="AL177" s="296"/>
      <c r="AM177" s="296"/>
      <c r="AN177" s="296"/>
      <c r="AO177" s="296"/>
      <c r="AP177" s="296"/>
      <c r="AQ177" s="296"/>
      <c r="AR177" s="296"/>
      <c r="AS177" s="296"/>
    </row>
    <row r="178" spans="1:45" s="192" customFormat="1" x14ac:dyDescent="0.2">
      <c r="A178" s="301">
        <f t="shared" si="52"/>
        <v>48.652999999999999</v>
      </c>
      <c r="B178" s="301">
        <f t="shared" si="53"/>
        <v>2.9600000000000022</v>
      </c>
      <c r="C178" s="303">
        <f t="shared" si="54"/>
        <v>912.01083935591396</v>
      </c>
      <c r="D178" s="302">
        <f t="shared" si="28"/>
        <v>48.652719524478897</v>
      </c>
      <c r="E178" s="301">
        <f t="shared" si="29"/>
        <v>93.7382476642303</v>
      </c>
      <c r="G178" s="303"/>
      <c r="H178" s="315" t="str">
        <f t="shared" si="30"/>
        <v>1E+47-1.74509924908672E+52i</v>
      </c>
      <c r="I178" s="301" t="str">
        <f t="shared" si="31"/>
        <v>0.002-0.161433788074627i</v>
      </c>
      <c r="J178" s="301" t="str">
        <f t="shared" si="32"/>
        <v>0.002-0.161433788074627i</v>
      </c>
      <c r="K178" s="301"/>
      <c r="L178" s="301" t="str">
        <f t="shared" si="33"/>
        <v>0.0250312412891866-0.00397868630293339i</v>
      </c>
      <c r="M178" s="301" t="str">
        <f t="shared" si="34"/>
        <v>0.003+0.00171909993174888i</v>
      </c>
      <c r="N178" s="301" t="str">
        <f t="shared" si="35"/>
        <v>0.898579201647219-0.0695034859627514i</v>
      </c>
      <c r="O178" s="316">
        <f t="shared" si="36"/>
        <v>-0.90296744111033511</v>
      </c>
      <c r="P178" s="316">
        <f t="shared" si="37"/>
        <v>-4.4229191803078551</v>
      </c>
      <c r="Q178" s="301">
        <f t="shared" si="38"/>
        <v>5730.3331058296008</v>
      </c>
      <c r="R178" s="301">
        <f t="shared" si="55"/>
        <v>2.9600000000000017</v>
      </c>
      <c r="S178" s="308">
        <f t="shared" si="39"/>
        <v>15.747210813014391</v>
      </c>
      <c r="T178" s="301" t="str">
        <f t="shared" si="40"/>
        <v>1+0.0436231939203763i</v>
      </c>
      <c r="U178" s="303">
        <f t="shared" si="41"/>
        <v>32.905508711464506</v>
      </c>
      <c r="V178" s="301">
        <f t="shared" si="42"/>
        <v>98.161166844538158</v>
      </c>
      <c r="W178" s="301">
        <f t="shared" si="43"/>
        <v>59.983974880689608</v>
      </c>
      <c r="X178" s="303">
        <f t="shared" si="44"/>
        <v>-3.4845670601386964</v>
      </c>
      <c r="Y178" s="192" t="str">
        <f t="shared" si="45"/>
        <v>996.311354637154-60.6676514033409i</v>
      </c>
      <c r="Z178" s="192" t="str">
        <f t="shared" si="46"/>
        <v>-3674362.04662957i</v>
      </c>
      <c r="AA178" s="192" t="str">
        <f t="shared" si="47"/>
        <v>22150.1592153998-507761.060683215i</v>
      </c>
      <c r="AB178" s="192" t="str">
        <f t="shared" si="48"/>
        <v>1381.90263844297-260914.014210374i</v>
      </c>
      <c r="AC178" s="192" t="str">
        <f t="shared" si="49"/>
        <v>17097.5915206326-446203.193120302i</v>
      </c>
      <c r="AD178" s="192" t="str">
        <f t="shared" si="50"/>
        <v>9983.31238069822-382.540061881703i</v>
      </c>
      <c r="AE178" s="192" t="str">
        <f t="shared" si="51"/>
        <v>-6.27242537611685+43.7375820749737i</v>
      </c>
      <c r="AF178" s="296"/>
      <c r="AG178" s="296"/>
      <c r="AH178" s="296"/>
      <c r="AI178" s="296"/>
      <c r="AJ178" s="296"/>
      <c r="AK178" s="296"/>
      <c r="AL178" s="296"/>
      <c r="AM178" s="296"/>
      <c r="AN178" s="296"/>
      <c r="AO178" s="296"/>
      <c r="AP178" s="296"/>
      <c r="AQ178" s="296"/>
      <c r="AR178" s="296"/>
      <c r="AS178" s="296"/>
    </row>
    <row r="179" spans="1:45" s="192" customFormat="1" x14ac:dyDescent="0.2">
      <c r="A179" s="301">
        <f t="shared" si="52"/>
        <v>48.261000000000003</v>
      </c>
      <c r="B179" s="301">
        <f t="shared" si="53"/>
        <v>2.9800000000000018</v>
      </c>
      <c r="C179" s="303">
        <f t="shared" si="54"/>
        <v>954.99258602144016</v>
      </c>
      <c r="D179" s="302">
        <f t="shared" si="28"/>
        <v>48.261304321788842</v>
      </c>
      <c r="E179" s="301">
        <f t="shared" si="29"/>
        <v>93.561115977014495</v>
      </c>
      <c r="G179" s="303"/>
      <c r="H179" s="315" t="str">
        <f t="shared" si="30"/>
        <v>1E+47-1.66655684474939E+52i</v>
      </c>
      <c r="I179" s="301" t="str">
        <f t="shared" si="31"/>
        <v>0.002-0.154168070744625i</v>
      </c>
      <c r="J179" s="301" t="str">
        <f t="shared" si="32"/>
        <v>0.002-0.154168070744625i</v>
      </c>
      <c r="K179" s="301"/>
      <c r="L179" s="301" t="str">
        <f t="shared" si="33"/>
        <v>0.0249674053225635-0.00415472043031753i</v>
      </c>
      <c r="M179" s="301" t="str">
        <f t="shared" si="34"/>
        <v>0.003+0.0018001186154866i</v>
      </c>
      <c r="N179" s="301" t="str">
        <f t="shared" si="35"/>
        <v>0.898868046397035-0.0728792704746596i</v>
      </c>
      <c r="O179" s="316">
        <f t="shared" si="36"/>
        <v>-0.8976249601891686</v>
      </c>
      <c r="P179" s="316">
        <f t="shared" si="37"/>
        <v>-4.6353416844562751</v>
      </c>
      <c r="Q179" s="301">
        <f t="shared" si="38"/>
        <v>6000.39538495535</v>
      </c>
      <c r="R179" s="301">
        <f t="shared" si="55"/>
        <v>2.9800000000000018</v>
      </c>
      <c r="S179" s="308">
        <f t="shared" si="39"/>
        <v>15.752553293935559</v>
      </c>
      <c r="T179" s="301" t="str">
        <f t="shared" si="40"/>
        <v>1+0.0456790917111864i</v>
      </c>
      <c r="U179" s="303">
        <f t="shared" si="41"/>
        <v>32.508751027853279</v>
      </c>
      <c r="V179" s="301">
        <f t="shared" si="42"/>
        <v>98.196457661470774</v>
      </c>
      <c r="W179" s="301">
        <f t="shared" si="43"/>
        <v>59.982431929132787</v>
      </c>
      <c r="X179" s="303">
        <f t="shared" si="44"/>
        <v>-3.6483579871054239</v>
      </c>
      <c r="Y179" s="192" t="str">
        <f t="shared" si="45"/>
        <v>995.956917455458-63.5042640688464i</v>
      </c>
      <c r="Z179" s="192" t="str">
        <f t="shared" si="46"/>
        <v>-3508988.5128898i</v>
      </c>
      <c r="AA179" s="192" t="str">
        <f t="shared" si="47"/>
        <v>22150.1592153998-484908.04842285i</v>
      </c>
      <c r="AB179" s="192" t="str">
        <f t="shared" si="48"/>
        <v>1381.90263844297-249170.949159999i</v>
      </c>
      <c r="AC179" s="192" t="str">
        <f t="shared" si="49"/>
        <v>17097.5452494251-426129.084453229i</v>
      </c>
      <c r="AD179" s="192" t="str">
        <f t="shared" si="50"/>
        <v>9981.70574166999-400.495229757972i</v>
      </c>
      <c r="AE179" s="192" t="str">
        <f t="shared" si="51"/>
        <v>-6.01809191831236+41.7809624446594i</v>
      </c>
      <c r="AF179" s="296"/>
      <c r="AG179" s="296"/>
      <c r="AH179" s="296"/>
      <c r="AI179" s="296"/>
      <c r="AJ179" s="296"/>
      <c r="AK179" s="296"/>
      <c r="AL179" s="296"/>
      <c r="AM179" s="296"/>
      <c r="AN179" s="296"/>
      <c r="AO179" s="296"/>
      <c r="AP179" s="296"/>
      <c r="AQ179" s="296"/>
      <c r="AR179" s="296"/>
      <c r="AS179" s="296"/>
    </row>
    <row r="180" spans="1:45" s="192" customFormat="1" x14ac:dyDescent="0.2">
      <c r="A180" s="301">
        <f t="shared" si="52"/>
        <v>47.87</v>
      </c>
      <c r="B180" s="301">
        <f t="shared" si="53"/>
        <v>3.0000000000000022</v>
      </c>
      <c r="C180" s="301">
        <f t="shared" si="54"/>
        <v>1000.0000000000051</v>
      </c>
      <c r="D180" s="302">
        <f t="shared" si="28"/>
        <v>47.870406459473728</v>
      </c>
      <c r="E180" s="301">
        <f t="shared" si="29"/>
        <v>93.390621975799149</v>
      </c>
      <c r="G180" s="301"/>
      <c r="H180" s="315" t="str">
        <f t="shared" si="30"/>
        <v>1E+47-1.59154943091894E+52i</v>
      </c>
      <c r="I180" s="301" t="str">
        <f t="shared" si="31"/>
        <v>0.002-0.147229364562345i</v>
      </c>
      <c r="J180" s="301" t="str">
        <f t="shared" si="32"/>
        <v>0.002-0.147229364562345i</v>
      </c>
      <c r="K180" s="301"/>
      <c r="L180" s="301" t="str">
        <f t="shared" si="33"/>
        <v>0.0248978135548154-0.00433742649768879i</v>
      </c>
      <c r="M180" s="301" t="str">
        <f t="shared" si="34"/>
        <v>0.003+0.00188495559215389i</v>
      </c>
      <c r="N180" s="301" t="str">
        <f t="shared" si="35"/>
        <v>0.89918350336171-0.0764291120079271i</v>
      </c>
      <c r="O180" s="316">
        <f t="shared" si="36"/>
        <v>-0.89176963151263622</v>
      </c>
      <c r="P180" s="316">
        <f t="shared" si="37"/>
        <v>-4.8583689246871016</v>
      </c>
      <c r="Q180" s="301">
        <f t="shared" si="38"/>
        <v>6283.1853071796186</v>
      </c>
      <c r="R180" s="301">
        <f t="shared" si="55"/>
        <v>3.0000000000000018</v>
      </c>
      <c r="S180" s="308">
        <f t="shared" si="39"/>
        <v>15.758408622612091</v>
      </c>
      <c r="T180" s="301" t="str">
        <f t="shared" si="40"/>
        <v>1+0.0478318809798186i</v>
      </c>
      <c r="U180" s="303">
        <f t="shared" si="41"/>
        <v>32.11199783686164</v>
      </c>
      <c r="V180" s="301">
        <f t="shared" si="42"/>
        <v>98.248990900486248</v>
      </c>
      <c r="W180" s="301">
        <f t="shared" si="43"/>
        <v>59.980740746210166</v>
      </c>
      <c r="X180" s="303">
        <f t="shared" si="44"/>
        <v>-3.8198044122225845</v>
      </c>
      <c r="Y180" s="192" t="str">
        <f t="shared" si="45"/>
        <v>995.568574115111-66.4712382733411i</v>
      </c>
      <c r="Z180" s="192" t="str">
        <f t="shared" si="46"/>
        <v>-3351058.01424414i</v>
      </c>
      <c r="AA180" s="192" t="str">
        <f t="shared" si="47"/>
        <v>22150.1592153998-463083.591145946i</v>
      </c>
      <c r="AB180" s="192" t="str">
        <f t="shared" si="48"/>
        <v>1381.90263844297-237956.409099723i</v>
      </c>
      <c r="AC180" s="192" t="str">
        <f t="shared" si="49"/>
        <v>17097.4945143428-406958.852656837i</v>
      </c>
      <c r="AD180" s="192" t="str">
        <f t="shared" si="50"/>
        <v>9979.9447735259-419.285758019099i</v>
      </c>
      <c r="AE180" s="192" t="str">
        <f t="shared" si="51"/>
        <v>-5.78597705151167+39.9101388189151i</v>
      </c>
      <c r="AF180" s="296"/>
      <c r="AG180" s="296"/>
      <c r="AH180" s="296"/>
      <c r="AI180" s="296"/>
      <c r="AJ180" s="296"/>
      <c r="AK180" s="296"/>
      <c r="AL180" s="296"/>
      <c r="AM180" s="296"/>
      <c r="AN180" s="296"/>
      <c r="AO180" s="296"/>
      <c r="AP180" s="296"/>
      <c r="AQ180" s="296"/>
      <c r="AR180" s="296"/>
      <c r="AS180" s="296"/>
    </row>
    <row r="181" spans="1:45" s="192" customFormat="1" x14ac:dyDescent="0.2">
      <c r="A181" s="301">
        <f t="shared" si="52"/>
        <v>47.48</v>
      </c>
      <c r="B181" s="301">
        <f t="shared" si="53"/>
        <v>3.0200000000000022</v>
      </c>
      <c r="C181" s="320">
        <f t="shared" si="54"/>
        <v>1047.1285480509046</v>
      </c>
      <c r="D181" s="302">
        <f t="shared" si="28"/>
        <v>47.480102185716909</v>
      </c>
      <c r="E181" s="301">
        <f t="shared" si="29"/>
        <v>93.226289639615686</v>
      </c>
      <c r="G181" s="320"/>
      <c r="H181" s="315" t="str">
        <f t="shared" si="30"/>
        <v>1E+47-1.51991790681423E+52i</v>
      </c>
      <c r="I181" s="301" t="str">
        <f t="shared" si="31"/>
        <v>0.002-0.140602951601686i</v>
      </c>
      <c r="J181" s="301" t="str">
        <f t="shared" si="32"/>
        <v>0.002-0.140602951601686i</v>
      </c>
      <c r="K181" s="301"/>
      <c r="L181" s="301" t="str">
        <f t="shared" si="33"/>
        <v>0.024821987810257-0.0045268970778404i</v>
      </c>
      <c r="M181" s="301" t="str">
        <f t="shared" si="34"/>
        <v>0.003+0.00197379081235252i</v>
      </c>
      <c r="N181" s="301" t="str">
        <f t="shared" si="35"/>
        <v>0.89952787751611-0.0801634603890801i</v>
      </c>
      <c r="O181" s="316">
        <f t="shared" si="36"/>
        <v>-0.88535252367067319</v>
      </c>
      <c r="P181" s="316">
        <f t="shared" si="37"/>
        <v>-5.0925897654909722</v>
      </c>
      <c r="Q181" s="301">
        <f t="shared" si="38"/>
        <v>6579.3027078417372</v>
      </c>
      <c r="R181" s="301">
        <f t="shared" si="55"/>
        <v>3.0200000000000018</v>
      </c>
      <c r="S181" s="308">
        <f t="shared" si="39"/>
        <v>15.764825730454053</v>
      </c>
      <c r="T181" s="301" t="str">
        <f t="shared" si="40"/>
        <v>1+0.0500861280809408i</v>
      </c>
      <c r="U181" s="303">
        <f t="shared" si="41"/>
        <v>31.715276455262856</v>
      </c>
      <c r="V181" s="301">
        <f t="shared" si="42"/>
        <v>98.318879405106657</v>
      </c>
      <c r="W181" s="301">
        <f t="shared" si="43"/>
        <v>59.978887157625429</v>
      </c>
      <c r="X181" s="303">
        <f t="shared" si="44"/>
        <v>-3.9992577432148697</v>
      </c>
      <c r="Y181" s="192" t="str">
        <f t="shared" si="45"/>
        <v>995.143111519222-69.5742302848558i</v>
      </c>
      <c r="Z181" s="192" t="str">
        <f t="shared" si="46"/>
        <v>-3200235.55893087i</v>
      </c>
      <c r="AA181" s="192" t="str">
        <f t="shared" si="47"/>
        <v>22150.1592153998-442241.39625256i</v>
      </c>
      <c r="AB181" s="192" t="str">
        <f t="shared" si="48"/>
        <v>1381.90263844297-227246.60648652i</v>
      </c>
      <c r="AC181" s="192" t="str">
        <f t="shared" si="49"/>
        <v>17097.4388847774-388651.835091943i</v>
      </c>
      <c r="AD181" s="192" t="str">
        <f t="shared" si="50"/>
        <v>9978.01472321568-438.949418265918i</v>
      </c>
      <c r="AE181" s="192" t="str">
        <f t="shared" si="51"/>
        <v>-5.57415544459243+38.121505142061i</v>
      </c>
      <c r="AF181" s="296"/>
      <c r="AG181" s="296"/>
      <c r="AH181" s="296"/>
      <c r="AI181" s="296"/>
      <c r="AJ181" s="296"/>
      <c r="AK181" s="296"/>
      <c r="AL181" s="296"/>
      <c r="AM181" s="296"/>
      <c r="AN181" s="296"/>
      <c r="AO181" s="296"/>
      <c r="AP181" s="296"/>
      <c r="AQ181" s="296"/>
      <c r="AR181" s="296"/>
      <c r="AS181" s="296"/>
    </row>
    <row r="182" spans="1:45" s="192" customFormat="1" x14ac:dyDescent="0.2">
      <c r="A182" s="301">
        <f t="shared" si="52"/>
        <v>47.09</v>
      </c>
      <c r="B182" s="301">
        <f t="shared" si="53"/>
        <v>3.0400000000000023</v>
      </c>
      <c r="C182" s="320">
        <f t="shared" si="54"/>
        <v>1096.4781961431902</v>
      </c>
      <c r="D182" s="302">
        <f t="shared" si="28"/>
        <v>47.090472626300567</v>
      </c>
      <c r="E182" s="301">
        <f t="shared" si="29"/>
        <v>93.067635828503214</v>
      </c>
      <c r="G182" s="320"/>
      <c r="H182" s="315" t="str">
        <f t="shared" si="30"/>
        <v>1E+47-1.45151033236881E+52i</v>
      </c>
      <c r="I182" s="301" t="str">
        <f t="shared" si="31"/>
        <v>0.002-0.134274776352341i</v>
      </c>
      <c r="J182" s="301" t="str">
        <f t="shared" si="32"/>
        <v>0.002-0.134274776352341i</v>
      </c>
      <c r="K182" s="301"/>
      <c r="L182" s="301" t="str">
        <f t="shared" si="33"/>
        <v>0.0247394180614795-0.00472320078544205i</v>
      </c>
      <c r="M182" s="301" t="str">
        <f t="shared" si="34"/>
        <v>0.003+0.0020668127074949i</v>
      </c>
      <c r="N182" s="301" t="str">
        <f t="shared" si="35"/>
        <v>0.899903640319226-0.0840935984607458i</v>
      </c>
      <c r="O182" s="316">
        <f t="shared" si="36"/>
        <v>-0.87832010296798679</v>
      </c>
      <c r="P182" s="316">
        <f t="shared" si="37"/>
        <v>-5.3386343153950513</v>
      </c>
      <c r="Q182" s="301">
        <f t="shared" si="38"/>
        <v>6889.3756916496686</v>
      </c>
      <c r="R182" s="301">
        <f t="shared" si="55"/>
        <v>3.0400000000000018</v>
      </c>
      <c r="S182" s="308">
        <f t="shared" si="39"/>
        <v>15.771858151156739</v>
      </c>
      <c r="T182" s="301" t="str">
        <f t="shared" si="40"/>
        <v>1+0.052446614574887i</v>
      </c>
      <c r="U182" s="303">
        <f t="shared" si="41"/>
        <v>31.318614475143832</v>
      </c>
      <c r="V182" s="301">
        <f t="shared" si="42"/>
        <v>98.406270143898269</v>
      </c>
      <c r="W182" s="301">
        <f t="shared" si="43"/>
        <v>59.976855647031371</v>
      </c>
      <c r="X182" s="303">
        <f t="shared" si="44"/>
        <v>-4.1870845734501918</v>
      </c>
      <c r="Y182" s="192" t="str">
        <f t="shared" si="45"/>
        <v>994.677018201599-72.8190919958145i</v>
      </c>
      <c r="Z182" s="192" t="str">
        <f t="shared" si="46"/>
        <v>-3056201.23230114i</v>
      </c>
      <c r="AA182" s="192" t="str">
        <f t="shared" si="47"/>
        <v>22150.1592153998-422337.254652963i</v>
      </c>
      <c r="AB182" s="192" t="str">
        <f t="shared" si="48"/>
        <v>1381.90263844297-217018.824393157i</v>
      </c>
      <c r="AC182" s="192" t="str">
        <f t="shared" si="49"/>
        <v>17097.377888588-371169.200111399i</v>
      </c>
      <c r="AD182" s="192" t="str">
        <f t="shared" si="50"/>
        <v>9975.8994417632-459.525527665523i</v>
      </c>
      <c r="AE182" s="192" t="str">
        <f t="shared" si="51"/>
        <v>-5.38086649972127+36.4115834927549i</v>
      </c>
      <c r="AF182" s="296"/>
      <c r="AG182" s="296"/>
      <c r="AH182" s="296"/>
      <c r="AI182" s="296"/>
      <c r="AJ182" s="296"/>
      <c r="AK182" s="296"/>
      <c r="AL182" s="296"/>
      <c r="AM182" s="296"/>
      <c r="AN182" s="296"/>
      <c r="AO182" s="296"/>
      <c r="AP182" s="296"/>
      <c r="AQ182" s="296"/>
      <c r="AR182" s="296"/>
      <c r="AS182" s="296"/>
    </row>
    <row r="183" spans="1:45" s="192" customFormat="1" x14ac:dyDescent="0.2">
      <c r="A183" s="301">
        <f t="shared" si="52"/>
        <v>46.701999999999998</v>
      </c>
      <c r="B183" s="301">
        <f t="shared" si="53"/>
        <v>3.0600000000000018</v>
      </c>
      <c r="C183" s="320">
        <f t="shared" si="54"/>
        <v>1148.153621496888</v>
      </c>
      <c r="D183" s="302">
        <f t="shared" si="28"/>
        <v>46.701604428245211</v>
      </c>
      <c r="E183" s="301">
        <f t="shared" si="29"/>
        <v>92.914166551570077</v>
      </c>
      <c r="G183" s="320"/>
      <c r="H183" s="315" t="str">
        <f t="shared" si="30"/>
        <v>1E+47-1.38618160594572E+52i</v>
      </c>
      <c r="I183" s="301" t="str">
        <f t="shared" si="31"/>
        <v>0.002-0.128231415906172i</v>
      </c>
      <c r="J183" s="301" t="str">
        <f t="shared" si="32"/>
        <v>0.002-0.128231415906172i</v>
      </c>
      <c r="K183" s="301"/>
      <c r="L183" s="301" t="str">
        <f t="shared" si="33"/>
        <v>0.0246495618557039-0.00492637801827437i</v>
      </c>
      <c r="M183" s="301" t="str">
        <f t="shared" si="34"/>
        <v>0.003+0.00216421858949228i</v>
      </c>
      <c r="N183" s="301" t="str">
        <f t="shared" si="35"/>
        <v>0.900313433565588-0.088231733711496i</v>
      </c>
      <c r="O183" s="316">
        <f t="shared" si="36"/>
        <v>-0.87061381592154585</v>
      </c>
      <c r="P183" s="316">
        <f t="shared" si="37"/>
        <v>-5.5971779455752406</v>
      </c>
      <c r="Q183" s="301">
        <f t="shared" si="38"/>
        <v>7214.0619649742785</v>
      </c>
      <c r="R183" s="301">
        <f t="shared" si="55"/>
        <v>3.0600000000000018</v>
      </c>
      <c r="S183" s="308">
        <f t="shared" si="39"/>
        <v>15.779564438203179</v>
      </c>
      <c r="T183" s="301" t="str">
        <f t="shared" si="40"/>
        <v>1+0.0549183473699865i</v>
      </c>
      <c r="U183" s="303">
        <f t="shared" si="41"/>
        <v>30.922039990042034</v>
      </c>
      <c r="V183" s="301">
        <f t="shared" si="42"/>
        <v>98.511344497145316</v>
      </c>
      <c r="W183" s="301">
        <f t="shared" si="43"/>
        <v>59.974629231641643</v>
      </c>
      <c r="X183" s="303">
        <f t="shared" si="44"/>
        <v>-4.3836671975753267</v>
      </c>
      <c r="Y183" s="192" t="str">
        <f t="shared" si="45"/>
        <v>994.166457851251-76.2118699574793i</v>
      </c>
      <c r="Z183" s="192" t="str">
        <f t="shared" si="46"/>
        <v>-2918649.51823717i</v>
      </c>
      <c r="AA183" s="192" t="str">
        <f t="shared" si="47"/>
        <v>22150.1592153998-403328.946994227i</v>
      </c>
      <c r="AB183" s="192" t="str">
        <f t="shared" si="48"/>
        <v>1381.90263844297-207251.368322553i</v>
      </c>
      <c r="AC183" s="192" t="str">
        <f t="shared" si="49"/>
        <v>17097.3110080963-354473.864692789i</v>
      </c>
      <c r="AD183" s="192" t="str">
        <f t="shared" si="50"/>
        <v>9973.58125508716-481.054987595579i</v>
      </c>
      <c r="AE183" s="192" t="str">
        <f t="shared" si="51"/>
        <v>-5.20450066237324+34.7770225603311i</v>
      </c>
      <c r="AF183" s="296"/>
      <c r="AG183" s="296"/>
      <c r="AH183" s="296"/>
      <c r="AI183" s="296"/>
      <c r="AJ183" s="296"/>
      <c r="AK183" s="296"/>
      <c r="AL183" s="296"/>
      <c r="AM183" s="296"/>
      <c r="AN183" s="296"/>
      <c r="AO183" s="296"/>
      <c r="AP183" s="296"/>
      <c r="AQ183" s="296"/>
      <c r="AR183" s="296"/>
      <c r="AS183" s="296"/>
    </row>
    <row r="184" spans="1:45" s="192" customFormat="1" x14ac:dyDescent="0.2">
      <c r="A184" s="301">
        <f t="shared" si="52"/>
        <v>46.314</v>
      </c>
      <c r="B184" s="301">
        <f t="shared" si="53"/>
        <v>3.0800000000000023</v>
      </c>
      <c r="C184" s="320">
        <f t="shared" si="54"/>
        <v>1202.2644346174193</v>
      </c>
      <c r="D184" s="302">
        <f t="shared" si="28"/>
        <v>46.313590441694934</v>
      </c>
      <c r="E184" s="301">
        <f t="shared" si="29"/>
        <v>92.765372741154891</v>
      </c>
      <c r="G184" s="320"/>
      <c r="H184" s="315" t="str">
        <f t="shared" si="30"/>
        <v>1E+47-1.32379315655745E+52i</v>
      </c>
      <c r="I184" s="301" t="str">
        <f t="shared" si="31"/>
        <v>0.002-0.122460051485426i</v>
      </c>
      <c r="J184" s="301" t="str">
        <f t="shared" si="32"/>
        <v>0.002-0.122460051485426i</v>
      </c>
      <c r="K184" s="301"/>
      <c r="L184" s="301" t="str">
        <f t="shared" si="33"/>
        <v>0.0245518440800889-0.00513643627117423i</v>
      </c>
      <c r="M184" s="301" t="str">
        <f t="shared" si="34"/>
        <v>0.003+0.00226621506927982i</v>
      </c>
      <c r="N184" s="301" t="str">
        <f t="shared" si="35"/>
        <v>0.900760070843842-0.0925911024540791i</v>
      </c>
      <c r="O184" s="316">
        <f t="shared" si="36"/>
        <v>-0.86216963767204502</v>
      </c>
      <c r="P184" s="316">
        <f t="shared" si="37"/>
        <v>-5.8689458248266693</v>
      </c>
      <c r="Q184" s="301">
        <f t="shared" si="38"/>
        <v>7554.0502309327412</v>
      </c>
      <c r="R184" s="301">
        <f t="shared" si="55"/>
        <v>3.0800000000000018</v>
      </c>
      <c r="S184" s="308">
        <f t="shared" si="39"/>
        <v>15.78800861645268</v>
      </c>
      <c r="T184" s="301" t="str">
        <f t="shared" si="40"/>
        <v>1+0.057506569342889i</v>
      </c>
      <c r="U184" s="303">
        <f t="shared" si="41"/>
        <v>30.525581825242256</v>
      </c>
      <c r="V184" s="301">
        <f t="shared" si="42"/>
        <v>98.634318565981559</v>
      </c>
      <c r="W184" s="301">
        <f t="shared" si="43"/>
        <v>59.972189326852799</v>
      </c>
      <c r="X184" s="303">
        <f t="shared" si="44"/>
        <v>-4.5894041227799933</v>
      </c>
      <c r="Y184" s="192" t="str">
        <f t="shared" si="45"/>
        <v>993.607240737213-79.7588029428371i</v>
      </c>
      <c r="Z184" s="192" t="str">
        <f t="shared" si="46"/>
        <v>-2787288.65111153i</v>
      </c>
      <c r="AA184" s="192" t="str">
        <f t="shared" si="47"/>
        <v>22150.1592153998-385176.154107318i</v>
      </c>
      <c r="AB184" s="192" t="str">
        <f t="shared" si="48"/>
        <v>1381.90263844297-197923.520190836i</v>
      </c>
      <c r="AC184" s="192" t="str">
        <f t="shared" si="49"/>
        <v>17097.237675697-338530.415780194i</v>
      </c>
      <c r="AD184" s="192" t="str">
        <f t="shared" si="50"/>
        <v>9971.04082345503-503.580319185788i</v>
      </c>
      <c r="AE184" s="192" t="str">
        <f t="shared" si="51"/>
        <v>-5.04358680520876+33.2145956566498i</v>
      </c>
      <c r="AF184" s="296"/>
      <c r="AG184" s="296"/>
      <c r="AH184" s="296"/>
      <c r="AI184" s="296"/>
      <c r="AJ184" s="296"/>
      <c r="AK184" s="296"/>
      <c r="AL184" s="296"/>
      <c r="AM184" s="296"/>
      <c r="AN184" s="296"/>
      <c r="AO184" s="296"/>
      <c r="AP184" s="296"/>
      <c r="AQ184" s="296"/>
      <c r="AR184" s="296"/>
      <c r="AS184" s="296"/>
    </row>
    <row r="185" spans="1:45" s="192" customFormat="1" x14ac:dyDescent="0.2">
      <c r="A185" s="301">
        <f t="shared" si="52"/>
        <v>45.927</v>
      </c>
      <c r="B185" s="301">
        <f t="shared" si="53"/>
        <v>3.1000000000000023</v>
      </c>
      <c r="C185" s="320">
        <f t="shared" si="54"/>
        <v>1258.9254117941734</v>
      </c>
      <c r="D185" s="302">
        <f t="shared" si="28"/>
        <v>45.926530443492936</v>
      </c>
      <c r="E185" s="301">
        <f t="shared" si="29"/>
        <v>92.620725454535972</v>
      </c>
      <c r="G185" s="320"/>
      <c r="H185" s="315" t="str">
        <f t="shared" si="30"/>
        <v>1E+47-1.26421264993828E+52i</v>
      </c>
      <c r="I185" s="301" t="str">
        <f t="shared" si="31"/>
        <v>0.002-0.116948441252385i</v>
      </c>
      <c r="J185" s="301" t="str">
        <f t="shared" si="32"/>
        <v>0.002-0.116948441252385i</v>
      </c>
      <c r="K185" s="301"/>
      <c r="L185" s="301" t="str">
        <f t="shared" si="33"/>
        <v>0.0244456571481805-0.00535334501721549i</v>
      </c>
      <c r="M185" s="301" t="str">
        <f t="shared" si="34"/>
        <v>0.003+0.00237301849506605i</v>
      </c>
      <c r="N185" s="301" t="str">
        <f t="shared" si="35"/>
        <v>0.901246535715867-0.097186088473856i</v>
      </c>
      <c r="O185" s="316">
        <f t="shared" si="36"/>
        <v>-0.85291758454676647</v>
      </c>
      <c r="P185" s="316">
        <f t="shared" si="37"/>
        <v>-6.1547180486849244</v>
      </c>
      <c r="Q185" s="301">
        <f t="shared" si="38"/>
        <v>7910.061650220161</v>
      </c>
      <c r="R185" s="301">
        <f t="shared" si="55"/>
        <v>3.1000000000000019</v>
      </c>
      <c r="S185" s="308">
        <f t="shared" si="39"/>
        <v>15.797260669577959</v>
      </c>
      <c r="T185" s="301" t="str">
        <f t="shared" si="40"/>
        <v>1+0.0602167704594077i</v>
      </c>
      <c r="U185" s="303">
        <f t="shared" si="41"/>
        <v>30.129269773914981</v>
      </c>
      <c r="V185" s="301">
        <f t="shared" si="42"/>
        <v>98.775443503220899</v>
      </c>
      <c r="W185" s="301">
        <f t="shared" si="43"/>
        <v>59.969515599014912</v>
      </c>
      <c r="X185" s="303">
        <f t="shared" si="44"/>
        <v>-4.8047105714802596</v>
      </c>
      <c r="Y185" s="192" t="str">
        <f t="shared" si="45"/>
        <v>992.994792919078-83.4663177781921i</v>
      </c>
      <c r="Z185" s="192" t="str">
        <f t="shared" si="46"/>
        <v>-2661839.99691321i</v>
      </c>
      <c r="AA185" s="192" t="str">
        <f t="shared" si="47"/>
        <v>22150.1592153998-367840.37148474i</v>
      </c>
      <c r="AB185" s="192" t="str">
        <f t="shared" si="48"/>
        <v>1381.90263844297-189015.494381512i</v>
      </c>
      <c r="AC185" s="192" t="str">
        <f t="shared" si="49"/>
        <v>17097.1572690431-323305.035168144i</v>
      </c>
      <c r="AD185" s="192" t="str">
        <f t="shared" si="50"/>
        <v>9968.25698869052-527.145694917012i</v>
      </c>
      <c r="AE185" s="192" t="str">
        <f t="shared" si="51"/>
        <v>-4.89678061306074+31.7211983493384i</v>
      </c>
      <c r="AF185" s="296"/>
      <c r="AG185" s="296"/>
      <c r="AH185" s="296"/>
      <c r="AI185" s="296"/>
      <c r="AJ185" s="296"/>
      <c r="AK185" s="296"/>
      <c r="AL185" s="296"/>
      <c r="AM185" s="296"/>
      <c r="AN185" s="296"/>
      <c r="AO185" s="296"/>
      <c r="AP185" s="296"/>
      <c r="AQ185" s="296"/>
      <c r="AR185" s="296"/>
      <c r="AS185" s="296"/>
    </row>
    <row r="186" spans="1:45" s="192" customFormat="1" x14ac:dyDescent="0.2">
      <c r="A186" s="301">
        <f t="shared" si="52"/>
        <v>45.540999999999997</v>
      </c>
      <c r="B186" s="301">
        <f t="shared" si="53"/>
        <v>3.1200000000000019</v>
      </c>
      <c r="C186" s="320">
        <f t="shared" si="54"/>
        <v>1318.2567385564134</v>
      </c>
      <c r="D186" s="302">
        <f t="shared" si="28"/>
        <v>45.540531905698849</v>
      </c>
      <c r="E186" s="301">
        <f t="shared" si="29"/>
        <v>92.479670410904461</v>
      </c>
      <c r="G186" s="320"/>
      <c r="H186" s="315" t="str">
        <f t="shared" si="30"/>
        <v>1E+47-1.20731370784557E+52i</v>
      </c>
      <c r="I186" s="301" t="str">
        <f t="shared" si="31"/>
        <v>0.002-0.111684894342791i</v>
      </c>
      <c r="J186" s="301" t="str">
        <f t="shared" si="32"/>
        <v>0.002-0.111684894342791i</v>
      </c>
      <c r="K186" s="301"/>
      <c r="L186" s="301" t="str">
        <f t="shared" si="33"/>
        <v>0.0243303616999995-0.00557703016081453i</v>
      </c>
      <c r="M186" s="301" t="str">
        <f t="shared" si="34"/>
        <v>0.003+0.00248485541123644i</v>
      </c>
      <c r="N186" s="301" t="str">
        <f t="shared" si="35"/>
        <v>0.901775975479535-0.102032358381141i</v>
      </c>
      <c r="O186" s="316">
        <f t="shared" si="36"/>
        <v>-0.84278118924153334</v>
      </c>
      <c r="P186" s="316">
        <f t="shared" si="37"/>
        <v>-6.4553354533528591</v>
      </c>
      <c r="Q186" s="301">
        <f t="shared" si="38"/>
        <v>8282.8513707881375</v>
      </c>
      <c r="R186" s="301">
        <f t="shared" si="55"/>
        <v>3.1200000000000019</v>
      </c>
      <c r="S186" s="308">
        <f t="shared" si="39"/>
        <v>15.807397064883194</v>
      </c>
      <c r="T186" s="301" t="str">
        <f t="shared" si="40"/>
        <v>1+0.0630546994194739i</v>
      </c>
      <c r="U186" s="303">
        <f t="shared" si="41"/>
        <v>29.733134840815655</v>
      </c>
      <c r="V186" s="301">
        <f t="shared" si="42"/>
        <v>98.93500586425732</v>
      </c>
      <c r="W186" s="301">
        <f t="shared" si="43"/>
        <v>59.966585805444275</v>
      </c>
      <c r="X186" s="303">
        <f t="shared" si="44"/>
        <v>-5.030018970482292</v>
      </c>
      <c r="Y186" s="192" t="str">
        <f t="shared" si="45"/>
        <v>992.324123134132-87.341023148475i</v>
      </c>
      <c r="Z186" s="192" t="str">
        <f t="shared" si="46"/>
        <v>-2542037.46222743i</v>
      </c>
      <c r="AA186" s="192" t="str">
        <f t="shared" si="47"/>
        <v>22150.1592153998-351284.827607297i</v>
      </c>
      <c r="AB186" s="192" t="str">
        <f t="shared" si="48"/>
        <v>1381.90263844297-180508.39577752i</v>
      </c>
      <c r="AC186" s="192" t="str">
        <f t="shared" si="49"/>
        <v>17097.0691057694-308765.427768399i</v>
      </c>
      <c r="AD186" s="192" t="str">
        <f t="shared" si="50"/>
        <v>9965.20660821208-551.796965305551i</v>
      </c>
      <c r="AE186" s="192" t="str">
        <f t="shared" si="51"/>
        <v>-4.76285389917422+30.2938457907904i</v>
      </c>
      <c r="AF186" s="296"/>
      <c r="AG186" s="296"/>
      <c r="AH186" s="296"/>
      <c r="AI186" s="296"/>
      <c r="AJ186" s="296"/>
      <c r="AK186" s="296"/>
      <c r="AL186" s="296"/>
      <c r="AM186" s="296"/>
      <c r="AN186" s="296"/>
      <c r="AO186" s="296"/>
      <c r="AP186" s="296"/>
      <c r="AQ186" s="296"/>
      <c r="AR186" s="296"/>
      <c r="AS186" s="296"/>
    </row>
    <row r="187" spans="1:45" s="192" customFormat="1" x14ac:dyDescent="0.2">
      <c r="A187" s="301">
        <f t="shared" si="52"/>
        <v>45.155999999999999</v>
      </c>
      <c r="B187" s="301">
        <f t="shared" si="53"/>
        <v>3.1400000000000019</v>
      </c>
      <c r="C187" s="320">
        <f t="shared" si="54"/>
        <v>1380.3842646028913</v>
      </c>
      <c r="D187" s="302">
        <f t="shared" si="28"/>
        <v>45.155710811980995</v>
      </c>
      <c r="E187" s="301">
        <f t="shared" si="29"/>
        <v>92.341621755248482</v>
      </c>
      <c r="G187" s="320"/>
      <c r="H187" s="315" t="str">
        <f t="shared" si="30"/>
        <v>1E+47-1.15297563999457E+52i</v>
      </c>
      <c r="I187" s="301" t="str">
        <f t="shared" si="31"/>
        <v>0.002-0.106658246067953i</v>
      </c>
      <c r="J187" s="301" t="str">
        <f t="shared" si="32"/>
        <v>0.002-0.106658246067953i</v>
      </c>
      <c r="K187" s="301"/>
      <c r="L187" s="301" t="str">
        <f t="shared" si="33"/>
        <v>0.0242052879183843-0.00580736808050877i</v>
      </c>
      <c r="M187" s="301" t="str">
        <f t="shared" si="34"/>
        <v>0.003+0.00260196303888444i</v>
      </c>
      <c r="N187" s="301" t="str">
        <f t="shared" si="35"/>
        <v>0.902351689059876-0.107147016264738i</v>
      </c>
      <c r="O187" s="316">
        <f t="shared" si="36"/>
        <v>-0.83167693745277549</v>
      </c>
      <c r="P187" s="316">
        <f t="shared" si="37"/>
        <v>-6.7717062202326446</v>
      </c>
      <c r="Q187" s="301">
        <f t="shared" si="38"/>
        <v>8673.2101296147848</v>
      </c>
      <c r="R187" s="301">
        <f t="shared" si="55"/>
        <v>3.1400000000000019</v>
      </c>
      <c r="S187" s="308">
        <f t="shared" si="39"/>
        <v>15.818501316671949</v>
      </c>
      <c r="T187" s="301" t="str">
        <f t="shared" si="40"/>
        <v>1+0.0660263758508995i</v>
      </c>
      <c r="U187" s="303">
        <f t="shared" si="41"/>
        <v>29.33720949530905</v>
      </c>
      <c r="V187" s="301">
        <f t="shared" si="42"/>
        <v>99.113327975481127</v>
      </c>
      <c r="W187" s="301">
        <f t="shared" si="43"/>
        <v>59.963375620730133</v>
      </c>
      <c r="X187" s="303">
        <f t="shared" si="44"/>
        <v>-5.2657794208600652</v>
      </c>
      <c r="Y187" s="192" t="str">
        <f t="shared" si="45"/>
        <v>991.589787261029-91.3897010422336i</v>
      </c>
      <c r="Z187" s="192" t="str">
        <f t="shared" si="46"/>
        <v>-2427626.92981594i</v>
      </c>
      <c r="AA187" s="192" t="str">
        <f t="shared" si="47"/>
        <v>22150.1592153998-335474.405946787i</v>
      </c>
      <c r="AB187" s="192" t="str">
        <f t="shared" si="48"/>
        <v>1381.90263844297-172384.179682155i</v>
      </c>
      <c r="AC187" s="192" t="str">
        <f t="shared" si="49"/>
        <v>17096.9724377072-294880.753107489i</v>
      </c>
      <c r="AD187" s="192" t="str">
        <f t="shared" si="50"/>
        <v>9961.86437494149-577.581679549189i</v>
      </c>
      <c r="AE187" s="192" t="str">
        <f t="shared" si="51"/>
        <v>-4.64068478603581+28.929669807136i</v>
      </c>
      <c r="AF187" s="296"/>
      <c r="AG187" s="296"/>
      <c r="AH187" s="296"/>
      <c r="AI187" s="296"/>
      <c r="AJ187" s="296"/>
      <c r="AK187" s="296"/>
      <c r="AL187" s="296"/>
      <c r="AM187" s="296"/>
      <c r="AN187" s="296"/>
      <c r="AO187" s="296"/>
      <c r="AP187" s="296"/>
      <c r="AQ187" s="296"/>
      <c r="AR187" s="296"/>
      <c r="AS187" s="296"/>
    </row>
    <row r="188" spans="1:45" s="192" customFormat="1" x14ac:dyDescent="0.2">
      <c r="A188" s="301">
        <f t="shared" si="52"/>
        <v>44.771999999999998</v>
      </c>
      <c r="B188" s="301">
        <f t="shared" si="53"/>
        <v>3.1600000000000024</v>
      </c>
      <c r="C188" s="320">
        <f t="shared" si="54"/>
        <v>1445.4397707459352</v>
      </c>
      <c r="D188" s="302">
        <f t="shared" si="28"/>
        <v>44.772192524316267</v>
      </c>
      <c r="E188" s="301">
        <f t="shared" si="29"/>
        <v>92.205954921953932</v>
      </c>
      <c r="G188" s="320"/>
      <c r="H188" s="315" t="str">
        <f t="shared" si="30"/>
        <v>1E+47-1.10108318805813E+52i</v>
      </c>
      <c r="I188" s="301" t="str">
        <f t="shared" si="31"/>
        <v>0.002-0.101857834232945i</v>
      </c>
      <c r="J188" s="301" t="str">
        <f t="shared" si="32"/>
        <v>0.002-0.101857834232945i</v>
      </c>
      <c r="K188" s="301"/>
      <c r="L188" s="301" t="str">
        <f t="shared" si="33"/>
        <v>0.0240697375735865-0.00604417929548475i</v>
      </c>
      <c r="M188" s="301" t="str">
        <f t="shared" si="34"/>
        <v>0.003+0.00272458977898917i</v>
      </c>
      <c r="N188" s="301" t="str">
        <f t="shared" si="35"/>
        <v>0.90297710716765-0.112548780667468i</v>
      </c>
      <c r="O188" s="316">
        <f t="shared" si="36"/>
        <v>-0.81951366533483316</v>
      </c>
      <c r="P188" s="316">
        <f t="shared" si="37"/>
        <v>-7.1048133947289669</v>
      </c>
      <c r="Q188" s="301">
        <f t="shared" si="38"/>
        <v>9081.9659299638897</v>
      </c>
      <c r="R188" s="301">
        <f t="shared" si="55"/>
        <v>3.1600000000000019</v>
      </c>
      <c r="S188" s="308">
        <f t="shared" si="39"/>
        <v>15.830664588789894</v>
      </c>
      <c r="T188" s="301" t="str">
        <f t="shared" si="40"/>
        <v>1+0.0691381030778155i</v>
      </c>
      <c r="U188" s="303">
        <f t="shared" si="41"/>
        <v>28.94152793552637</v>
      </c>
      <c r="V188" s="301">
        <f t="shared" si="42"/>
        <v>99.310768316682896</v>
      </c>
      <c r="W188" s="301">
        <f t="shared" si="43"/>
        <v>59.959858448349273</v>
      </c>
      <c r="X188" s="303">
        <f t="shared" si="44"/>
        <v>-5.5124601418446204</v>
      </c>
      <c r="Y188" s="192" t="str">
        <f t="shared" si="45"/>
        <v>990.78585027321-95.6192954592029i</v>
      </c>
      <c r="Z188" s="192" t="str">
        <f t="shared" si="46"/>
        <v>-2318365.71960021i</v>
      </c>
      <c r="AA188" s="192" t="str">
        <f t="shared" si="47"/>
        <v>22150.1592153998-320375.570479127i</v>
      </c>
      <c r="AB188" s="192" t="str">
        <f t="shared" si="48"/>
        <v>1381.90263844297-164625.613543845i</v>
      </c>
      <c r="AC188" s="192" t="str">
        <f t="shared" si="49"/>
        <v>17096.8664445412-281621.559909595i</v>
      </c>
      <c r="AD188" s="192" t="str">
        <f t="shared" si="50"/>
        <v>9958.20262208873-604.549098840963i</v>
      </c>
      <c r="AE188" s="192" t="str">
        <f t="shared" si="51"/>
        <v>-4.5292486875227+27.6259158024405i</v>
      </c>
      <c r="AF188" s="296"/>
      <c r="AG188" s="296"/>
      <c r="AH188" s="296"/>
      <c r="AI188" s="296"/>
      <c r="AJ188" s="296"/>
      <c r="AK188" s="296"/>
      <c r="AL188" s="296"/>
      <c r="AM188" s="296"/>
      <c r="AN188" s="296"/>
      <c r="AO188" s="296"/>
      <c r="AP188" s="296"/>
      <c r="AQ188" s="296"/>
      <c r="AR188" s="296"/>
      <c r="AS188" s="296"/>
    </row>
    <row r="189" spans="1:45" s="192" customFormat="1" x14ac:dyDescent="0.2">
      <c r="A189" s="301">
        <f t="shared" si="52"/>
        <v>44.39</v>
      </c>
      <c r="B189" s="301">
        <f t="shared" si="53"/>
        <v>3.1800000000000024</v>
      </c>
      <c r="C189" s="320">
        <f t="shared" si="54"/>
        <v>1513.5612484362159</v>
      </c>
      <c r="D189" s="302">
        <f t="shared" si="28"/>
        <v>44.390112701702122</v>
      </c>
      <c r="E189" s="301">
        <f t="shared" si="29"/>
        <v>92.071998448773925</v>
      </c>
      <c r="G189" s="320"/>
      <c r="H189" s="315" t="str">
        <f t="shared" si="30"/>
        <v>1E+47-1.05152628118837E+52i</v>
      </c>
      <c r="I189" s="301" t="str">
        <f t="shared" si="31"/>
        <v>0.002-0.0972734765206626i</v>
      </c>
      <c r="J189" s="301" t="str">
        <f t="shared" si="32"/>
        <v>0.002-0.097273476520663i</v>
      </c>
      <c r="K189" s="301"/>
      <c r="L189" s="301" t="str">
        <f t="shared" si="33"/>
        <v>0.0239229869160883-0.0062872218098744i</v>
      </c>
      <c r="M189" s="301" t="str">
        <f t="shared" si="34"/>
        <v>0.003+0.00285299573930725i</v>
      </c>
      <c r="N189" s="301" t="str">
        <f t="shared" si="35"/>
        <v>0.903655762346572-0.118258187396845i</v>
      </c>
      <c r="O189" s="316">
        <f t="shared" si="36"/>
        <v>-0.80619191794226774</v>
      </c>
      <c r="P189" s="316">
        <f t="shared" si="37"/>
        <v>-7.4557234640889298</v>
      </c>
      <c r="Q189" s="301">
        <f t="shared" si="38"/>
        <v>9509.9857976908243</v>
      </c>
      <c r="R189" s="301">
        <f t="shared" si="55"/>
        <v>3.1800000000000019</v>
      </c>
      <c r="S189" s="308">
        <f t="shared" si="39"/>
        <v>15.843986336182459</v>
      </c>
      <c r="T189" s="301" t="str">
        <f t="shared" si="40"/>
        <v>1+0.0723964814908663i</v>
      </c>
      <c r="U189" s="303">
        <f t="shared" si="41"/>
        <v>28.546126365519665</v>
      </c>
      <c r="V189" s="301">
        <f t="shared" si="42"/>
        <v>99.527721912862859</v>
      </c>
      <c r="W189" s="301">
        <f t="shared" si="43"/>
        <v>59.956005216571938</v>
      </c>
      <c r="X189" s="303">
        <f t="shared" si="44"/>
        <v>-5.7705478809681248</v>
      </c>
      <c r="Y189" s="192" t="str">
        <f t="shared" si="45"/>
        <v>989.905845613976-100.036897956163i</v>
      </c>
      <c r="Z189" s="192" t="str">
        <f t="shared" si="46"/>
        <v>-2214022.07390445i</v>
      </c>
      <c r="AA189" s="192" t="str">
        <f t="shared" si="47"/>
        <v>22150.1592153998-305956.294549954i</v>
      </c>
      <c r="AB189" s="192" t="str">
        <f t="shared" si="48"/>
        <v>1381.90263844297-157216.240403602i</v>
      </c>
      <c r="AC189" s="192" t="str">
        <f t="shared" si="49"/>
        <v>17096.7502268562-268959.723626082i</v>
      </c>
      <c r="AD189" s="192" t="str">
        <f t="shared" si="50"/>
        <v>9954.1911117948-632.750200864072i</v>
      </c>
      <c r="AE189" s="192" t="str">
        <f t="shared" si="51"/>
        <v>-4.42761003260005+26.3799395255508i</v>
      </c>
      <c r="AF189" s="296"/>
      <c r="AG189" s="296"/>
      <c r="AH189" s="296"/>
      <c r="AI189" s="296"/>
      <c r="AJ189" s="296"/>
      <c r="AK189" s="296"/>
      <c r="AL189" s="296"/>
      <c r="AM189" s="296"/>
      <c r="AN189" s="296"/>
      <c r="AO189" s="296"/>
      <c r="AP189" s="296"/>
      <c r="AQ189" s="296"/>
      <c r="AR189" s="296"/>
      <c r="AS189" s="296"/>
    </row>
    <row r="190" spans="1:45" s="192" customFormat="1" x14ac:dyDescent="0.2">
      <c r="A190" s="301">
        <f t="shared" si="52"/>
        <v>44.01</v>
      </c>
      <c r="B190" s="301">
        <f t="shared" si="53"/>
        <v>3.200000000000002</v>
      </c>
      <c r="C190" s="320">
        <f t="shared" si="54"/>
        <v>1584.8931924611213</v>
      </c>
      <c r="D190" s="302">
        <f t="shared" si="28"/>
        <v>44.009618271531217</v>
      </c>
      <c r="E190" s="301">
        <f t="shared" si="29"/>
        <v>91.939024565713211</v>
      </c>
      <c r="G190" s="320"/>
      <c r="H190" s="315" t="str">
        <f t="shared" si="30"/>
        <v>1E+47-1.00419980254158E+52i</v>
      </c>
      <c r="I190" s="301" t="str">
        <f t="shared" si="31"/>
        <v>0.002-0.0928954488937636i</v>
      </c>
      <c r="J190" s="301" t="str">
        <f t="shared" si="32"/>
        <v>0.002-0.0928954488937636i</v>
      </c>
      <c r="K190" s="301"/>
      <c r="L190" s="301" t="str">
        <f t="shared" si="33"/>
        <v>0.0237642905432902-0.00653618421263944i</v>
      </c>
      <c r="M190" s="301" t="str">
        <f t="shared" si="34"/>
        <v>0.003+0.0029874532860962i</v>
      </c>
      <c r="N190" s="301" t="str">
        <f t="shared" si="35"/>
        <v>0.904391245868344-0.124297822255016i</v>
      </c>
      <c r="O190" s="316">
        <f t="shared" si="36"/>
        <v>-0.79160326992421903</v>
      </c>
      <c r="P190" s="316">
        <f t="shared" si="37"/>
        <v>-7.8255961640002578</v>
      </c>
      <c r="Q190" s="301">
        <f t="shared" si="38"/>
        <v>9958.1776203206664</v>
      </c>
      <c r="R190" s="301">
        <f t="shared" si="55"/>
        <v>3.200000000000002</v>
      </c>
      <c r="S190" s="308">
        <f t="shared" si="39"/>
        <v>15.858574984200507</v>
      </c>
      <c r="T190" s="301" t="str">
        <f t="shared" si="40"/>
        <v>1+0.0758084225475247i</v>
      </c>
      <c r="U190" s="303">
        <f t="shared" si="41"/>
        <v>28.151043287330712</v>
      </c>
      <c r="V190" s="301">
        <f t="shared" si="42"/>
        <v>99.764620729713471</v>
      </c>
      <c r="W190" s="301">
        <f t="shared" si="43"/>
        <v>59.951784157619457</v>
      </c>
      <c r="X190" s="303">
        <f t="shared" si="44"/>
        <v>-6.040548281521092</v>
      </c>
      <c r="Y190" s="192" t="str">
        <f t="shared" si="45"/>
        <v>988.942731950122-104.649729555375i</v>
      </c>
      <c r="Z190" s="192" t="str">
        <f t="shared" si="46"/>
        <v>-2114374.66586655i</v>
      </c>
      <c r="AA190" s="192" t="str">
        <f t="shared" si="47"/>
        <v>22150.1592153998-292185.992941797i</v>
      </c>
      <c r="AB190" s="192" t="str">
        <f t="shared" si="48"/>
        <v>1381.90263844297-150140.343987604i</v>
      </c>
      <c r="AC190" s="192" t="str">
        <f t="shared" si="49"/>
        <v>17096.6227985146-256868.386779134i</v>
      </c>
      <c r="AD190" s="192" t="str">
        <f t="shared" si="50"/>
        <v>9949.79680660035-662.237673764726i</v>
      </c>
      <c r="AE190" s="192" t="str">
        <f t="shared" si="51"/>
        <v>-4.33491467432084+25.1892037401141i</v>
      </c>
      <c r="AF190" s="296"/>
      <c r="AG190" s="296"/>
      <c r="AH190" s="296"/>
      <c r="AI190" s="296"/>
      <c r="AJ190" s="296"/>
      <c r="AK190" s="296"/>
      <c r="AL190" s="296"/>
      <c r="AM190" s="296"/>
      <c r="AN190" s="296"/>
      <c r="AO190" s="296"/>
      <c r="AP190" s="296"/>
      <c r="AQ190" s="296"/>
      <c r="AR190" s="296"/>
      <c r="AS190" s="296"/>
    </row>
    <row r="191" spans="1:45" s="192" customFormat="1" x14ac:dyDescent="0.2">
      <c r="A191" s="301">
        <f t="shared" si="52"/>
        <v>43.631</v>
      </c>
      <c r="B191" s="301">
        <f t="shared" si="53"/>
        <v>3.2200000000000024</v>
      </c>
      <c r="C191" s="320">
        <f t="shared" si="54"/>
        <v>1659.5869074375701</v>
      </c>
      <c r="D191" s="302">
        <f t="shared" si="28"/>
        <v>43.630868452802702</v>
      </c>
      <c r="E191" s="301">
        <f t="shared" si="29"/>
        <v>91.806238352568272</v>
      </c>
      <c r="G191" s="320"/>
      <c r="H191" s="315" t="str">
        <f t="shared" si="30"/>
        <v>1E+47-9.59003366311403E+51i</v>
      </c>
      <c r="I191" s="301" t="str">
        <f t="shared" si="31"/>
        <v>0.002-0.088714464968677i</v>
      </c>
      <c r="J191" s="301" t="str">
        <f t="shared" si="32"/>
        <v>0.002-0.088714464968677i</v>
      </c>
      <c r="K191" s="301"/>
      <c r="L191" s="301" t="str">
        <f t="shared" si="33"/>
        <v>0.0235928863680636-0.00679067863863378i</v>
      </c>
      <c r="M191" s="301" t="str">
        <f t="shared" si="34"/>
        <v>0.003+0.0031282476218398i</v>
      </c>
      <c r="N191" s="301" t="str">
        <f t="shared" si="35"/>
        <v>0.905187147586544-0.130692588431597i</v>
      </c>
      <c r="O191" s="316">
        <f t="shared" si="36"/>
        <v>-0.77562961127393737</v>
      </c>
      <c r="P191" s="316">
        <f t="shared" si="37"/>
        <v>-8.2156957132162187</v>
      </c>
      <c r="Q191" s="301">
        <f t="shared" si="38"/>
        <v>10427.492072799349</v>
      </c>
      <c r="R191" s="301">
        <f t="shared" si="55"/>
        <v>3.220000000000002</v>
      </c>
      <c r="S191" s="308">
        <f t="shared" si="39"/>
        <v>15.87454864285079</v>
      </c>
      <c r="T191" s="301" t="str">
        <f t="shared" si="40"/>
        <v>1+0.0793811634322186i</v>
      </c>
      <c r="U191" s="303">
        <f t="shared" si="41"/>
        <v>27.756319809951911</v>
      </c>
      <c r="V191" s="301">
        <f t="shared" si="42"/>
        <v>100.02193406578449</v>
      </c>
      <c r="W191" s="301">
        <f t="shared" si="43"/>
        <v>59.947160569023339</v>
      </c>
      <c r="X191" s="303">
        <f t="shared" si="44"/>
        <v>-6.3229861970565597</v>
      </c>
      <c r="Y191" s="192" t="str">
        <f t="shared" si="45"/>
        <v>987.888847293866-109.46511848434i</v>
      </c>
      <c r="Z191" s="192" t="str">
        <f t="shared" si="46"/>
        <v>-2019212.12997411i</v>
      </c>
      <c r="AA191" s="192" t="str">
        <f t="shared" si="47"/>
        <v>22150.1592153998-279035.456998728i</v>
      </c>
      <c r="AB191" s="192" t="str">
        <f t="shared" si="48"/>
        <v>1381.90263844297-143382.91537087i</v>
      </c>
      <c r="AC191" s="192" t="str">
        <f t="shared" si="49"/>
        <v>17096.4830782997-245321.90199296i</v>
      </c>
      <c r="AD191" s="192" t="str">
        <f t="shared" si="50"/>
        <v>9944.98362270881-693.065897656738i</v>
      </c>
      <c r="AE191" s="192" t="str">
        <f t="shared" si="51"/>
        <v>-4.25038293138679+24.0512748322797i</v>
      </c>
      <c r="AF191" s="296"/>
      <c r="AG191" s="296"/>
      <c r="AH191" s="296"/>
      <c r="AI191" s="296"/>
      <c r="AJ191" s="296"/>
      <c r="AK191" s="296"/>
      <c r="AL191" s="296"/>
      <c r="AM191" s="296"/>
      <c r="AN191" s="296"/>
      <c r="AO191" s="296"/>
      <c r="AP191" s="296"/>
      <c r="AQ191" s="296"/>
      <c r="AR191" s="296"/>
      <c r="AS191" s="296"/>
    </row>
    <row r="192" spans="1:45" s="192" customFormat="1" x14ac:dyDescent="0.2">
      <c r="A192" s="301">
        <f t="shared" si="52"/>
        <v>43.253999999999998</v>
      </c>
      <c r="B192" s="301">
        <f t="shared" si="53"/>
        <v>3.2400000000000024</v>
      </c>
      <c r="C192" s="320">
        <f t="shared" si="54"/>
        <v>1737.8008287493849</v>
      </c>
      <c r="D192" s="302">
        <f t="shared" si="28"/>
        <v>43.254035828294313</v>
      </c>
      <c r="E192" s="301">
        <f t="shared" si="29"/>
        <v>91.672765222449229</v>
      </c>
      <c r="G192" s="320"/>
      <c r="H192" s="315" t="str">
        <f t="shared" si="30"/>
        <v>1E+47-9.15841104796989E+51i</v>
      </c>
      <c r="I192" s="301" t="str">
        <f t="shared" si="31"/>
        <v>0.002-0.0847216563179447i</v>
      </c>
      <c r="J192" s="301" t="str">
        <f t="shared" si="32"/>
        <v>0.002-0.0847216563179447i</v>
      </c>
      <c r="K192" s="301"/>
      <c r="L192" s="301" t="str">
        <f t="shared" si="33"/>
        <v>0.0234080018149357-0.0070502337280741i</v>
      </c>
      <c r="M192" s="301" t="str">
        <f t="shared" si="34"/>
        <v>0.003+0.00327567739020079i</v>
      </c>
      <c r="N192" s="301" t="str">
        <f t="shared" si="35"/>
        <v>0.906046973771546-0.137470014060684i</v>
      </c>
      <c r="O192" s="316">
        <f t="shared" si="36"/>
        <v>-0.75814240304537373</v>
      </c>
      <c r="P192" s="316">
        <f t="shared" si="37"/>
        <v>-8.6274037104933488</v>
      </c>
      <c r="Q192" s="301">
        <f t="shared" si="38"/>
        <v>10918.924634002644</v>
      </c>
      <c r="R192" s="301">
        <f t="shared" si="55"/>
        <v>3.240000000000002</v>
      </c>
      <c r="S192" s="308">
        <f t="shared" si="39"/>
        <v>15.892035851079351</v>
      </c>
      <c r="T192" s="301" t="str">
        <f t="shared" si="40"/>
        <v>1+0.0831222824073702i</v>
      </c>
      <c r="U192" s="303">
        <f t="shared" si="41"/>
        <v>27.36199997721496</v>
      </c>
      <c r="V192" s="301">
        <f t="shared" si="42"/>
        <v>100.30016893294258</v>
      </c>
      <c r="W192" s="301">
        <f t="shared" si="43"/>
        <v>59.942096556139589</v>
      </c>
      <c r="X192" s="303">
        <f t="shared" si="44"/>
        <v>-6.6184059411960474</v>
      </c>
      <c r="Y192" s="192" t="str">
        <f t="shared" si="45"/>
        <v>986.735860524847-114.490473156081i</v>
      </c>
      <c r="Z192" s="192" t="str">
        <f t="shared" si="46"/>
        <v>-1928332.61372983i</v>
      </c>
      <c r="AA192" s="192" t="str">
        <f t="shared" si="47"/>
        <v>22150.1592153998-266476.792670888i</v>
      </c>
      <c r="AB192" s="192" t="str">
        <f t="shared" si="48"/>
        <v>1381.90263844297-136929.621141319i</v>
      </c>
      <c r="AC192" s="192" t="str">
        <f t="shared" si="49"/>
        <v>17096.3298807554-234295.777591708i</v>
      </c>
      <c r="AD192" s="192" t="str">
        <f t="shared" si="50"/>
        <v>9939.71216403178-725.290911440047i</v>
      </c>
      <c r="AE192" s="192" t="str">
        <f t="shared" si="51"/>
        <v>-4.17330321296065+22.9638193853334i</v>
      </c>
      <c r="AF192" s="296"/>
      <c r="AG192" s="296"/>
      <c r="AH192" s="296"/>
      <c r="AI192" s="296"/>
      <c r="AJ192" s="296"/>
      <c r="AK192" s="296"/>
      <c r="AL192" s="296"/>
      <c r="AM192" s="296"/>
      <c r="AN192" s="296"/>
      <c r="AO192" s="296"/>
      <c r="AP192" s="296"/>
      <c r="AQ192" s="296"/>
      <c r="AR192" s="296"/>
      <c r="AS192" s="296"/>
    </row>
    <row r="193" spans="1:45" s="192" customFormat="1" x14ac:dyDescent="0.2">
      <c r="A193" s="301">
        <f t="shared" si="52"/>
        <v>42.878999999999998</v>
      </c>
      <c r="B193" s="301">
        <f t="shared" si="53"/>
        <v>3.2600000000000025</v>
      </c>
      <c r="C193" s="320">
        <f t="shared" si="54"/>
        <v>1819.700858609993</v>
      </c>
      <c r="D193" s="302">
        <f t="shared" si="28"/>
        <v>42.879307460008938</v>
      </c>
      <c r="E193" s="301">
        <f t="shared" si="29"/>
        <v>91.53763644554067</v>
      </c>
      <c r="G193" s="320"/>
      <c r="H193" s="315" t="str">
        <f t="shared" si="30"/>
        <v>1E+47-8.74621465054801E+51i</v>
      </c>
      <c r="I193" s="301" t="str">
        <f t="shared" si="31"/>
        <v>0.002-0.0809085536590936i</v>
      </c>
      <c r="J193" s="301" t="str">
        <f t="shared" si="32"/>
        <v>0.002-0.0809085536590936i</v>
      </c>
      <c r="K193" s="301"/>
      <c r="L193" s="301" t="str">
        <f t="shared" si="33"/>
        <v>0.0232088613614815-0.00731428775677119i</v>
      </c>
      <c r="M193" s="301" t="str">
        <f t="shared" si="34"/>
        <v>0.003+0.00343005530948412i</v>
      </c>
      <c r="N193" s="301" t="str">
        <f t="shared" si="35"/>
        <v>0.906974036547741-0.144660606306905i</v>
      </c>
      <c r="O193" s="316">
        <f t="shared" si="36"/>
        <v>-0.73900191081891375</v>
      </c>
      <c r="P193" s="316">
        <f t="shared" si="37"/>
        <v>-9.062233969654109</v>
      </c>
      <c r="Q193" s="301">
        <f t="shared" si="38"/>
        <v>11433.517698280386</v>
      </c>
      <c r="R193" s="301">
        <f t="shared" si="55"/>
        <v>3.260000000000002</v>
      </c>
      <c r="S193" s="308">
        <f t="shared" si="39"/>
        <v>15.911176343305813</v>
      </c>
      <c r="T193" s="301" t="str">
        <f t="shared" si="40"/>
        <v>1+0.0870397148879064i</v>
      </c>
      <c r="U193" s="303">
        <f t="shared" si="41"/>
        <v>26.968131116703123</v>
      </c>
      <c r="V193" s="301">
        <f t="shared" si="42"/>
        <v>100.59987041519477</v>
      </c>
      <c r="W193" s="301">
        <f t="shared" si="43"/>
        <v>59.936550754794744</v>
      </c>
      <c r="X193" s="303">
        <f t="shared" si="44"/>
        <v>-6.927371459357035</v>
      </c>
      <c r="Y193" s="192" t="str">
        <f t="shared" si="45"/>
        <v>985.474720396953-119.733249736154i</v>
      </c>
      <c r="Z193" s="192" t="str">
        <f t="shared" si="46"/>
        <v>-1841543.34949532i</v>
      </c>
      <c r="AA193" s="192" t="str">
        <f t="shared" si="47"/>
        <v>22150.1592153998-254483.361347469i</v>
      </c>
      <c r="AB193" s="192" t="str">
        <f t="shared" si="48"/>
        <v>1381.90263844297-130766.772996684i</v>
      </c>
      <c r="AC193" s="192" t="str">
        <f t="shared" si="49"/>
        <v>17096.1619061438-223766.625648702i</v>
      </c>
      <c r="AD193" s="192" t="str">
        <f t="shared" si="50"/>
        <v>9933.93943604722-758.970362412827i</v>
      </c>
      <c r="AE193" s="192" t="str">
        <f t="shared" si="51"/>
        <v>-4.10302618075605+21.9246007459388i</v>
      </c>
      <c r="AF193" s="296"/>
      <c r="AG193" s="296"/>
      <c r="AH193" s="296"/>
      <c r="AI193" s="296"/>
      <c r="AJ193" s="296"/>
      <c r="AK193" s="296"/>
      <c r="AL193" s="296"/>
      <c r="AM193" s="296"/>
      <c r="AN193" s="296"/>
      <c r="AO193" s="296"/>
      <c r="AP193" s="296"/>
      <c r="AQ193" s="296"/>
      <c r="AR193" s="296"/>
      <c r="AS193" s="296"/>
    </row>
    <row r="194" spans="1:45" s="192" customFormat="1" x14ac:dyDescent="0.2">
      <c r="A194" s="301">
        <f t="shared" si="52"/>
        <v>42.506999999999998</v>
      </c>
      <c r="B194" s="301">
        <f t="shared" si="53"/>
        <v>3.280000000000002</v>
      </c>
      <c r="C194" s="320">
        <f t="shared" si="54"/>
        <v>1905.4607179632569</v>
      </c>
      <c r="D194" s="302">
        <f t="shared" si="28"/>
        <v>42.506886038376059</v>
      </c>
      <c r="E194" s="301">
        <f t="shared" si="29"/>
        <v>91.399772376374457</v>
      </c>
      <c r="G194" s="320"/>
      <c r="H194" s="315" t="str">
        <f t="shared" si="30"/>
        <v>1E+47-8.35257014702543E+51i</v>
      </c>
      <c r="I194" s="301" t="str">
        <f t="shared" si="31"/>
        <v>0.002-0.0772670688901518i</v>
      </c>
      <c r="J194" s="301" t="str">
        <f t="shared" si="32"/>
        <v>0.002-0.0772670688901518i</v>
      </c>
      <c r="K194" s="301"/>
      <c r="L194" s="301" t="str">
        <f t="shared" si="33"/>
        <v>0.0229946955268118-0.00758218214731799i</v>
      </c>
      <c r="M194" s="301" t="str">
        <f t="shared" si="34"/>
        <v>0.003+0.00359170883595438i</v>
      </c>
      <c r="N194" s="301" t="str">
        <f t="shared" si="35"/>
        <v>0.907971306747812-0.152298259318849i</v>
      </c>
      <c r="O194" s="316">
        <f t="shared" si="36"/>
        <v>-0.71805642758390853</v>
      </c>
      <c r="P194" s="316">
        <f t="shared" si="37"/>
        <v>-9.5218496178445964</v>
      </c>
      <c r="Q194" s="301">
        <f t="shared" si="38"/>
        <v>11972.362786514601</v>
      </c>
      <c r="R194" s="301">
        <f t="shared" si="55"/>
        <v>3.280000000000002</v>
      </c>
      <c r="S194" s="308">
        <f t="shared" si="39"/>
        <v>15.932121826540817</v>
      </c>
      <c r="T194" s="301" t="str">
        <f t="shared" si="40"/>
        <v>1+0.0911417702733377i</v>
      </c>
      <c r="U194" s="303">
        <f t="shared" si="41"/>
        <v>26.574764211835241</v>
      </c>
      <c r="V194" s="301">
        <f t="shared" si="42"/>
        <v>100.92162199421905</v>
      </c>
      <c r="W194" s="301">
        <f t="shared" si="43"/>
        <v>59.930478033086594</v>
      </c>
      <c r="X194" s="303">
        <f t="shared" si="44"/>
        <v>-7.2504664072076421</v>
      </c>
      <c r="Y194" s="192" t="str">
        <f t="shared" si="45"/>
        <v>984.095602180642-125.200913576585i</v>
      </c>
      <c r="Z194" s="192" t="str">
        <f t="shared" si="46"/>
        <v>-1758660.24560511i</v>
      </c>
      <c r="AA194" s="192" t="str">
        <f t="shared" si="47"/>
        <v>22150.1592153998-243029.723352647i</v>
      </c>
      <c r="AB194" s="192" t="str">
        <f t="shared" si="48"/>
        <v>1381.90263844297-124881.298709782i</v>
      </c>
      <c r="AC194" s="192" t="str">
        <f t="shared" si="49"/>
        <v>17095.9777294385-213712.112376772i</v>
      </c>
      <c r="AD194" s="192" t="str">
        <f t="shared" si="50"/>
        <v>9927.61853857287-794.163435821476i</v>
      </c>
      <c r="AE194" s="192" t="str">
        <f t="shared" si="51"/>
        <v>-4.03895940563717+20.931475602669i</v>
      </c>
      <c r="AF194" s="296"/>
      <c r="AG194" s="296"/>
      <c r="AH194" s="296"/>
      <c r="AI194" s="296"/>
      <c r="AJ194" s="296"/>
      <c r="AK194" s="296"/>
      <c r="AL194" s="296"/>
      <c r="AM194" s="296"/>
      <c r="AN194" s="296"/>
      <c r="AO194" s="296"/>
      <c r="AP194" s="296"/>
      <c r="AQ194" s="296"/>
      <c r="AR194" s="296"/>
      <c r="AS194" s="296"/>
    </row>
    <row r="195" spans="1:45" s="192" customFormat="1" x14ac:dyDescent="0.2">
      <c r="A195" s="301">
        <f t="shared" si="52"/>
        <v>42.137</v>
      </c>
      <c r="B195" s="301">
        <f t="shared" si="53"/>
        <v>3.3000000000000025</v>
      </c>
      <c r="C195" s="320">
        <f t="shared" si="54"/>
        <v>1995.2623149688911</v>
      </c>
      <c r="D195" s="302">
        <f t="shared" si="28"/>
        <v>42.136991050501024</v>
      </c>
      <c r="E195" s="301">
        <f t="shared" si="29"/>
        <v>91.257962987558003</v>
      </c>
      <c r="G195" s="320"/>
      <c r="H195" s="315" t="str">
        <f t="shared" si="30"/>
        <v>1E+47-7.97664256463323E+51i</v>
      </c>
      <c r="I195" s="301" t="str">
        <f t="shared" si="31"/>
        <v>0.002-0.0737894779337025i</v>
      </c>
      <c r="J195" s="301" t="str">
        <f t="shared" si="32"/>
        <v>0.002-0.0737894779337025i</v>
      </c>
      <c r="K195" s="301"/>
      <c r="L195" s="301" t="str">
        <f t="shared" si="33"/>
        <v>0.0227647513843196-0.00785315561077403i</v>
      </c>
      <c r="M195" s="301" t="str">
        <f t="shared" si="34"/>
        <v>0.003+0.0037609808584145i</v>
      </c>
      <c r="N195" s="301" t="str">
        <f t="shared" si="35"/>
        <v>0.909041219664046-0.16042072446801i</v>
      </c>
      <c r="O195" s="316">
        <f t="shared" si="36"/>
        <v>-0.6951415029445418</v>
      </c>
      <c r="P195" s="316">
        <f t="shared" si="37"/>
        <v>-10.008082840469555</v>
      </c>
      <c r="Q195" s="301">
        <f t="shared" si="38"/>
        <v>12536.602861381665</v>
      </c>
      <c r="R195" s="301">
        <f t="shared" si="55"/>
        <v>3.300000000000002</v>
      </c>
      <c r="S195" s="308">
        <f t="shared" si="39"/>
        <v>15.955036751180184</v>
      </c>
      <c r="T195" s="301" t="str">
        <f t="shared" si="40"/>
        <v>1+0.0954371495731088i</v>
      </c>
      <c r="U195" s="303">
        <f t="shared" si="41"/>
        <v>26.181954299320836</v>
      </c>
      <c r="V195" s="301">
        <f t="shared" si="42"/>
        <v>101.26604582802756</v>
      </c>
      <c r="W195" s="301">
        <f t="shared" si="43"/>
        <v>59.923829171438776</v>
      </c>
      <c r="X195" s="303">
        <f t="shared" si="44"/>
        <v>-7.5882941186753614</v>
      </c>
      <c r="Y195" s="192" t="str">
        <f t="shared" si="45"/>
        <v>982.587852172367-130.900893729271i</v>
      </c>
      <c r="Z195" s="192" t="str">
        <f t="shared" si="46"/>
        <v>-1679507.49588352i</v>
      </c>
      <c r="AA195" s="192" t="str">
        <f t="shared" si="47"/>
        <v>22150.1592153998-232091.583984619i</v>
      </c>
      <c r="AB195" s="192" t="str">
        <f t="shared" si="48"/>
        <v>1381.90263844297-119260.71440057i</v>
      </c>
      <c r="AC195" s="192" t="str">
        <f t="shared" si="49"/>
        <v>17095.7757882579-204110.910754457i</v>
      </c>
      <c r="AD195" s="192" t="str">
        <f t="shared" si="50"/>
        <v>9920.69833666587-830.930761122382i</v>
      </c>
      <c r="AE195" s="192" t="str">
        <f t="shared" si="51"/>
        <v>-3.98056247903162+19.982390594063i</v>
      </c>
      <c r="AF195" s="296"/>
      <c r="AG195" s="296"/>
      <c r="AH195" s="296"/>
      <c r="AI195" s="296"/>
      <c r="AJ195" s="296"/>
      <c r="AK195" s="296"/>
      <c r="AL195" s="296"/>
      <c r="AM195" s="296"/>
      <c r="AN195" s="296"/>
      <c r="AO195" s="296"/>
      <c r="AP195" s="296"/>
      <c r="AQ195" s="296"/>
      <c r="AR195" s="296"/>
      <c r="AS195" s="296"/>
    </row>
    <row r="196" spans="1:45" s="192" customFormat="1" x14ac:dyDescent="0.2">
      <c r="A196" s="301">
        <f t="shared" si="52"/>
        <v>41.77</v>
      </c>
      <c r="B196" s="301">
        <f t="shared" si="53"/>
        <v>3.3200000000000025</v>
      </c>
      <c r="C196" s="320">
        <f t="shared" si="54"/>
        <v>2089.2961308540512</v>
      </c>
      <c r="D196" s="302">
        <f t="shared" si="28"/>
        <v>41.769859945744969</v>
      </c>
      <c r="E196" s="301">
        <f t="shared" si="29"/>
        <v>91.110845241559787</v>
      </c>
      <c r="G196" s="320"/>
      <c r="H196" s="315" t="str">
        <f t="shared" si="30"/>
        <v>1E+47-7.61763451056779E+51i</v>
      </c>
      <c r="I196" s="301" t="str">
        <f t="shared" si="31"/>
        <v>0.002-0.0704684043530784i</v>
      </c>
      <c r="J196" s="301" t="str">
        <f t="shared" si="32"/>
        <v>0.002-0.0704684043530785i</v>
      </c>
      <c r="K196" s="301"/>
      <c r="L196" s="301" t="str">
        <f t="shared" si="33"/>
        <v>0.0225183046405781-0.00812633920746242i</v>
      </c>
      <c r="M196" s="301" t="str">
        <f t="shared" si="34"/>
        <v>0.003+0.0039382304255188i</v>
      </c>
      <c r="N196" s="301" t="str">
        <f t="shared" si="35"/>
        <v>0.910185420152493-0.169070152460841i</v>
      </c>
      <c r="O196" s="316">
        <f t="shared" si="36"/>
        <v>-0.67007920260089338</v>
      </c>
      <c r="P196" s="316">
        <f t="shared" si="37"/>
        <v>-10.522957725485718</v>
      </c>
      <c r="Q196" s="301">
        <f t="shared" si="38"/>
        <v>13127.434751729332</v>
      </c>
      <c r="R196" s="301">
        <f t="shared" si="55"/>
        <v>3.3200000000000021</v>
      </c>
      <c r="S196" s="308">
        <f t="shared" si="39"/>
        <v>15.980099051523833</v>
      </c>
      <c r="T196" s="301" t="str">
        <f t="shared" si="40"/>
        <v>1+0.0999349638626059i</v>
      </c>
      <c r="U196" s="303">
        <f t="shared" si="41"/>
        <v>25.789760894221132</v>
      </c>
      <c r="V196" s="301">
        <f t="shared" si="42"/>
        <v>101.6338029670455</v>
      </c>
      <c r="W196" s="301">
        <f t="shared" si="43"/>
        <v>59.916550520119287</v>
      </c>
      <c r="X196" s="303">
        <f t="shared" si="44"/>
        <v>-7.9414774441662228</v>
      </c>
      <c r="Y196" s="192" t="str">
        <f t="shared" si="45"/>
        <v>980.939930401024-136.840529683105i</v>
      </c>
      <c r="Z196" s="192" t="str">
        <f t="shared" si="46"/>
        <v>-1603917.20673619i</v>
      </c>
      <c r="AA196" s="192" t="str">
        <f t="shared" si="47"/>
        <v>22150.1592153998-221645.741983282i</v>
      </c>
      <c r="AB196" s="192" t="str">
        <f t="shared" si="48"/>
        <v>1381.90263844297-113893.098056164i</v>
      </c>
      <c r="AC196" s="192" t="str">
        <f t="shared" si="49"/>
        <v>17095.5543696398-194942.655287559i</v>
      </c>
      <c r="AD196" s="192" t="str">
        <f t="shared" si="50"/>
        <v>9913.1231090121-869.33429132308i</v>
      </c>
      <c r="AE196" s="192" t="str">
        <f t="shared" si="51"/>
        <v>-3.92734254237656+19.0753789604401i</v>
      </c>
      <c r="AF196" s="296"/>
      <c r="AG196" s="296"/>
      <c r="AH196" s="296"/>
      <c r="AI196" s="296"/>
      <c r="AJ196" s="296"/>
      <c r="AK196" s="296"/>
      <c r="AL196" s="296"/>
      <c r="AM196" s="296"/>
      <c r="AN196" s="296"/>
      <c r="AO196" s="296"/>
      <c r="AP196" s="296"/>
      <c r="AQ196" s="296"/>
      <c r="AR196" s="296"/>
      <c r="AS196" s="296"/>
    </row>
    <row r="197" spans="1:45" s="192" customFormat="1" x14ac:dyDescent="0.2">
      <c r="A197" s="301">
        <f t="shared" si="52"/>
        <v>41.405999999999999</v>
      </c>
      <c r="B197" s="301">
        <f t="shared" si="53"/>
        <v>3.3400000000000025</v>
      </c>
      <c r="C197" s="320">
        <f t="shared" si="54"/>
        <v>2187.7616239495642</v>
      </c>
      <c r="D197" s="302">
        <f t="shared" si="28"/>
        <v>41.405749267483742</v>
      </c>
      <c r="E197" s="301">
        <f t="shared" si="29"/>
        <v>90.956876747947604</v>
      </c>
      <c r="G197" s="320"/>
      <c r="H197" s="315" t="str">
        <f t="shared" si="30"/>
        <v>1E+47-7.27478448061328E+51i</v>
      </c>
      <c r="I197" s="301" t="str">
        <f t="shared" si="31"/>
        <v>0.002-0.0672968037059504i</v>
      </c>
      <c r="J197" s="301" t="str">
        <f t="shared" si="32"/>
        <v>0.00200000000000001-0.0672968037059504i</v>
      </c>
      <c r="K197" s="301"/>
      <c r="L197" s="301" t="str">
        <f t="shared" si="33"/>
        <v>0.0222546732752191-0.00840075265192634i</v>
      </c>
      <c r="M197" s="301" t="str">
        <f t="shared" si="34"/>
        <v>0.003+0.00412383350736337i</v>
      </c>
      <c r="N197" s="301" t="str">
        <f t="shared" si="35"/>
        <v>0.91140442962047-0.178293718131818i</v>
      </c>
      <c r="O197" s="316">
        <f t="shared" si="36"/>
        <v>-0.64267743151657841</v>
      </c>
      <c r="P197" s="316">
        <f t="shared" si="37"/>
        <v>-11.068716741557727</v>
      </c>
      <c r="Q197" s="301">
        <f t="shared" si="38"/>
        <v>13746.111691211252</v>
      </c>
      <c r="R197" s="301">
        <f t="shared" si="55"/>
        <v>3.3400000000000021</v>
      </c>
      <c r="S197" s="308">
        <f t="shared" si="39"/>
        <v>16.007500822608147</v>
      </c>
      <c r="T197" s="301" t="str">
        <f t="shared" si="40"/>
        <v>1+0.10464475360897i</v>
      </c>
      <c r="U197" s="303">
        <f t="shared" si="41"/>
        <v>25.398248444875591</v>
      </c>
      <c r="V197" s="301">
        <f t="shared" si="42"/>
        <v>102.02559348950533</v>
      </c>
      <c r="W197" s="301">
        <f t="shared" si="43"/>
        <v>59.908583633588314</v>
      </c>
      <c r="X197" s="303">
        <f t="shared" si="44"/>
        <v>-8.3106584373139238</v>
      </c>
      <c r="Y197" s="192" t="str">
        <f t="shared" si="45"/>
        <v>979.139351979709-143.027009402594i</v>
      </c>
      <c r="Z197" s="192" t="str">
        <f t="shared" si="46"/>
        <v>-1531729.04102527i</v>
      </c>
      <c r="AA197" s="192" t="str">
        <f t="shared" si="47"/>
        <v>22150.1592153998-211670.040317255i</v>
      </c>
      <c r="AB197" s="192" t="str">
        <f t="shared" si="48"/>
        <v>1381.90263844297-108767.064242649i</v>
      </c>
      <c r="AC197" s="192" t="str">
        <f t="shared" si="49"/>
        <v>17095.3115955448-186187.89881009i</v>
      </c>
      <c r="AD197" s="192" t="str">
        <f t="shared" si="50"/>
        <v>9904.83217337652-909.437151327222i</v>
      </c>
      <c r="AE197" s="192" t="str">
        <f t="shared" si="51"/>
        <v>-3.87885020058136+18.2085572511224i</v>
      </c>
      <c r="AF197" s="296"/>
      <c r="AG197" s="296"/>
      <c r="AH197" s="296"/>
      <c r="AI197" s="296"/>
      <c r="AJ197" s="296"/>
      <c r="AK197" s="296"/>
      <c r="AL197" s="296"/>
      <c r="AM197" s="296"/>
      <c r="AN197" s="296"/>
      <c r="AO197" s="296"/>
      <c r="AP197" s="296"/>
      <c r="AQ197" s="296"/>
      <c r="AR197" s="296"/>
      <c r="AS197" s="296"/>
    </row>
    <row r="198" spans="1:45" s="192" customFormat="1" x14ac:dyDescent="0.2">
      <c r="A198" s="301">
        <f t="shared" si="52"/>
        <v>41.045000000000002</v>
      </c>
      <c r="B198" s="301">
        <f t="shared" si="53"/>
        <v>3.3600000000000021</v>
      </c>
      <c r="C198" s="320">
        <f t="shared" si="54"/>
        <v>2290.8676527677849</v>
      </c>
      <c r="D198" s="302">
        <f t="shared" si="28"/>
        <v>41.0449357072049</v>
      </c>
      <c r="E198" s="301">
        <f t="shared" si="29"/>
        <v>90.794305054384651</v>
      </c>
      <c r="G198" s="320"/>
      <c r="H198" s="315" t="str">
        <f t="shared" si="30"/>
        <v>1E+47-6.94736524388947E+51i</v>
      </c>
      <c r="I198" s="301" t="str">
        <f t="shared" si="31"/>
        <v>0.002-0.0642679486021226i</v>
      </c>
      <c r="J198" s="301" t="str">
        <f t="shared" si="32"/>
        <v>0.00200000000000001-0.0642679486021226i</v>
      </c>
      <c r="K198" s="301"/>
      <c r="L198" s="301" t="str">
        <f t="shared" si="33"/>
        <v>0.0219732326769116-0.00867530221786822i</v>
      </c>
      <c r="M198" s="301" t="str">
        <f t="shared" si="34"/>
        <v>0.003+0.00431818379296906i</v>
      </c>
      <c r="N198" s="301" t="str">
        <f t="shared" si="35"/>
        <v>0.912697212323499-0.188144339921333i</v>
      </c>
      <c r="O198" s="316">
        <f t="shared" si="36"/>
        <v>-0.61272936687398238</v>
      </c>
      <c r="P198" s="316">
        <f t="shared" si="37"/>
        <v>-11.647851481016279</v>
      </c>
      <c r="Q198" s="301">
        <f t="shared" si="38"/>
        <v>14393.945976563533</v>
      </c>
      <c r="R198" s="301">
        <f t="shared" si="55"/>
        <v>3.3600000000000021</v>
      </c>
      <c r="S198" s="308">
        <f t="shared" si="39"/>
        <v>16.037448887250743</v>
      </c>
      <c r="T198" s="301" t="str">
        <f t="shared" si="40"/>
        <v>1+0.109576508907704i</v>
      </c>
      <c r="U198" s="303">
        <f t="shared" si="41"/>
        <v>25.007486819954153</v>
      </c>
      <c r="V198" s="301">
        <f t="shared" si="42"/>
        <v>102.44215653540093</v>
      </c>
      <c r="W198" s="301">
        <f t="shared" si="43"/>
        <v>59.899864881246756</v>
      </c>
      <c r="X198" s="303">
        <f t="shared" si="44"/>
        <v>-8.6964978660591434</v>
      </c>
      <c r="Y198" s="192" t="str">
        <f t="shared" si="45"/>
        <v>977.172627691982-149.467297683232i</v>
      </c>
      <c r="Z198" s="192" t="str">
        <f t="shared" si="46"/>
        <v>-1462789.87797286i</v>
      </c>
      <c r="AA198" s="192" t="str">
        <f t="shared" si="47"/>
        <v>22150.1592153998-202143.319185837i</v>
      </c>
      <c r="AB198" s="192" t="str">
        <f t="shared" si="48"/>
        <v>1381.90263844297-103871.739955047i</v>
      </c>
      <c r="AC198" s="192" t="str">
        <f t="shared" si="49"/>
        <v>17095.0454069683-177828.071232948i</v>
      </c>
      <c r="AD198" s="192" t="str">
        <f t="shared" si="50"/>
        <v>9895.7594889574-951.303450727752i</v>
      </c>
      <c r="AE198" s="192" t="str">
        <f t="shared" si="51"/>
        <v>-3.8346757880921+17.3801220964795i</v>
      </c>
      <c r="AF198" s="296"/>
      <c r="AG198" s="296"/>
      <c r="AH198" s="296"/>
      <c r="AI198" s="296"/>
      <c r="AJ198" s="296"/>
      <c r="AK198" s="296"/>
      <c r="AL198" s="296"/>
      <c r="AM198" s="296"/>
      <c r="AN198" s="296"/>
      <c r="AO198" s="296"/>
      <c r="AP198" s="296"/>
      <c r="AQ198" s="296"/>
      <c r="AR198" s="296"/>
      <c r="AS198" s="296"/>
    </row>
    <row r="199" spans="1:45" s="192" customFormat="1" x14ac:dyDescent="0.2">
      <c r="A199" s="301">
        <f t="shared" si="52"/>
        <v>40.688000000000002</v>
      </c>
      <c r="B199" s="301">
        <f t="shared" si="53"/>
        <v>3.3800000000000026</v>
      </c>
      <c r="C199" s="320">
        <f t="shared" si="54"/>
        <v>2398.8329190195045</v>
      </c>
      <c r="D199" s="302">
        <f t="shared" si="28"/>
        <v>40.687717020058919</v>
      </c>
      <c r="E199" s="301">
        <f t="shared" si="29"/>
        <v>90.621131803642186</v>
      </c>
      <c r="G199" s="320"/>
      <c r="H199" s="315" t="str">
        <f t="shared" si="30"/>
        <v>1E+47-6.63468230029742E+51i</v>
      </c>
      <c r="I199" s="301" t="str">
        <f t="shared" si="31"/>
        <v>0.002-0.0613754144338338i</v>
      </c>
      <c r="J199" s="301" t="str">
        <f t="shared" si="32"/>
        <v>0.002-0.0613754144338338i</v>
      </c>
      <c r="K199" s="301"/>
      <c r="L199" s="301" t="str">
        <f t="shared" si="33"/>
        <v>0.0216734321380456-0.00894878062039829i</v>
      </c>
      <c r="M199" s="301" t="str">
        <f t="shared" si="34"/>
        <v>0.003+0.00452169352534862i</v>
      </c>
      <c r="N199" s="301" t="str">
        <f t="shared" si="35"/>
        <v>0.914060611749649-0.198681507080211i</v>
      </c>
      <c r="O199" s="316">
        <f t="shared" si="36"/>
        <v>-0.58001306393733076</v>
      </c>
      <c r="P199" s="316">
        <f t="shared" si="37"/>
        <v>-12.263138411656975</v>
      </c>
      <c r="Q199" s="301">
        <f t="shared" si="38"/>
        <v>15072.311751162069</v>
      </c>
      <c r="R199" s="301">
        <f t="shared" si="55"/>
        <v>3.3800000000000021</v>
      </c>
      <c r="S199" s="308">
        <f t="shared" si="39"/>
        <v>16.070165190187396</v>
      </c>
      <c r="T199" s="301" t="str">
        <f t="shared" si="40"/>
        <v>1+0.114740690673011i</v>
      </c>
      <c r="U199" s="303">
        <f t="shared" si="41"/>
        <v>24.617551829871523</v>
      </c>
      <c r="V199" s="301">
        <f t="shared" si="42"/>
        <v>102.88427021529915</v>
      </c>
      <c r="W199" s="301">
        <f t="shared" si="43"/>
        <v>59.890325034424585</v>
      </c>
      <c r="X199" s="303">
        <f t="shared" si="44"/>
        <v>-9.0996745211974464</v>
      </c>
      <c r="Y199" s="192" t="str">
        <f t="shared" si="45"/>
        <v>975.025204568222-156.16805378423i</v>
      </c>
      <c r="Z199" s="192" t="str">
        <f t="shared" si="46"/>
        <v>-1396953.48837128i</v>
      </c>
      <c r="AA199" s="192" t="str">
        <f t="shared" si="47"/>
        <v>22150.1592153998-193045.371136239i</v>
      </c>
      <c r="AB199" s="192" t="str">
        <f t="shared" si="48"/>
        <v>1381.90263844297-99196.7415542168i</v>
      </c>
      <c r="AC199" s="192" t="str">
        <f t="shared" si="49"/>
        <v>17094.7535465256-169845.440152797i</v>
      </c>
      <c r="AD199" s="192" t="str">
        <f t="shared" si="50"/>
        <v>9885.83323583881-994.998055977735i</v>
      </c>
      <c r="AE199" s="192" t="str">
        <f t="shared" si="51"/>
        <v>-3.79444595858842+16.5883470522943i</v>
      </c>
      <c r="AF199" s="296"/>
      <c r="AG199" s="296"/>
      <c r="AH199" s="296"/>
      <c r="AI199" s="296"/>
      <c r="AJ199" s="296"/>
      <c r="AK199" s="296"/>
      <c r="AL199" s="296"/>
      <c r="AM199" s="296"/>
      <c r="AN199" s="296"/>
      <c r="AO199" s="296"/>
      <c r="AP199" s="296"/>
      <c r="AQ199" s="296"/>
      <c r="AR199" s="296"/>
      <c r="AS199" s="296"/>
    </row>
    <row r="200" spans="1:45" s="192" customFormat="1" x14ac:dyDescent="0.2">
      <c r="A200" s="301">
        <f t="shared" si="52"/>
        <v>40.334000000000003</v>
      </c>
      <c r="B200" s="301">
        <f t="shared" si="53"/>
        <v>3.4000000000000026</v>
      </c>
      <c r="C200" s="320">
        <f t="shared" si="54"/>
        <v>2511.8864315095943</v>
      </c>
      <c r="D200" s="302">
        <f t="shared" si="28"/>
        <v>40.334412718092011</v>
      </c>
      <c r="E200" s="301">
        <f t="shared" si="29"/>
        <v>90.435070853984882</v>
      </c>
      <c r="G200" s="320"/>
      <c r="H200" s="315" t="str">
        <f t="shared" si="30"/>
        <v>1E+47-6.33607240739172E+51i</v>
      </c>
      <c r="I200" s="301" t="str">
        <f t="shared" si="31"/>
        <v>0.002-0.0586130657483043i</v>
      </c>
      <c r="J200" s="301" t="str">
        <f t="shared" si="32"/>
        <v>0.002-0.0586130657483044i</v>
      </c>
      <c r="K200" s="301"/>
      <c r="L200" s="301" t="str">
        <f t="shared" si="33"/>
        <v>0.0213548124861516-0.00921986926103182i</v>
      </c>
      <c r="M200" s="301" t="str">
        <f t="shared" si="34"/>
        <v>0.003+0.00473479437592945i</v>
      </c>
      <c r="N200" s="301" t="str">
        <f t="shared" si="35"/>
        <v>0.915488619201247-0.209972228296278i</v>
      </c>
      <c r="O200" s="316">
        <f t="shared" si="36"/>
        <v>-0.54429132077262832</v>
      </c>
      <c r="P200" s="316">
        <f t="shared" si="37"/>
        <v>-12.917680513069051</v>
      </c>
      <c r="Q200" s="301">
        <f t="shared" si="38"/>
        <v>15782.647919764846</v>
      </c>
      <c r="R200" s="301">
        <f t="shared" si="55"/>
        <v>3.4000000000000021</v>
      </c>
      <c r="S200" s="308">
        <f t="shared" si="39"/>
        <v>16.1058869333521</v>
      </c>
      <c r="T200" s="301" t="str">
        <f t="shared" si="40"/>
        <v>1+0.120148252826788i</v>
      </c>
      <c r="U200" s="303">
        <f t="shared" si="41"/>
        <v>24.228525784739915</v>
      </c>
      <c r="V200" s="301">
        <f t="shared" si="42"/>
        <v>103.35275136705393</v>
      </c>
      <c r="W200" s="301">
        <f t="shared" si="43"/>
        <v>59.879888829787795</v>
      </c>
      <c r="X200" s="303">
        <f t="shared" si="44"/>
        <v>-9.5208842927314326</v>
      </c>
      <c r="Y200" s="192" t="str">
        <f t="shared" si="45"/>
        <v>972.681407402191-163.135537256317i</v>
      </c>
      <c r="Z200" s="192" t="str">
        <f t="shared" si="46"/>
        <v>-1334080.22441136i</v>
      </c>
      <c r="AA200" s="192" t="str">
        <f t="shared" si="47"/>
        <v>22150.1592153998-184356.898200865i</v>
      </c>
      <c r="AB200" s="192" t="str">
        <f t="shared" si="48"/>
        <v>1381.90263844297-94732.1527417611i</v>
      </c>
      <c r="AC200" s="192" t="str">
        <f t="shared" si="49"/>
        <v>17094.4335393681-162223.073237582i</v>
      </c>
      <c r="AD200" s="192" t="str">
        <f t="shared" si="50"/>
        <v>9874.97537217854-1040.58631632123i</v>
      </c>
      <c r="AE200" s="192" t="str">
        <f t="shared" si="51"/>
        <v>-3.75782057163501+15.8315795223016i</v>
      </c>
      <c r="AF200" s="296"/>
      <c r="AG200" s="296"/>
      <c r="AH200" s="296"/>
      <c r="AI200" s="296"/>
      <c r="AJ200" s="296"/>
      <c r="AK200" s="296"/>
      <c r="AL200" s="296"/>
      <c r="AM200" s="296"/>
      <c r="AN200" s="296"/>
      <c r="AO200" s="296"/>
      <c r="AP200" s="296"/>
      <c r="AQ200" s="296"/>
      <c r="AR200" s="296"/>
      <c r="AS200" s="296"/>
    </row>
    <row r="201" spans="1:45" s="192" customFormat="1" x14ac:dyDescent="0.2">
      <c r="A201" s="301">
        <f t="shared" si="52"/>
        <v>39.984999999999999</v>
      </c>
      <c r="B201" s="301">
        <f t="shared" si="53"/>
        <v>3.4200000000000026</v>
      </c>
      <c r="C201" s="320">
        <f t="shared" si="54"/>
        <v>2630.2679918953963</v>
      </c>
      <c r="D201" s="302">
        <f t="shared" si="28"/>
        <v>39.985364426649213</v>
      </c>
      <c r="E201" s="301">
        <f t="shared" si="29"/>
        <v>90.233499305123857</v>
      </c>
      <c r="G201" s="320"/>
      <c r="H201" s="315" t="str">
        <f t="shared" si="30"/>
        <v>1E+47-6.05090217355407E+51i</v>
      </c>
      <c r="I201" s="301" t="str">
        <f t="shared" si="31"/>
        <v>0.002-0.0559750432336176i</v>
      </c>
      <c r="J201" s="301" t="str">
        <f t="shared" si="32"/>
        <v>0.002-0.0559750432336176i</v>
      </c>
      <c r="K201" s="301"/>
      <c r="L201" s="301" t="str">
        <f t="shared" si="33"/>
        <v>0.0210170245354082-0.00948714321119002i</v>
      </c>
      <c r="M201" s="301" t="str">
        <f t="shared" si="34"/>
        <v>0.003+0.00495793836018657i</v>
      </c>
      <c r="N201" s="301" t="str">
        <f t="shared" si="35"/>
        <v>0.916971425377368-0.222092115335745i</v>
      </c>
      <c r="O201" s="316">
        <f t="shared" si="36"/>
        <v>-0.50531191840664491</v>
      </c>
      <c r="P201" s="316">
        <f t="shared" si="37"/>
        <v>-13.614955824749256</v>
      </c>
      <c r="Q201" s="301">
        <f t="shared" si="38"/>
        <v>16526.46120062191</v>
      </c>
      <c r="R201" s="301">
        <f t="shared" si="55"/>
        <v>3.4200000000000021</v>
      </c>
      <c r="S201" s="308">
        <f t="shared" si="39"/>
        <v>16.144866335718081</v>
      </c>
      <c r="T201" s="301" t="str">
        <f t="shared" si="40"/>
        <v>1+0.125810665533366i</v>
      </c>
      <c r="U201" s="303">
        <f t="shared" si="41"/>
        <v>23.840498090931128</v>
      </c>
      <c r="V201" s="301">
        <f t="shared" si="42"/>
        <v>103.84845512987312</v>
      </c>
      <c r="W201" s="301">
        <f t="shared" si="43"/>
        <v>59.868474509766344</v>
      </c>
      <c r="X201" s="303">
        <f t="shared" si="44"/>
        <v>-9.9608389814756357</v>
      </c>
      <c r="Y201" s="192" t="str">
        <f t="shared" si="45"/>
        <v>970.124382383093-170.375500856962i</v>
      </c>
      <c r="Z201" s="192" t="str">
        <f t="shared" si="46"/>
        <v>-1274036.72347066i</v>
      </c>
      <c r="AA201" s="192" t="str">
        <f t="shared" si="47"/>
        <v>22150.1592153998-176059.470963734i</v>
      </c>
      <c r="AB201" s="192" t="str">
        <f t="shared" si="48"/>
        <v>1381.90263844297-90468.5035262325i</v>
      </c>
      <c r="AC201" s="192" t="str">
        <f t="shared" si="49"/>
        <v>17094.0826722674-154944.802308845i</v>
      </c>
      <c r="AD201" s="192" t="str">
        <f t="shared" si="50"/>
        <v>9863.10117032188-1088.13373729281i</v>
      </c>
      <c r="AE201" s="192" t="str">
        <f t="shared" si="51"/>
        <v>-3.72448985174691+15.1082377633434i</v>
      </c>
      <c r="AF201" s="296"/>
      <c r="AG201" s="296"/>
      <c r="AH201" s="296"/>
      <c r="AI201" s="296"/>
      <c r="AJ201" s="296"/>
      <c r="AK201" s="296"/>
      <c r="AL201" s="296"/>
      <c r="AM201" s="296"/>
      <c r="AN201" s="296"/>
      <c r="AO201" s="296"/>
      <c r="AP201" s="296"/>
      <c r="AQ201" s="296"/>
      <c r="AR201" s="296"/>
      <c r="AS201" s="296"/>
    </row>
    <row r="202" spans="1:45" s="192" customFormat="1" x14ac:dyDescent="0.2">
      <c r="A202" s="301">
        <f t="shared" si="52"/>
        <v>39.640999999999998</v>
      </c>
      <c r="B202" s="301">
        <f t="shared" si="53"/>
        <v>3.4400000000000022</v>
      </c>
      <c r="C202" s="320">
        <f t="shared" si="54"/>
        <v>2754.2287033381813</v>
      </c>
      <c r="D202" s="302">
        <f t="shared" si="28"/>
        <v>39.640935748150113</v>
      </c>
      <c r="E202" s="301">
        <f t="shared" si="29"/>
        <v>90.013400196371038</v>
      </c>
      <c r="G202" s="320"/>
      <c r="H202" s="315" t="str">
        <f t="shared" si="30"/>
        <v>1E+47-5.77856671448514E+51i</v>
      </c>
      <c r="I202" s="301" t="str">
        <f t="shared" si="31"/>
        <v>0.002-0.0534557512903342i</v>
      </c>
      <c r="J202" s="301" t="str">
        <f t="shared" si="32"/>
        <v>0.002-0.0534557512903341i</v>
      </c>
      <c r="K202" s="301"/>
      <c r="L202" s="301" t="str">
        <f t="shared" si="33"/>
        <v>0.0206598479401931-0.00974907927809575i</v>
      </c>
      <c r="M202" s="301" t="str">
        <f t="shared" si="34"/>
        <v>0.003+0.00519159879642802i</v>
      </c>
      <c r="N202" s="301" t="str">
        <f t="shared" si="35"/>
        <v>0.918494191019053-0.235126613833843i</v>
      </c>
      <c r="O202" s="316">
        <f t="shared" si="36"/>
        <v>-0.46280839413407665</v>
      </c>
      <c r="P202" s="316">
        <f t="shared" si="37"/>
        <v>-14.35887410488842</v>
      </c>
      <c r="Q202" s="301">
        <f t="shared" si="38"/>
        <v>17305.329321426743</v>
      </c>
      <c r="R202" s="301">
        <f t="shared" si="55"/>
        <v>3.4400000000000022</v>
      </c>
      <c r="S202" s="308">
        <f t="shared" si="39"/>
        <v>16.18736985999065</v>
      </c>
      <c r="T202" s="301" t="str">
        <f t="shared" si="40"/>
        <v>1+0.131739939529271i</v>
      </c>
      <c r="U202" s="303">
        <f t="shared" si="41"/>
        <v>23.453565888159467</v>
      </c>
      <c r="V202" s="301">
        <f t="shared" si="42"/>
        <v>104.37227430125945</v>
      </c>
      <c r="W202" s="301">
        <f t="shared" si="43"/>
        <v>59.855993341124744</v>
      </c>
      <c r="X202" s="303">
        <f t="shared" si="44"/>
        <v>-10.420264810437594</v>
      </c>
      <c r="Y202" s="192" t="str">
        <f t="shared" si="45"/>
        <v>967.336044276393-177.893069444085i</v>
      </c>
      <c r="Z202" s="192" t="str">
        <f t="shared" si="46"/>
        <v>-1216695.62523352i</v>
      </c>
      <c r="AA202" s="192" t="str">
        <f t="shared" si="47"/>
        <v>22150.1592153998-168135.489469222i</v>
      </c>
      <c r="AB202" s="192" t="str">
        <f t="shared" si="48"/>
        <v>1381.90263844297-86396.7501360061i</v>
      </c>
      <c r="AC202" s="192" t="str">
        <f t="shared" si="49"/>
        <v>17093.697970696-147995.189044639i</v>
      </c>
      <c r="AD202" s="192" t="str">
        <f t="shared" si="50"/>
        <v>9850.11873371223-1137.70559500272i</v>
      </c>
      <c r="AE202" s="192" t="str">
        <f t="shared" si="51"/>
        <v>-3.69417179732404+14.4168079763871i</v>
      </c>
      <c r="AF202" s="296"/>
      <c r="AG202" s="296"/>
      <c r="AH202" s="296"/>
      <c r="AI202" s="296"/>
      <c r="AJ202" s="296"/>
      <c r="AK202" s="296"/>
      <c r="AL202" s="296"/>
      <c r="AM202" s="296"/>
      <c r="AN202" s="296"/>
      <c r="AO202" s="296"/>
      <c r="AP202" s="296"/>
      <c r="AQ202" s="296"/>
      <c r="AR202" s="296"/>
      <c r="AS202" s="296"/>
    </row>
    <row r="203" spans="1:45" s="192" customFormat="1" x14ac:dyDescent="0.2">
      <c r="A203" s="301">
        <f t="shared" si="52"/>
        <v>39.302</v>
      </c>
      <c r="B203" s="301">
        <f t="shared" si="53"/>
        <v>3.4600000000000026</v>
      </c>
      <c r="C203" s="320">
        <f t="shared" si="54"/>
        <v>2884.0315031266232</v>
      </c>
      <c r="D203" s="302">
        <f t="shared" si="28"/>
        <v>39.301511421974247</v>
      </c>
      <c r="E203" s="301">
        <f t="shared" si="29"/>
        <v>89.771295449815881</v>
      </c>
      <c r="G203" s="320"/>
      <c r="H203" s="315" t="str">
        <f t="shared" si="30"/>
        <v>1E+47-5.51848837016352E+51i</v>
      </c>
      <c r="I203" s="301" t="str">
        <f t="shared" si="31"/>
        <v>0.002-0.0510498461624749i</v>
      </c>
      <c r="J203" s="301" t="str">
        <f t="shared" si="32"/>
        <v>0.002-0.051049846162475i</v>
      </c>
      <c r="K203" s="301"/>
      <c r="L203" s="301" t="str">
        <f t="shared" si="33"/>
        <v>0.0202832099295057-0.010004067439012i</v>
      </c>
      <c r="M203" s="301" t="str">
        <f t="shared" si="34"/>
        <v>0.003+0.00543627130976648i</v>
      </c>
      <c r="N203" s="301" t="str">
        <f t="shared" si="35"/>
        <v>0.920035453492444-0.249172389603745i</v>
      </c>
      <c r="O203" s="316">
        <f t="shared" si="36"/>
        <v>-0.41650156091922697</v>
      </c>
      <c r="P203" s="316">
        <f t="shared" si="37"/>
        <v>-15.153842988237614</v>
      </c>
      <c r="Q203" s="301">
        <f t="shared" si="38"/>
        <v>18120.904365888255</v>
      </c>
      <c r="R203" s="301">
        <f t="shared" si="55"/>
        <v>3.4600000000000022</v>
      </c>
      <c r="S203" s="308">
        <f t="shared" si="39"/>
        <v>16.233676693205499</v>
      </c>
      <c r="T203" s="301" t="str">
        <f t="shared" si="40"/>
        <v>1+0.137948651599599i</v>
      </c>
      <c r="U203" s="303">
        <f t="shared" si="41"/>
        <v>23.067834728768748</v>
      </c>
      <c r="V203" s="301">
        <f t="shared" si="42"/>
        <v>104.92513843805349</v>
      </c>
      <c r="W203" s="301">
        <f t="shared" si="43"/>
        <v>59.842349113427183</v>
      </c>
      <c r="X203" s="303">
        <f t="shared" si="44"/>
        <v>-10.899900597607973</v>
      </c>
      <c r="Y203" s="192" t="str">
        <f t="shared" si="45"/>
        <v>964.297028878904-185.692603770202i</v>
      </c>
      <c r="Z203" s="192" t="str">
        <f t="shared" si="46"/>
        <v>-1161935.30154273i</v>
      </c>
      <c r="AA203" s="192" t="str">
        <f t="shared" si="47"/>
        <v>22150.1592153998-160568.145890193i</v>
      </c>
      <c r="AB203" s="192" t="str">
        <f t="shared" si="48"/>
        <v>1381.90263844297-82508.2558362323i</v>
      </c>
      <c r="AC203" s="192" t="str">
        <f t="shared" si="49"/>
        <v>17093.2761737123-141359.492230224i</v>
      </c>
      <c r="AD203" s="192" t="str">
        <f t="shared" si="50"/>
        <v>9835.92849729853-1189.36648382544i</v>
      </c>
      <c r="AE203" s="192" t="str">
        <f t="shared" si="51"/>
        <v>-3.66660981876393+13.7558414856359i</v>
      </c>
      <c r="AF203" s="296"/>
      <c r="AG203" s="296"/>
      <c r="AH203" s="296"/>
      <c r="AI203" s="296"/>
      <c r="AJ203" s="296"/>
      <c r="AK203" s="296"/>
      <c r="AL203" s="296"/>
      <c r="AM203" s="296"/>
      <c r="AN203" s="296"/>
      <c r="AO203" s="296"/>
      <c r="AP203" s="296"/>
      <c r="AQ203" s="296"/>
      <c r="AR203" s="296"/>
      <c r="AS203" s="296"/>
    </row>
    <row r="204" spans="1:45" s="192" customFormat="1" x14ac:dyDescent="0.2">
      <c r="A204" s="301">
        <f t="shared" si="52"/>
        <v>38.966999999999999</v>
      </c>
      <c r="B204" s="301">
        <f t="shared" si="53"/>
        <v>3.4800000000000026</v>
      </c>
      <c r="C204" s="320">
        <f t="shared" si="54"/>
        <v>3019.951720402034</v>
      </c>
      <c r="D204" s="302">
        <f t="shared" si="28"/>
        <v>38.967495494681778</v>
      </c>
      <c r="E204" s="301">
        <f t="shared" si="29"/>
        <v>89.503167425698166</v>
      </c>
      <c r="G204" s="320"/>
      <c r="H204" s="315" t="str">
        <f t="shared" si="30"/>
        <v>1E+47-5.27011547955169E+51i</v>
      </c>
      <c r="I204" s="301" t="str">
        <f t="shared" si="31"/>
        <v>0.002-0.0487522246026985i</v>
      </c>
      <c r="J204" s="301" t="str">
        <f t="shared" si="32"/>
        <v>0.00200000000000001-0.0487522246026985i</v>
      </c>
      <c r="K204" s="301"/>
      <c r="L204" s="301" t="str">
        <f t="shared" si="33"/>
        <v>0.0198872033028263-0.0102504258428523i</v>
      </c>
      <c r="M204" s="301" t="str">
        <f t="shared" si="34"/>
        <v>0.003+0.00569247488340653i</v>
      </c>
      <c r="N204" s="301" t="str">
        <f t="shared" si="35"/>
        <v>0.921565061299077-0.264338871266345i</v>
      </c>
      <c r="O204" s="316">
        <f t="shared" si="36"/>
        <v>-0.36610206003918389</v>
      </c>
      <c r="P204" s="316">
        <f t="shared" si="37"/>
        <v>-16.004845232468412</v>
      </c>
      <c r="Q204" s="301">
        <f t="shared" si="38"/>
        <v>18974.916278021774</v>
      </c>
      <c r="R204" s="301">
        <f t="shared" si="55"/>
        <v>3.4800000000000022</v>
      </c>
      <c r="S204" s="308">
        <f t="shared" si="39"/>
        <v>16.284076194085543</v>
      </c>
      <c r="T204" s="301" t="str">
        <f t="shared" si="40"/>
        <v>1+0.144449971255068i</v>
      </c>
      <c r="U204" s="303">
        <f t="shared" si="41"/>
        <v>22.683419300596235</v>
      </c>
      <c r="V204" s="301">
        <f t="shared" si="42"/>
        <v>105.50801265816658</v>
      </c>
      <c r="W204" s="301">
        <f t="shared" si="43"/>
        <v>59.82743761990217</v>
      </c>
      <c r="X204" s="303">
        <f t="shared" si="44"/>
        <v>-11.400495549040061</v>
      </c>
      <c r="Y204" s="192" t="str">
        <f t="shared" si="45"/>
        <v>960.986652800494-193.777548171714i</v>
      </c>
      <c r="Z204" s="192" t="str">
        <f t="shared" si="46"/>
        <v>-1109639.59840989i</v>
      </c>
      <c r="AA204" s="192" t="str">
        <f t="shared" si="47"/>
        <v>22150.1592153998-153341.388876342i</v>
      </c>
      <c r="AB204" s="192" t="str">
        <f t="shared" si="48"/>
        <v>1381.90263844297-78794.7726091612i</v>
      </c>
      <c r="AC204" s="192" t="str">
        <f t="shared" si="49"/>
        <v>17092.8137064413-135023.636487054i</v>
      </c>
      <c r="AD204" s="192" t="str">
        <f t="shared" si="50"/>
        <v>9820.42271513877-1243.17978952128i</v>
      </c>
      <c r="AE204" s="192" t="str">
        <f t="shared" si="51"/>
        <v>-3.64157058678613+13.1239520071037i</v>
      </c>
      <c r="AF204" s="296"/>
      <c r="AG204" s="296"/>
      <c r="AH204" s="296"/>
      <c r="AI204" s="296"/>
      <c r="AJ204" s="296"/>
      <c r="AK204" s="296"/>
      <c r="AL204" s="296"/>
      <c r="AM204" s="296"/>
      <c r="AN204" s="296"/>
      <c r="AO204" s="296"/>
      <c r="AP204" s="296"/>
      <c r="AQ204" s="296"/>
      <c r="AR204" s="296"/>
      <c r="AS204" s="296"/>
    </row>
    <row r="205" spans="1:45" s="192" customFormat="1" x14ac:dyDescent="0.2">
      <c r="A205" s="301">
        <f t="shared" si="52"/>
        <v>38.639000000000003</v>
      </c>
      <c r="B205" s="301">
        <f t="shared" si="53"/>
        <v>3.5000000000000027</v>
      </c>
      <c r="C205" s="320">
        <f t="shared" si="54"/>
        <v>3162.2776601683972</v>
      </c>
      <c r="D205" s="302">
        <f t="shared" si="28"/>
        <v>38.639308114745646</v>
      </c>
      <c r="E205" s="301">
        <f t="shared" si="29"/>
        <v>89.204367253395787</v>
      </c>
      <c r="G205" s="320"/>
      <c r="H205" s="315" t="str">
        <f t="shared" si="30"/>
        <v>1E+47-5.03292121044868E+51i</v>
      </c>
      <c r="I205" s="301" t="str">
        <f t="shared" si="31"/>
        <v>0.002-0.0465580130476288i</v>
      </c>
      <c r="J205" s="301" t="str">
        <f t="shared" si="32"/>
        <v>0.002-0.0465580130476287i</v>
      </c>
      <c r="K205" s="301"/>
      <c r="L205" s="301" t="str">
        <f t="shared" si="33"/>
        <v>0.0194721029826774-0.0104864194610687i</v>
      </c>
      <c r="M205" s="301" t="str">
        <f t="shared" si="34"/>
        <v>0.003+0.00596075295947769i</v>
      </c>
      <c r="N205" s="301" t="str">
        <f t="shared" si="35"/>
        <v>0.923041496416804-0.280749936310814i</v>
      </c>
      <c r="O205" s="316">
        <f t="shared" si="36"/>
        <v>-0.31131433375328749</v>
      </c>
      <c r="P205" s="316">
        <f t="shared" si="37"/>
        <v>-16.917528841212757</v>
      </c>
      <c r="Q205" s="301">
        <f t="shared" si="38"/>
        <v>19869.176531592315</v>
      </c>
      <c r="R205" s="301">
        <f t="shared" si="55"/>
        <v>3.5000000000000022</v>
      </c>
      <c r="S205" s="308">
        <f t="shared" si="39"/>
        <v>16.338863920371438</v>
      </c>
      <c r="T205" s="301" t="str">
        <f t="shared" si="40"/>
        <v>1+0.151257688666313i</v>
      </c>
      <c r="U205" s="303">
        <f t="shared" si="41"/>
        <v>22.300444194374212</v>
      </c>
      <c r="V205" s="301">
        <f t="shared" si="42"/>
        <v>106.12189609460854</v>
      </c>
      <c r="W205" s="301">
        <f t="shared" si="43"/>
        <v>59.811146124101803</v>
      </c>
      <c r="X205" s="303">
        <f t="shared" si="44"/>
        <v>-11.922806628601858</v>
      </c>
      <c r="Y205" s="192" t="str">
        <f t="shared" si="45"/>
        <v>957.382882985116-202.150261273824i</v>
      </c>
      <c r="Z205" s="192" t="str">
        <f t="shared" si="46"/>
        <v>-1059697.58963724i</v>
      </c>
      <c r="AA205" s="192" t="str">
        <f t="shared" si="47"/>
        <v>22150.1592153998-146439.889507137i</v>
      </c>
      <c r="AB205" s="192" t="str">
        <f t="shared" si="48"/>
        <v>1381.90263844297-75248.4236589941i</v>
      </c>
      <c r="AC205" s="192" t="str">
        <f t="shared" si="49"/>
        <v>17092.3066499238-128974.182413653i</v>
      </c>
      <c r="AD205" s="192" t="str">
        <f t="shared" si="50"/>
        <v>9803.48494009179-1299.20707926288i</v>
      </c>
      <c r="AE205" s="192" t="str">
        <f t="shared" si="51"/>
        <v>-3.61884207359981+12.5198130073032i</v>
      </c>
      <c r="AF205" s="296"/>
      <c r="AG205" s="296"/>
      <c r="AH205" s="296"/>
      <c r="AI205" s="296"/>
      <c r="AJ205" s="296"/>
      <c r="AK205" s="296"/>
      <c r="AL205" s="296"/>
      <c r="AM205" s="296"/>
      <c r="AN205" s="296"/>
      <c r="AO205" s="296"/>
      <c r="AP205" s="296"/>
      <c r="AQ205" s="296"/>
      <c r="AR205" s="296"/>
      <c r="AS205" s="296"/>
    </row>
    <row r="206" spans="1:45" s="192" customFormat="1" x14ac:dyDescent="0.2">
      <c r="A206" s="301">
        <f t="shared" si="52"/>
        <v>38.317</v>
      </c>
      <c r="B206" s="301">
        <f t="shared" si="53"/>
        <v>3.5200000000000022</v>
      </c>
      <c r="C206" s="320">
        <f t="shared" si="54"/>
        <v>3311.3112148259288</v>
      </c>
      <c r="D206" s="302">
        <f t="shared" si="28"/>
        <v>38.317380431806598</v>
      </c>
      <c r="E206" s="301">
        <f t="shared" si="29"/>
        <v>88.869507925638757</v>
      </c>
      <c r="G206" s="320"/>
      <c r="H206" s="315" t="str">
        <f t="shared" si="30"/>
        <v>1E+47-4.80640244200851E+51i</v>
      </c>
      <c r="I206" s="301" t="str">
        <f t="shared" si="31"/>
        <v>0.002-0.0444625572803748i</v>
      </c>
      <c r="J206" s="301" t="str">
        <f t="shared" si="32"/>
        <v>0.002-0.0444625572803749i</v>
      </c>
      <c r="K206" s="301"/>
      <c r="L206" s="301" t="str">
        <f t="shared" si="33"/>
        <v>0.019038380355979-0.0107102823234251i</v>
      </c>
      <c r="M206" s="301" t="str">
        <f t="shared" si="34"/>
        <v>0.003+0.00624167459174798i</v>
      </c>
      <c r="N206" s="301" t="str">
        <f t="shared" si="35"/>
        <v>0.924408403401366-0.298545704288721i</v>
      </c>
      <c r="O206" s="316">
        <f t="shared" si="36"/>
        <v>-0.25184253842278093</v>
      </c>
      <c r="P206" s="316">
        <f t="shared" si="37"/>
        <v>-17.898312022469767</v>
      </c>
      <c r="Q206" s="301">
        <f t="shared" si="38"/>
        <v>20805.581972493263</v>
      </c>
      <c r="R206" s="301">
        <f t="shared" si="55"/>
        <v>3.5200000000000022</v>
      </c>
      <c r="S206" s="308">
        <f t="shared" si="39"/>
        <v>16.398335715701947</v>
      </c>
      <c r="T206" s="301" t="str">
        <f t="shared" si="40"/>
        <v>1+0.158386243914691i</v>
      </c>
      <c r="U206" s="303">
        <f t="shared" si="41"/>
        <v>21.919044716104651</v>
      </c>
      <c r="V206" s="301">
        <f t="shared" si="42"/>
        <v>106.76781994810852</v>
      </c>
      <c r="W206" s="301">
        <f t="shared" si="43"/>
        <v>59.793352816792556</v>
      </c>
      <c r="X206" s="303">
        <f t="shared" si="44"/>
        <v>-12.467595458704572</v>
      </c>
      <c r="Y206" s="192" t="str">
        <f t="shared" si="45"/>
        <v>953.462318774663-210.81182902334i</v>
      </c>
      <c r="Z206" s="192" t="str">
        <f t="shared" si="46"/>
        <v>-1012003.34152836i</v>
      </c>
      <c r="AA206" s="192" t="str">
        <f t="shared" si="47"/>
        <v>22150.1592153998-139849.008777114i</v>
      </c>
      <c r="AB206" s="192" t="str">
        <f t="shared" si="48"/>
        <v>1381.90263844297-71861.6867041396i</v>
      </c>
      <c r="AC206" s="192" t="str">
        <f t="shared" si="49"/>
        <v>17091.7507080845-123198.298074999i</v>
      </c>
      <c r="AD206" s="192" t="str">
        <f t="shared" si="50"/>
        <v>9784.98950190026-1357.50739954127i</v>
      </c>
      <c r="AE206" s="192" t="str">
        <f t="shared" si="51"/>
        <v>-3.5982317710275+11.9421551521025i</v>
      </c>
      <c r="AF206" s="296"/>
      <c r="AG206" s="296"/>
      <c r="AH206" s="296"/>
      <c r="AI206" s="296"/>
      <c r="AJ206" s="296"/>
      <c r="AK206" s="296"/>
      <c r="AL206" s="296"/>
      <c r="AM206" s="296"/>
      <c r="AN206" s="296"/>
      <c r="AO206" s="296"/>
      <c r="AP206" s="296"/>
      <c r="AQ206" s="296"/>
      <c r="AR206" s="296"/>
      <c r="AS206" s="296"/>
    </row>
    <row r="207" spans="1:45" s="192" customFormat="1" x14ac:dyDescent="0.2">
      <c r="A207" s="301">
        <f t="shared" si="52"/>
        <v>38.002000000000002</v>
      </c>
      <c r="B207" s="301">
        <f t="shared" si="53"/>
        <v>3.5400000000000023</v>
      </c>
      <c r="C207" s="320">
        <f t="shared" si="54"/>
        <v>3467.3685045253346</v>
      </c>
      <c r="D207" s="302">
        <f t="shared" si="28"/>
        <v>38.002146900976555</v>
      </c>
      <c r="E207" s="301">
        <f t="shared" si="29"/>
        <v>88.492340042099002</v>
      </c>
      <c r="G207" s="320"/>
      <c r="H207" s="315" t="str">
        <f t="shared" si="30"/>
        <v>1E+47-4.59007869755347E+51i</v>
      </c>
      <c r="I207" s="301" t="str">
        <f t="shared" si="31"/>
        <v>0.002-0.0424614125583114i</v>
      </c>
      <c r="J207" s="301" t="str">
        <f t="shared" si="32"/>
        <v>0.002-0.0424614125583115i</v>
      </c>
      <c r="K207" s="301"/>
      <c r="L207" s="301" t="str">
        <f t="shared" si="33"/>
        <v>0.0185867146048368-0.0109202431026756i</v>
      </c>
      <c r="M207" s="301" t="str">
        <f t="shared" si="34"/>
        <v>0.003+0.00653583565266325i</v>
      </c>
      <c r="N207" s="301" t="str">
        <f t="shared" si="35"/>
        <v>0.925590092638486-0.317884362232512i</v>
      </c>
      <c r="O207" s="316">
        <f t="shared" si="36"/>
        <v>-0.18739909731714549</v>
      </c>
      <c r="P207" s="316">
        <f t="shared" si="37"/>
        <v>-18.954505036966136</v>
      </c>
      <c r="Q207" s="301">
        <f t="shared" si="38"/>
        <v>21786.118842210839</v>
      </c>
      <c r="R207" s="301">
        <f t="shared" si="55"/>
        <v>3.5400000000000023</v>
      </c>
      <c r="S207" s="308">
        <f t="shared" si="39"/>
        <v>16.462779156807581</v>
      </c>
      <c r="T207" s="301" t="str">
        <f t="shared" si="40"/>
        <v>1+0.165850757621626i</v>
      </c>
      <c r="U207" s="303">
        <f t="shared" si="41"/>
        <v>21.539367744168977</v>
      </c>
      <c r="V207" s="301">
        <f t="shared" si="42"/>
        <v>107.44684507906514</v>
      </c>
      <c r="W207" s="301">
        <f t="shared" si="43"/>
        <v>59.773926268715208</v>
      </c>
      <c r="X207" s="303">
        <f t="shared" si="44"/>
        <v>-13.035624704838987</v>
      </c>
      <c r="Y207" s="192" t="str">
        <f t="shared" si="45"/>
        <v>949.20018973425-219.7618596337i</v>
      </c>
      <c r="Z207" s="192" t="str">
        <f t="shared" si="46"/>
        <v>-966455.688188499i</v>
      </c>
      <c r="AA207" s="192" t="str">
        <f t="shared" si="47"/>
        <v>22150.1592153998-133554.76654459i</v>
      </c>
      <c r="AB207" s="192" t="str">
        <f t="shared" si="48"/>
        <v>1381.90263844297-68627.3780214486i</v>
      </c>
      <c r="AC207" s="192" t="str">
        <f t="shared" si="49"/>
        <v>17091.1411715445-117683.73177984i</v>
      </c>
      <c r="AD207" s="192" t="str">
        <f t="shared" si="50"/>
        <v>9764.80099162088-1418.13647252491i</v>
      </c>
      <c r="AE207" s="192" t="str">
        <f t="shared" si="51"/>
        <v>-3.57956507106893+11.3897638453016i</v>
      </c>
      <c r="AF207" s="296"/>
      <c r="AG207" s="296"/>
      <c r="AH207" s="296"/>
      <c r="AI207" s="296"/>
      <c r="AJ207" s="296"/>
      <c r="AK207" s="296"/>
      <c r="AL207" s="296"/>
      <c r="AM207" s="296"/>
      <c r="AN207" s="296"/>
      <c r="AO207" s="296"/>
      <c r="AP207" s="296"/>
      <c r="AQ207" s="296"/>
      <c r="AR207" s="296"/>
      <c r="AS207" s="296"/>
    </row>
    <row r="208" spans="1:45" s="192" customFormat="1" x14ac:dyDescent="0.2">
      <c r="A208" s="301">
        <f t="shared" si="52"/>
        <v>37.694000000000003</v>
      </c>
      <c r="B208" s="301">
        <f t="shared" si="53"/>
        <v>3.5600000000000032</v>
      </c>
      <c r="C208" s="320">
        <f t="shared" si="54"/>
        <v>3630.7805477010384</v>
      </c>
      <c r="D208" s="302">
        <f t="shared" ref="D208:D271" si="56">S208+U208</f>
        <v>37.694034053634937</v>
      </c>
      <c r="E208" s="301">
        <f t="shared" ref="E208:E271" si="57">P208+V208</f>
        <v>88.065608140764397</v>
      </c>
      <c r="G208" s="320"/>
      <c r="H208" s="315" t="str">
        <f t="shared" ref="H208:H271" si="58">IMSUM(IMDIV(1,COMPLEX(0,Q208*COUT_1*10^-6)),ESR_1*10^-3)</f>
        <v>1E+47-4.38349112541848E+51i</v>
      </c>
      <c r="I208" s="301" t="str">
        <f t="shared" ref="I208:I271" si="59">IMSUM(IMDIV(1,COMPLEX(0,Q208*MLCC*10^-6)),MLCC_ESR*10^-3)</f>
        <v>0.002-0.0405503341851848i</v>
      </c>
      <c r="J208" s="301" t="str">
        <f t="shared" ref="J208:J271" si="60">IMDIV(IMPRODUCT(H208,I208),IMSUM(H208,I208))</f>
        <v>0.002-0.0405503341851848i</v>
      </c>
      <c r="K208" s="301"/>
      <c r="L208" s="301" t="str">
        <f t="shared" ref="L208:L271" si="61">IMDIV(IMPRODUCT(J208,VOUT_1/IOUT_max),IMSUM(J208,VOUT_1/IOUT_max))</f>
        <v>0.0181180002368244-0.0111145536223704i</v>
      </c>
      <c r="M208" s="301" t="str">
        <f t="shared" ref="M208:M271" si="62">COMPLEX(DCR_1*10^-3,Q208*LOUT_1*10^-6)</f>
        <v>0.003+0.00684386009727258i</v>
      </c>
      <c r="N208" s="301" t="str">
        <f t="shared" ref="N208:N271" si="63">IMDIV(L208,IMSUM(M208,L208))</f>
        <v>0.926485721826726-0.338943885254249i</v>
      </c>
      <c r="O208" s="316">
        <f t="shared" ref="O208:O271" si="64">20*LOG(IMABS(N208))</f>
        <v>-0.11771683060014985</v>
      </c>
      <c r="P208" s="316">
        <f t="shared" ref="P208:P271" si="65">180/PI()*IMARGUMENT(N208)</f>
        <v>-20.094450933025069</v>
      </c>
      <c r="Q208" s="301">
        <f t="shared" ref="Q208:Q271" si="66">2*PI()*C208</f>
        <v>22812.866990908617</v>
      </c>
      <c r="R208" s="301">
        <f t="shared" si="55"/>
        <v>3.5600000000000023</v>
      </c>
      <c r="S208" s="308">
        <f t="shared" ref="S208:S271" si="67">20*LOG(IMABS(N208)*$F$62)</f>
        <v>16.532461423524577</v>
      </c>
      <c r="T208" s="301" t="str">
        <f t="shared" ref="T208:T271" si="68">COMPLEX(1,Q208*(R_1+R_2)*C_1*10^-12)</f>
        <v>1+0.173667063021476i</v>
      </c>
      <c r="U208" s="303">
        <f t="shared" ref="U208:U271" si="69">20*LOG(IMABS(AE208))</f>
        <v>21.16157263011036</v>
      </c>
      <c r="V208" s="301">
        <f t="shared" ref="V208:V271" si="70">IF(180/PI()*IMARGUMENT(AE208)&lt;0,180/PI()*IMARGUMENT(AE208)+360,180/PI()*IMARGUMENT(AE208))</f>
        <v>108.16005907378947</v>
      </c>
      <c r="W208" s="301">
        <f t="shared" ref="W208:W271" si="71">20*LOG(IMABS(Y208))</f>
        <v>59.752724886223653</v>
      </c>
      <c r="X208" s="303">
        <f t="shared" ref="X208:X271" si="72">180/PI()*IMARGUMENT(Y208)</f>
        <v>-13.627653896117499</v>
      </c>
      <c r="Y208" s="192" t="str">
        <f t="shared" ref="Y208:Y271" si="73">IMDIV(10^(DCGAIN/20),IMPRODUCT(COMPLEX(1,2*PI()*C208/(2*PI()*(GBWP*10^6/10^(DCGAIN/20)))),COMPLEX(1,2*PI()*C208/(2*PI()*EAP*10^6))))</f>
        <v>944.570372887798-228.998260394623i</v>
      </c>
      <c r="Z208" s="192" t="str">
        <f t="shared" ref="Z208:Z271" si="74">IMDIV(1,COMPLEX(0,2*PI()*C208*C_3*10^-12))</f>
        <v>-922958.016938259i</v>
      </c>
      <c r="AA208" s="192" t="str">
        <f t="shared" ref="AA208:AA271" si="75">IMSUM(R_3,IMDIV(1,COMPLEX(0,2*PI()*C208*C_2*10^-12)))</f>
        <v>22150.1592153998-127543.811877907i</v>
      </c>
      <c r="AB208" s="192" t="str">
        <f t="shared" ref="AB208:AB271" si="76">IMSUM(R_2,IMDIV(1,COMPLEX(0,2*PI()*C208*C_1*10^-12)))</f>
        <v>1381.90263844297-65538.6372085737i</v>
      </c>
      <c r="AC208" s="192" t="str">
        <f t="shared" ref="AC208:AC271" si="77">IMDIV(IMPRODUCT(Z208,AA208),IMSUM(Z208,AA208))</f>
        <v>17090.4728779862-112418.786088148i</v>
      </c>
      <c r="AD208" s="192" t="str">
        <f t="shared" ref="AD208:AD271" si="78">IMDIV(IMPRODUCT(AB208,R_1),IMSUM(AB208,R_1))</f>
        <v>9742.77376227478-1481.145781186i</v>
      </c>
      <c r="AE208" s="192" t="str">
        <f t="shared" ref="AE208:AE271" si="79">IMDIV(IMPRODUCT(-1,Y208),IMSUM(1,IMDIV(AD208,R_4),IMPRODUCT(IMDIV(AD208,AC208),IMSUM(1,Y208))))</f>
        <v>-3.56268379565903+10.8614768560864i</v>
      </c>
      <c r="AF208" s="296"/>
      <c r="AG208" s="296"/>
      <c r="AH208" s="296"/>
      <c r="AI208" s="296"/>
      <c r="AJ208" s="296"/>
      <c r="AK208" s="296"/>
      <c r="AL208" s="296"/>
      <c r="AM208" s="296"/>
      <c r="AN208" s="296"/>
      <c r="AO208" s="296"/>
      <c r="AP208" s="296"/>
      <c r="AQ208" s="296"/>
      <c r="AR208" s="296"/>
      <c r="AS208" s="296"/>
    </row>
    <row r="209" spans="1:45" s="192" customFormat="1" x14ac:dyDescent="0.2">
      <c r="A209" s="301">
        <f t="shared" ref="A209:A272" si="80">ROUND(ABS(D209),3)</f>
        <v>37.393000000000001</v>
      </c>
      <c r="B209" s="301">
        <f t="shared" ref="B209:B272" si="81">LOG(C209)</f>
        <v>3.5800000000000027</v>
      </c>
      <c r="C209" s="320">
        <f t="shared" ref="C209:C272" si="82">10^R209</f>
        <v>3801.8939632056372</v>
      </c>
      <c r="D209" s="302">
        <f t="shared" si="56"/>
        <v>37.393444479838749</v>
      </c>
      <c r="E209" s="301">
        <f t="shared" si="57"/>
        <v>87.580885893578056</v>
      </c>
      <c r="G209" s="320"/>
      <c r="H209" s="315" t="str">
        <f t="shared" si="58"/>
        <v>1E+47-4.18620152566541E+51i</v>
      </c>
      <c r="I209" s="301" t="str">
        <f t="shared" si="59"/>
        <v>0.002-0.038725268507543i</v>
      </c>
      <c r="J209" s="301" t="str">
        <f t="shared" si="60"/>
        <v>0.002-0.038725268507543i</v>
      </c>
      <c r="K209" s="301"/>
      <c r="L209" s="301" t="str">
        <f t="shared" si="61"/>
        <v>0.0176333500826442-0.0112915196643939i</v>
      </c>
      <c r="M209" s="301" t="str">
        <f t="shared" si="62"/>
        <v>0.003+0.00716640128672053i</v>
      </c>
      <c r="N209" s="301" t="str">
        <f t="shared" si="63"/>
        <v>0.926961784953749-0.361923417184772i</v>
      </c>
      <c r="O209" s="316">
        <f t="shared" si="64"/>
        <v>-4.2565915287262335E-2</v>
      </c>
      <c r="P209" s="316">
        <f t="shared" si="65"/>
        <v>-21.32768682056059</v>
      </c>
      <c r="Q209" s="301">
        <f t="shared" si="66"/>
        <v>23888.004289068427</v>
      </c>
      <c r="R209" s="301">
        <f t="shared" ref="R209:R272" si="83">R208+0.02</f>
        <v>3.5800000000000023</v>
      </c>
      <c r="S209" s="308">
        <f t="shared" si="67"/>
        <v>16.607612338837466</v>
      </c>
      <c r="T209" s="301" t="str">
        <f t="shared" si="68"/>
        <v>1+0.181851739545942i</v>
      </c>
      <c r="U209" s="303">
        <f t="shared" si="69"/>
        <v>20.785832141001283</v>
      </c>
      <c r="V209" s="301">
        <f t="shared" si="70"/>
        <v>108.90857271413864</v>
      </c>
      <c r="W209" s="301">
        <f t="shared" si="71"/>
        <v>59.729596378355396</v>
      </c>
      <c r="X209" s="303">
        <f t="shared" si="72"/>
        <v>-14.24443463450209</v>
      </c>
      <c r="Y209" s="192" t="str">
        <f t="shared" si="73"/>
        <v>939.545433444232-238.516996779304i</v>
      </c>
      <c r="Z209" s="192" t="str">
        <f t="shared" si="74"/>
        <v>-881418.063385084i</v>
      </c>
      <c r="AA209" s="192" t="str">
        <f t="shared" si="75"/>
        <v>22150.1592153998-121803.394736314i</v>
      </c>
      <c r="AB209" s="192" t="str">
        <f t="shared" si="76"/>
        <v>1381.90263844297-62588.9126321364i</v>
      </c>
      <c r="AC209" s="192" t="str">
        <f t="shared" si="77"/>
        <v>17089.7401687378-107392.292993459i</v>
      </c>
      <c r="AD209" s="192" t="str">
        <f t="shared" si="78"/>
        <v>9718.75145779301-1546.5815334471i</v>
      </c>
      <c r="AE209" s="192" t="str">
        <f t="shared" si="79"/>
        <v>-3.54744486354493+10.3561820341845i</v>
      </c>
      <c r="AF209" s="296"/>
      <c r="AG209" s="296"/>
      <c r="AH209" s="296"/>
      <c r="AI209" s="296"/>
      <c r="AJ209" s="296"/>
      <c r="AK209" s="296"/>
      <c r="AL209" s="296"/>
      <c r="AM209" s="296"/>
      <c r="AN209" s="296"/>
      <c r="AO209" s="296"/>
      <c r="AP209" s="296"/>
      <c r="AQ209" s="296"/>
      <c r="AR209" s="296"/>
      <c r="AS209" s="296"/>
    </row>
    <row r="210" spans="1:45" s="192" customFormat="1" x14ac:dyDescent="0.2">
      <c r="A210" s="301">
        <f t="shared" si="80"/>
        <v>37.100999999999999</v>
      </c>
      <c r="B210" s="301">
        <f t="shared" si="81"/>
        <v>3.6000000000000028</v>
      </c>
      <c r="C210" s="320">
        <f t="shared" si="82"/>
        <v>3981.0717055349983</v>
      </c>
      <c r="D210" s="302">
        <f t="shared" si="56"/>
        <v>37.100734353432358</v>
      </c>
      <c r="E210" s="301">
        <f t="shared" si="57"/>
        <v>87.028389281730227</v>
      </c>
      <c r="G210" s="320"/>
      <c r="H210" s="315" t="str">
        <f t="shared" si="58"/>
        <v>1E+47-3.99779142060208E+51i</v>
      </c>
      <c r="I210" s="301" t="str">
        <f t="shared" si="59"/>
        <v>0.002-0.036982344316393i</v>
      </c>
      <c r="J210" s="301" t="str">
        <f t="shared" si="60"/>
        <v>0.002-0.036982344316393i</v>
      </c>
      <c r="K210" s="301"/>
      <c r="L210" s="301" t="str">
        <f t="shared" si="61"/>
        <v>0.0171340931400244-0.0114495332607012i</v>
      </c>
      <c r="M210" s="301" t="str">
        <f t="shared" si="62"/>
        <v>0.003+0.00750414337411376i</v>
      </c>
      <c r="N210" s="301" t="str">
        <f t="shared" si="63"/>
        <v>0.926842455372559-0.387043923787321i</v>
      </c>
      <c r="O210" s="316">
        <f t="shared" si="64"/>
        <v>3.8222659228435166E-2</v>
      </c>
      <c r="P210" s="316">
        <f t="shared" si="65"/>
        <v>-22.665126492089659</v>
      </c>
      <c r="Q210" s="301">
        <f t="shared" si="66"/>
        <v>25013.811247045876</v>
      </c>
      <c r="R210" s="301">
        <f t="shared" si="83"/>
        <v>3.6000000000000023</v>
      </c>
      <c r="S210" s="308">
        <f t="shared" si="67"/>
        <v>16.68840091335316</v>
      </c>
      <c r="T210" s="301" t="str">
        <f t="shared" si="68"/>
        <v>1+0.190422147991272i</v>
      </c>
      <c r="U210" s="303">
        <f t="shared" si="69"/>
        <v>20.412333440079195</v>
      </c>
      <c r="V210" s="301">
        <f t="shared" si="70"/>
        <v>109.69351577381988</v>
      </c>
      <c r="W210" s="301">
        <f t="shared" si="71"/>
        <v>59.704377245600256</v>
      </c>
      <c r="X210" s="303">
        <f t="shared" si="72"/>
        <v>-14.886705147311412</v>
      </c>
      <c r="Y210" s="192" t="str">
        <f t="shared" si="73"/>
        <v>934.096693508319-248.311834891443i</v>
      </c>
      <c r="Z210" s="192" t="str">
        <f t="shared" si="74"/>
        <v>-841747.715718127i</v>
      </c>
      <c r="AA210" s="192" t="str">
        <f t="shared" si="75"/>
        <v>22150.1592153998-116321.338925423i</v>
      </c>
      <c r="AB210" s="192" t="str">
        <f t="shared" si="76"/>
        <v>1381.90263844297-59771.9475308338i</v>
      </c>
      <c r="AC210" s="192" t="str">
        <f t="shared" si="77"/>
        <v>17088.9368412298-102593.590227349i</v>
      </c>
      <c r="AD210" s="192" t="str">
        <f t="shared" si="78"/>
        <v>9692.56658483203-1614.48349580669i</v>
      </c>
      <c r="AE210" s="192" t="str">
        <f t="shared" si="79"/>
        <v>-3.53371908329347+9.87281511129771i</v>
      </c>
      <c r="AF210" s="296"/>
      <c r="AG210" s="296"/>
      <c r="AH210" s="296"/>
      <c r="AI210" s="296"/>
      <c r="AJ210" s="296"/>
      <c r="AK210" s="296"/>
      <c r="AL210" s="296"/>
      <c r="AM210" s="296"/>
      <c r="AN210" s="296"/>
      <c r="AO210" s="296"/>
      <c r="AP210" s="296"/>
      <c r="AQ210" s="296"/>
      <c r="AR210" s="296"/>
      <c r="AS210" s="296"/>
    </row>
    <row r="211" spans="1:45" s="192" customFormat="1" x14ac:dyDescent="0.2">
      <c r="A211" s="301">
        <f t="shared" si="80"/>
        <v>36.816000000000003</v>
      </c>
      <c r="B211" s="301">
        <f t="shared" si="81"/>
        <v>3.6200000000000028</v>
      </c>
      <c r="C211" s="320">
        <f t="shared" si="82"/>
        <v>4168.6938347033802</v>
      </c>
      <c r="D211" s="302">
        <f t="shared" si="56"/>
        <v>36.816182297935356</v>
      </c>
      <c r="E211" s="301">
        <f t="shared" si="57"/>
        <v>86.396768548835766</v>
      </c>
      <c r="G211" s="320"/>
      <c r="H211" s="315" t="str">
        <f t="shared" si="58"/>
        <v>1E+47-3.8178611671351E+51i</v>
      </c>
      <c r="I211" s="301" t="str">
        <f t="shared" si="59"/>
        <v>0.002-0.0353178646358474i</v>
      </c>
      <c r="J211" s="301" t="str">
        <f t="shared" si="60"/>
        <v>0.002-0.0353178646358474i</v>
      </c>
      <c r="K211" s="301"/>
      <c r="L211" s="301" t="str">
        <f t="shared" si="61"/>
        <v>0.0166217668076113-0.0115871054825447i</v>
      </c>
      <c r="M211" s="301" t="str">
        <f t="shared" si="62"/>
        <v>0.003+0.00785780275570152i</v>
      </c>
      <c r="N211" s="301" t="str">
        <f t="shared" si="63"/>
        <v>0.925897249818654-0.414547498386544i</v>
      </c>
      <c r="O211" s="316">
        <f t="shared" si="64"/>
        <v>0.12472494295350299</v>
      </c>
      <c r="P211" s="316">
        <f t="shared" si="65"/>
        <v>-24.119263510206093</v>
      </c>
      <c r="Q211" s="301">
        <f t="shared" si="66"/>
        <v>26192.675852338405</v>
      </c>
      <c r="R211" s="301">
        <f t="shared" si="83"/>
        <v>3.6200000000000023</v>
      </c>
      <c r="S211" s="308">
        <f t="shared" si="67"/>
        <v>16.774903197078228</v>
      </c>
      <c r="T211" s="301" t="str">
        <f t="shared" si="68"/>
        <v>1+0.199396467342835i</v>
      </c>
      <c r="U211" s="303">
        <f t="shared" si="69"/>
        <v>20.041279100857125</v>
      </c>
      <c r="V211" s="301">
        <f t="shared" si="70"/>
        <v>110.51603205904186</v>
      </c>
      <c r="W211" s="301">
        <f t="shared" si="71"/>
        <v>59.676892302504484</v>
      </c>
      <c r="X211" s="303">
        <f t="shared" si="72"/>
        <v>-15.555184141306592</v>
      </c>
      <c r="Y211" s="192" t="str">
        <f t="shared" si="73"/>
        <v>928.194333640767-258.374069048018i</v>
      </c>
      <c r="Z211" s="192" t="str">
        <f t="shared" si="74"/>
        <v>-803862.827811288i</v>
      </c>
      <c r="AA211" s="192" t="str">
        <f t="shared" si="75"/>
        <v>22150.1592153998-111086.016269865i</v>
      </c>
      <c r="AB211" s="192" t="str">
        <f t="shared" si="76"/>
        <v>1381.90263844297-57081.7667440085i</v>
      </c>
      <c r="AC211" s="192" t="str">
        <f t="shared" si="77"/>
        <v>17088.0560969324-98012.4986356714i</v>
      </c>
      <c r="AD211" s="192" t="str">
        <f t="shared" si="78"/>
        <v>9664.04014483781-1684.88368745548i</v>
      </c>
      <c r="AE211" s="192" t="str">
        <f t="shared" si="79"/>
        <v>-3.52139006244161+9.41035758719148i</v>
      </c>
      <c r="AF211" s="296"/>
      <c r="AG211" s="296"/>
      <c r="AH211" s="296"/>
      <c r="AI211" s="296"/>
      <c r="AJ211" s="296"/>
      <c r="AK211" s="296"/>
      <c r="AL211" s="296"/>
      <c r="AM211" s="296"/>
      <c r="AN211" s="296"/>
      <c r="AO211" s="296"/>
      <c r="AP211" s="296"/>
      <c r="AQ211" s="296"/>
      <c r="AR211" s="296"/>
      <c r="AS211" s="296"/>
    </row>
    <row r="212" spans="1:45" s="192" customFormat="1" x14ac:dyDescent="0.2">
      <c r="A212" s="301">
        <f t="shared" si="80"/>
        <v>36.54</v>
      </c>
      <c r="B212" s="301">
        <f t="shared" si="81"/>
        <v>3.6400000000000028</v>
      </c>
      <c r="C212" s="320">
        <f t="shared" si="82"/>
        <v>4365.1583224016858</v>
      </c>
      <c r="D212" s="302">
        <f t="shared" si="56"/>
        <v>36.539946722800082</v>
      </c>
      <c r="E212" s="301">
        <f t="shared" si="57"/>
        <v>85.672882793207719</v>
      </c>
      <c r="G212" s="320"/>
      <c r="H212" s="315" t="str">
        <f t="shared" si="58"/>
        <v>1E+47-3.64602910907316E+51i</v>
      </c>
      <c r="I212" s="301" t="str">
        <f t="shared" si="59"/>
        <v>0.002-0.0337282988813429i</v>
      </c>
      <c r="J212" s="301" t="str">
        <f t="shared" si="60"/>
        <v>0.002-0.0337282988813429i</v>
      </c>
      <c r="K212" s="301"/>
      <c r="L212" s="301" t="str">
        <f t="shared" si="61"/>
        <v>0.0160981032673438-0.0117028986065767i</v>
      </c>
      <c r="M212" s="301" t="str">
        <f t="shared" si="62"/>
        <v>0.003+0.00822812959044809i</v>
      </c>
      <c r="N212" s="301" t="str">
        <f t="shared" si="63"/>
        <v>0.923825427697894-0.444694350806152i</v>
      </c>
      <c r="O212" s="316">
        <f t="shared" si="64"/>
        <v>0.21688032050665318</v>
      </c>
      <c r="P212" s="316">
        <f t="shared" si="65"/>
        <v>-25.704390812853653</v>
      </c>
      <c r="Q212" s="301">
        <f t="shared" si="66"/>
        <v>27427.098634826965</v>
      </c>
      <c r="R212" s="301">
        <f t="shared" si="83"/>
        <v>3.6400000000000023</v>
      </c>
      <c r="S212" s="308">
        <f t="shared" si="67"/>
        <v>16.867058574631379</v>
      </c>
      <c r="T212" s="301" t="str">
        <f t="shared" si="68"/>
        <v>1+0.208793733335181i</v>
      </c>
      <c r="U212" s="303">
        <f t="shared" si="69"/>
        <v>19.672888148168703</v>
      </c>
      <c r="V212" s="301">
        <f t="shared" si="70"/>
        <v>111.37727360606138</v>
      </c>
      <c r="W212" s="301">
        <f t="shared" si="71"/>
        <v>59.646954248252371</v>
      </c>
      <c r="X212" s="303">
        <f t="shared" si="72"/>
        <v>-16.250563922551127</v>
      </c>
      <c r="Y212" s="192" t="str">
        <f t="shared" si="73"/>
        <v>921.807532427495-268.692237204293i</v>
      </c>
      <c r="Z212" s="192" t="str">
        <f t="shared" si="74"/>
        <v>-767683.040738011i</v>
      </c>
      <c r="AA212" s="192" t="str">
        <f t="shared" si="75"/>
        <v>22150.1592153998-106086.321948378i</v>
      </c>
      <c r="AB212" s="192" t="str">
        <f t="shared" si="76"/>
        <v>1381.90263844297-54512.6640375331i</v>
      </c>
      <c r="AC212" s="192" t="str">
        <f t="shared" si="77"/>
        <v>17087.090484354-93639.3005784126i</v>
      </c>
      <c r="AD212" s="192" t="str">
        <f t="shared" si="78"/>
        <v>9632.98134683907-1757.80492689285i</v>
      </c>
      <c r="AE212" s="192" t="str">
        <f t="shared" si="79"/>
        <v>-3.51035322372848+8.96783469867875i</v>
      </c>
      <c r="AF212" s="296"/>
      <c r="AG212" s="296"/>
      <c r="AH212" s="296"/>
      <c r="AI212" s="296"/>
      <c r="AJ212" s="296"/>
      <c r="AK212" s="296"/>
      <c r="AL212" s="296"/>
      <c r="AM212" s="296"/>
      <c r="AN212" s="296"/>
      <c r="AO212" s="296"/>
      <c r="AP212" s="296"/>
      <c r="AQ212" s="296"/>
      <c r="AR212" s="296"/>
      <c r="AS212" s="296"/>
    </row>
    <row r="213" spans="1:45" s="192" customFormat="1" x14ac:dyDescent="0.2">
      <c r="A213" s="301">
        <f t="shared" si="80"/>
        <v>36.271999999999998</v>
      </c>
      <c r="B213" s="301">
        <f t="shared" si="81"/>
        <v>3.6600000000000024</v>
      </c>
      <c r="C213" s="320">
        <f t="shared" si="82"/>
        <v>4570.8818961487768</v>
      </c>
      <c r="D213" s="302">
        <f t="shared" si="56"/>
        <v>36.272007956028403</v>
      </c>
      <c r="E213" s="301">
        <f t="shared" si="57"/>
        <v>84.841566320719423</v>
      </c>
      <c r="G213" s="320"/>
      <c r="H213" s="315" t="str">
        <f t="shared" si="58"/>
        <v>1E+47-3.48193076758321E+51i</v>
      </c>
      <c r="I213" s="301" t="str">
        <f t="shared" si="59"/>
        <v>0.002-0.0322102753707976i</v>
      </c>
      <c r="J213" s="301" t="str">
        <f t="shared" si="60"/>
        <v>0.002-0.0322102753707976i</v>
      </c>
      <c r="K213" s="301"/>
      <c r="L213" s="301" t="str">
        <f t="shared" si="61"/>
        <v>0.015565010028895-0.0117957564561032i</v>
      </c>
      <c r="M213" s="301" t="str">
        <f t="shared" si="62"/>
        <v>0.003+0.00861590939122055i</v>
      </c>
      <c r="N213" s="301" t="str">
        <f t="shared" si="63"/>
        <v>0.920236564078669-0.477755999324277i</v>
      </c>
      <c r="O213" s="316">
        <f t="shared" si="64"/>
        <v>0.31443258433774779</v>
      </c>
      <c r="P213" s="316">
        <f t="shared" si="65"/>
        <v>-27.436827623079001</v>
      </c>
      <c r="Q213" s="301">
        <f t="shared" si="66"/>
        <v>28719.69797073516</v>
      </c>
      <c r="R213" s="301">
        <f t="shared" si="83"/>
        <v>3.6600000000000024</v>
      </c>
      <c r="S213" s="308">
        <f t="shared" si="67"/>
        <v>16.964610838462477</v>
      </c>
      <c r="T213" s="301" t="str">
        <f t="shared" si="68"/>
        <v>1+0.218633878829395i</v>
      </c>
      <c r="U213" s="303">
        <f t="shared" si="69"/>
        <v>19.307397117565927</v>
      </c>
      <c r="V213" s="301">
        <f t="shared" si="70"/>
        <v>112.27839394379842</v>
      </c>
      <c r="W213" s="301">
        <f t="shared" si="71"/>
        <v>59.614363301469069</v>
      </c>
      <c r="X213" s="303">
        <f t="shared" si="72"/>
        <v>-16.973502754750506</v>
      </c>
      <c r="Y213" s="192" t="str">
        <f t="shared" si="73"/>
        <v>914.904649398022-279.251828003167i</v>
      </c>
      <c r="Z213" s="192" t="str">
        <f t="shared" si="74"/>
        <v>-733131.612319191i</v>
      </c>
      <c r="AA213" s="192" t="str">
        <f t="shared" si="75"/>
        <v>22150.1592153998-101311.650938984i</v>
      </c>
      <c r="AB213" s="192" t="str">
        <f t="shared" si="76"/>
        <v>1381.90263844297-52059.1900001215i</v>
      </c>
      <c r="AC213" s="192" t="str">
        <f t="shared" si="77"/>
        <v>17086.0318366386-89464.7193071769i</v>
      </c>
      <c r="AD213" s="192" t="str">
        <f t="shared" si="78"/>
        <v>9599.18742482522-1833.25922460327i</v>
      </c>
      <c r="AE213" s="192" t="str">
        <f t="shared" si="79"/>
        <v>-3.50051492020331+8.54431346964393i</v>
      </c>
      <c r="AF213" s="296"/>
      <c r="AG213" s="296"/>
      <c r="AH213" s="296"/>
      <c r="AI213" s="296"/>
      <c r="AJ213" s="296"/>
      <c r="AK213" s="296"/>
      <c r="AL213" s="296"/>
      <c r="AM213" s="296"/>
      <c r="AN213" s="296"/>
      <c r="AO213" s="296"/>
      <c r="AP213" s="296"/>
      <c r="AQ213" s="296"/>
      <c r="AR213" s="296"/>
      <c r="AS213" s="296"/>
    </row>
    <row r="214" spans="1:45" s="192" customFormat="1" x14ac:dyDescent="0.2">
      <c r="A214" s="301">
        <f t="shared" si="80"/>
        <v>36.012</v>
      </c>
      <c r="B214" s="301">
        <f t="shared" si="81"/>
        <v>3.6800000000000024</v>
      </c>
      <c r="C214" s="320">
        <f t="shared" si="82"/>
        <v>4786.3009232264103</v>
      </c>
      <c r="D214" s="302">
        <f t="shared" si="56"/>
        <v>36.012090601972972</v>
      </c>
      <c r="E214" s="301">
        <f t="shared" si="57"/>
        <v>83.885404541891617</v>
      </c>
      <c r="G214" s="320"/>
      <c r="H214" s="315" t="str">
        <f t="shared" si="58"/>
        <v>1E+47-3.3252180680819E+51i</v>
      </c>
      <c r="I214" s="301" t="str">
        <f t="shared" si="59"/>
        <v>0.002-0.0307605741728206i</v>
      </c>
      <c r="J214" s="301" t="str">
        <f t="shared" si="60"/>
        <v>0.002-0.0307605741728207i</v>
      </c>
      <c r="K214" s="301"/>
      <c r="L214" s="301" t="str">
        <f t="shared" si="61"/>
        <v>0.0150245449306284-0.0118647317002444i</v>
      </c>
      <c r="M214" s="301" t="str">
        <f t="shared" si="62"/>
        <v>0.003+0.00902196469096688i</v>
      </c>
      <c r="N214" s="301" t="str">
        <f t="shared" si="63"/>
        <v>0.914626928513945-0.514002460407478i</v>
      </c>
      <c r="O214" s="316">
        <f t="shared" si="64"/>
        <v>0.416851225720894</v>
      </c>
      <c r="P214" s="316">
        <f t="shared" si="65"/>
        <v>-29.335135784568067</v>
      </c>
      <c r="Q214" s="301">
        <f t="shared" si="66"/>
        <v>30073.21563655627</v>
      </c>
      <c r="R214" s="301">
        <f t="shared" si="83"/>
        <v>3.6800000000000024</v>
      </c>
      <c r="S214" s="308">
        <f t="shared" si="67"/>
        <v>17.067029479845623</v>
      </c>
      <c r="T214" s="301" t="str">
        <f t="shared" si="68"/>
        <v>1+0.22893777609336i</v>
      </c>
      <c r="U214" s="303">
        <f t="shared" si="69"/>
        <v>18.945061122127345</v>
      </c>
      <c r="V214" s="301">
        <f t="shared" si="70"/>
        <v>113.22054032645968</v>
      </c>
      <c r="W214" s="301">
        <f t="shared" si="71"/>
        <v>59.578906917630803</v>
      </c>
      <c r="X214" s="303">
        <f t="shared" si="72"/>
        <v>-17.724616440344064</v>
      </c>
      <c r="Y214" s="192" t="str">
        <f t="shared" si="73"/>
        <v>907.453456650009-290.034984472604i</v>
      </c>
      <c r="Z214" s="192" t="str">
        <f t="shared" si="74"/>
        <v>-700135.254342768i</v>
      </c>
      <c r="AA214" s="192" t="str">
        <f t="shared" si="75"/>
        <v>22150.1592153998-96751.8755243215i</v>
      </c>
      <c r="AB214" s="192" t="str">
        <f t="shared" si="76"/>
        <v>1381.90263844297-49716.1404843972i</v>
      </c>
      <c r="AC214" s="192" t="str">
        <f t="shared" si="77"/>
        <v>17084.8712032646-85479.8992763867i</v>
      </c>
      <c r="AD214" s="192" t="str">
        <f t="shared" si="78"/>
        <v>9562.44358716765-1911.24601758129i</v>
      </c>
      <c r="AE214" s="192" t="str">
        <f t="shared" si="79"/>
        <v>-3.49179164179615+8.13890084020179i</v>
      </c>
      <c r="AF214" s="296"/>
      <c r="AG214" s="296"/>
      <c r="AH214" s="296"/>
      <c r="AI214" s="296"/>
      <c r="AJ214" s="296"/>
      <c r="AK214" s="296"/>
      <c r="AL214" s="296"/>
      <c r="AM214" s="296"/>
      <c r="AN214" s="296"/>
      <c r="AO214" s="296"/>
      <c r="AP214" s="296"/>
      <c r="AQ214" s="296"/>
      <c r="AR214" s="296"/>
      <c r="AS214" s="296"/>
    </row>
    <row r="215" spans="1:45" s="192" customFormat="1" x14ac:dyDescent="0.2">
      <c r="A215" s="301">
        <f t="shared" si="80"/>
        <v>35.76</v>
      </c>
      <c r="B215" s="301">
        <f t="shared" si="81"/>
        <v>3.7000000000000024</v>
      </c>
      <c r="C215" s="320">
        <f t="shared" si="82"/>
        <v>5011.8723362727505</v>
      </c>
      <c r="D215" s="302">
        <f t="shared" si="56"/>
        <v>35.759560690772553</v>
      </c>
      <c r="E215" s="301">
        <f t="shared" si="57"/>
        <v>82.784550950598415</v>
      </c>
      <c r="G215" s="320"/>
      <c r="H215" s="315" t="str">
        <f t="shared" si="58"/>
        <v>1E+47-3.17555860192273E+51i</v>
      </c>
      <c r="I215" s="301" t="str">
        <f t="shared" si="59"/>
        <v>0.002-0.0293761202768061i</v>
      </c>
      <c r="J215" s="301" t="str">
        <f t="shared" si="60"/>
        <v>0.002-0.0293761202768061i</v>
      </c>
      <c r="K215" s="301"/>
      <c r="L215" s="301" t="str">
        <f t="shared" si="61"/>
        <v>0.014478886179194-0.0119091089520917i</v>
      </c>
      <c r="M215" s="301" t="str">
        <f t="shared" si="62"/>
        <v>0.003+0.00944715678741863i</v>
      </c>
      <c r="N215" s="301" t="str">
        <f t="shared" si="63"/>
        <v>0.906351829942278-0.553680251887548i</v>
      </c>
      <c r="O215" s="316">
        <f t="shared" si="64"/>
        <v>0.52322752361432601</v>
      </c>
      <c r="P215" s="316">
        <f t="shared" si="65"/>
        <v>-31.42029388884438</v>
      </c>
      <c r="Q215" s="301">
        <f t="shared" si="66"/>
        <v>31490.522624728772</v>
      </c>
      <c r="R215" s="301">
        <f t="shared" si="83"/>
        <v>3.7000000000000024</v>
      </c>
      <c r="S215" s="308">
        <f t="shared" si="67"/>
        <v>17.173405777739053</v>
      </c>
      <c r="T215" s="301" t="str">
        <f t="shared" si="68"/>
        <v>1+0.239727281074642i</v>
      </c>
      <c r="U215" s="303">
        <f t="shared" si="69"/>
        <v>18.5861549130335</v>
      </c>
      <c r="V215" s="301">
        <f t="shared" si="70"/>
        <v>114.2048448394428</v>
      </c>
      <c r="W215" s="301">
        <f t="shared" si="71"/>
        <v>59.54035960957598</v>
      </c>
      <c r="X215" s="303">
        <f t="shared" si="72"/>
        <v>-18.504469123664688</v>
      </c>
      <c r="Y215" s="192" t="str">
        <f t="shared" si="73"/>
        <v>899.4214243359-301.020210793076i</v>
      </c>
      <c r="Z215" s="192" t="str">
        <f t="shared" si="74"/>
        <v>-668623.977109578i</v>
      </c>
      <c r="AA215" s="192" t="str">
        <f t="shared" si="75"/>
        <v>22150.1592153998-92397.3238093959i</v>
      </c>
      <c r="AB215" s="192" t="str">
        <f t="shared" si="76"/>
        <v>1381.90263844297-47478.5455681994i</v>
      </c>
      <c r="AC215" s="192" t="str">
        <f t="shared" si="77"/>
        <v>17083.5987752967-81676.3873461967i</v>
      </c>
      <c r="AD215" s="192" t="str">
        <f t="shared" si="78"/>
        <v>9522.52312929819-1991.75024453366i</v>
      </c>
      <c r="AE215" s="192" t="str">
        <f t="shared" si="79"/>
        <v>-3.48410930666766+7.75074187307067i</v>
      </c>
      <c r="AF215" s="296"/>
      <c r="AG215" s="296"/>
      <c r="AH215" s="296"/>
      <c r="AI215" s="296"/>
      <c r="AJ215" s="296"/>
      <c r="AK215" s="296"/>
      <c r="AL215" s="296"/>
      <c r="AM215" s="296"/>
      <c r="AN215" s="296"/>
      <c r="AO215" s="296"/>
      <c r="AP215" s="296"/>
      <c r="AQ215" s="296"/>
      <c r="AR215" s="296"/>
      <c r="AS215" s="296"/>
    </row>
    <row r="216" spans="1:45" s="192" customFormat="1" x14ac:dyDescent="0.2">
      <c r="A216" s="301">
        <f t="shared" si="80"/>
        <v>35.512999999999998</v>
      </c>
      <c r="B216" s="301">
        <f t="shared" si="81"/>
        <v>3.7200000000000033</v>
      </c>
      <c r="C216" s="320">
        <f t="shared" si="82"/>
        <v>5248.0746024977634</v>
      </c>
      <c r="D216" s="302">
        <f t="shared" si="56"/>
        <v>35.513291653281996</v>
      </c>
      <c r="E216" s="301">
        <f t="shared" si="57"/>
        <v>81.51663775321191</v>
      </c>
      <c r="G216" s="320"/>
      <c r="H216" s="315" t="str">
        <f t="shared" si="58"/>
        <v>1E+47-3.0326349213128E+51i</v>
      </c>
      <c r="I216" s="301" t="str">
        <f t="shared" si="59"/>
        <v>0.002-0.0280539770704237i</v>
      </c>
      <c r="J216" s="301" t="str">
        <f t="shared" si="60"/>
        <v>0.002-0.0280539770704237i</v>
      </c>
      <c r="K216" s="301"/>
      <c r="L216" s="301" t="str">
        <f t="shared" si="61"/>
        <v>0.0139302982827731-0.0119284226413026i</v>
      </c>
      <c r="M216" s="301" t="str">
        <f t="shared" si="62"/>
        <v>0.003+0.00989238757001889i</v>
      </c>
      <c r="N216" s="301" t="str">
        <f t="shared" si="63"/>
        <v>0.894595224671092-0.596976805751461i</v>
      </c>
      <c r="O216" s="316">
        <f t="shared" si="64"/>
        <v>0.63213948193498237</v>
      </c>
      <c r="P216" s="316">
        <f t="shared" si="65"/>
        <v>-33.715776529042195</v>
      </c>
      <c r="Q216" s="301">
        <f t="shared" si="66"/>
        <v>32974.625233396291</v>
      </c>
      <c r="R216" s="301">
        <f t="shared" si="83"/>
        <v>3.7200000000000024</v>
      </c>
      <c r="S216" s="308">
        <f t="shared" si="67"/>
        <v>17.28231773605971</v>
      </c>
      <c r="T216" s="301" t="str">
        <f t="shared" si="68"/>
        <v>1+0.25102527975988i</v>
      </c>
      <c r="U216" s="303">
        <f t="shared" si="69"/>
        <v>18.23097391722229</v>
      </c>
      <c r="V216" s="301">
        <f t="shared" si="70"/>
        <v>115.23241428225411</v>
      </c>
      <c r="W216" s="301">
        <f t="shared" si="71"/>
        <v>59.498482893585056</v>
      </c>
      <c r="X216" s="303">
        <f t="shared" si="72"/>
        <v>-19.313563334395095</v>
      </c>
      <c r="Y216" s="192" t="str">
        <f t="shared" si="73"/>
        <v>890.776064687193-312.182090088891i</v>
      </c>
      <c r="Z216" s="192" t="str">
        <f t="shared" si="74"/>
        <v>-638530.940975813i</v>
      </c>
      <c r="AA216" s="192" t="str">
        <f t="shared" si="75"/>
        <v>22150.1592153998-88238.7592061946i</v>
      </c>
      <c r="AB216" s="192" t="str">
        <f t="shared" si="76"/>
        <v>1381.90263844297-45341.6590127113i</v>
      </c>
      <c r="AC216" s="192" t="str">
        <f t="shared" si="77"/>
        <v>17082.2038035996-78046.1148370168i</v>
      </c>
      <c r="AD216" s="192" t="str">
        <f t="shared" si="78"/>
        <v>9479.18774465355-2074.74026458464i</v>
      </c>
      <c r="AE216" s="192" t="str">
        <f t="shared" si="79"/>
        <v>-3.47740263133301+7.37901803526073i</v>
      </c>
      <c r="AF216" s="296"/>
      <c r="AG216" s="296"/>
      <c r="AH216" s="296"/>
      <c r="AI216" s="296"/>
      <c r="AJ216" s="296"/>
      <c r="AK216" s="296"/>
      <c r="AL216" s="296"/>
      <c r="AM216" s="296"/>
      <c r="AN216" s="296"/>
      <c r="AO216" s="296"/>
      <c r="AP216" s="296"/>
      <c r="AQ216" s="296"/>
      <c r="AR216" s="296"/>
      <c r="AS216" s="296"/>
    </row>
    <row r="217" spans="1:45" s="192" customFormat="1" x14ac:dyDescent="0.2">
      <c r="A217" s="301">
        <f t="shared" si="80"/>
        <v>35.271000000000001</v>
      </c>
      <c r="B217" s="301">
        <f t="shared" si="81"/>
        <v>3.7400000000000029</v>
      </c>
      <c r="C217" s="320">
        <f t="shared" si="82"/>
        <v>5495.4087385762832</v>
      </c>
      <c r="D217" s="302">
        <f t="shared" si="56"/>
        <v>35.271493543057616</v>
      </c>
      <c r="E217" s="301">
        <f t="shared" si="57"/>
        <v>80.056863444431556</v>
      </c>
      <c r="G217" s="320"/>
      <c r="H217" s="315" t="str">
        <f t="shared" si="58"/>
        <v>1E+47-2.89614386596343E+51i</v>
      </c>
      <c r="I217" s="301" t="str">
        <f t="shared" si="59"/>
        <v>0.002-0.02679134011067i</v>
      </c>
      <c r="J217" s="301" t="str">
        <f t="shared" si="60"/>
        <v>0.002-0.02679134011067i</v>
      </c>
      <c r="K217" s="301"/>
      <c r="L217" s="301" t="str">
        <f t="shared" si="61"/>
        <v>0.0133810949688595-0.0119224688421308i</v>
      </c>
      <c r="M217" s="301" t="str">
        <f t="shared" si="62"/>
        <v>0.003+0.0103586014329506i</v>
      </c>
      <c r="N217" s="301" t="str">
        <f t="shared" si="63"/>
        <v>0.878340049487197-0.64396558866263i</v>
      </c>
      <c r="O217" s="316">
        <f t="shared" si="64"/>
        <v>0.74148005688532792</v>
      </c>
      <c r="P217" s="316">
        <f t="shared" si="65"/>
        <v>-36.247455290916704</v>
      </c>
      <c r="Q217" s="301">
        <f t="shared" si="66"/>
        <v>34528.671443168809</v>
      </c>
      <c r="R217" s="301">
        <f t="shared" si="83"/>
        <v>3.7400000000000024</v>
      </c>
      <c r="S217" s="308">
        <f t="shared" si="67"/>
        <v>17.391658311010055</v>
      </c>
      <c r="T217" s="301" t="str">
        <f t="shared" si="68"/>
        <v>1+0.262855736719034i</v>
      </c>
      <c r="U217" s="303">
        <f t="shared" si="69"/>
        <v>17.879835232047562</v>
      </c>
      <c r="V217" s="301">
        <f t="shared" si="70"/>
        <v>116.30431873534826</v>
      </c>
      <c r="W217" s="301">
        <f t="shared" si="71"/>
        <v>59.453025385211674</v>
      </c>
      <c r="X217" s="303">
        <f t="shared" si="72"/>
        <v>-20.152329312630528</v>
      </c>
      <c r="Y217" s="192" t="str">
        <f t="shared" si="73"/>
        <v>881.485338426952-323.491022822455i</v>
      </c>
      <c r="Z217" s="192" t="str">
        <f t="shared" si="74"/>
        <v>-609792.314577193i</v>
      </c>
      <c r="AA217" s="192" t="str">
        <f t="shared" si="75"/>
        <v>22150.1592153998-84267.360841647i</v>
      </c>
      <c r="AB217" s="192" t="str">
        <f t="shared" si="76"/>
        <v>1381.90263844297-43300.9481950515i</v>
      </c>
      <c r="AC217" s="192" t="str">
        <f t="shared" si="77"/>
        <v>17080.6745093695-74581.3803972845i</v>
      </c>
      <c r="AD217" s="192" t="str">
        <f t="shared" si="78"/>
        <v>9432.18807257282-2160.16562740691i</v>
      </c>
      <c r="AE217" s="192" t="str">
        <f t="shared" si="79"/>
        <v>-3.47161457417993+7.0229455532296i</v>
      </c>
      <c r="AF217" s="296"/>
      <c r="AG217" s="296"/>
      <c r="AH217" s="296"/>
      <c r="AI217" s="296"/>
      <c r="AJ217" s="296"/>
      <c r="AK217" s="296"/>
      <c r="AL217" s="296"/>
      <c r="AM217" s="296"/>
      <c r="AN217" s="296"/>
      <c r="AO217" s="296"/>
      <c r="AP217" s="296"/>
      <c r="AQ217" s="296"/>
      <c r="AR217" s="296"/>
      <c r="AS217" s="296"/>
    </row>
    <row r="218" spans="1:45" s="192" customFormat="1" x14ac:dyDescent="0.2">
      <c r="A218" s="301">
        <f t="shared" si="80"/>
        <v>35.031999999999996</v>
      </c>
      <c r="B218" s="301">
        <f t="shared" si="81"/>
        <v>3.7600000000000029</v>
      </c>
      <c r="C218" s="320">
        <f t="shared" si="82"/>
        <v>5754.3993733716079</v>
      </c>
      <c r="D218" s="302">
        <f t="shared" si="56"/>
        <v>35.031502304362263</v>
      </c>
      <c r="E218" s="301">
        <f t="shared" si="57"/>
        <v>78.37838277437082</v>
      </c>
      <c r="G218" s="320"/>
      <c r="H218" s="315" t="str">
        <f t="shared" si="58"/>
        <v>1E+47-2.76579592004654E+51i</v>
      </c>
      <c r="I218" s="301" t="str">
        <f t="shared" si="59"/>
        <v>0.002-0.0255855311752686i</v>
      </c>
      <c r="J218" s="301" t="str">
        <f t="shared" si="60"/>
        <v>0.002-0.0255855311752686i</v>
      </c>
      <c r="K218" s="301"/>
      <c r="L218" s="301" t="str">
        <f t="shared" si="61"/>
        <v>0.0128336003560949-0.0118913105027614i</v>
      </c>
      <c r="M218" s="301" t="str">
        <f t="shared" si="62"/>
        <v>0.003+0.0108467872783236i</v>
      </c>
      <c r="N218" s="301" t="str">
        <f t="shared" si="63"/>
        <v>0.856346497356892-0.694525341728301i</v>
      </c>
      <c r="O218" s="316">
        <f t="shared" si="64"/>
        <v>0.84824549708787678</v>
      </c>
      <c r="P218" s="316">
        <f t="shared" si="65"/>
        <v>-39.043195950048087</v>
      </c>
      <c r="Q218" s="301">
        <f t="shared" si="66"/>
        <v>36155.957594411906</v>
      </c>
      <c r="R218" s="301">
        <f t="shared" si="83"/>
        <v>3.7600000000000025</v>
      </c>
      <c r="S218" s="308">
        <f t="shared" si="67"/>
        <v>17.498423751212602</v>
      </c>
      <c r="T218" s="301" t="str">
        <f t="shared" si="68"/>
        <v>1+0.275243745937452i</v>
      </c>
      <c r="U218" s="303">
        <f t="shared" si="69"/>
        <v>17.533078553149657</v>
      </c>
      <c r="V218" s="301">
        <f t="shared" si="70"/>
        <v>117.42157872441891</v>
      </c>
      <c r="W218" s="301">
        <f t="shared" si="71"/>
        <v>59.403723070353813</v>
      </c>
      <c r="X218" s="303">
        <f t="shared" si="72"/>
        <v>-21.021113684283716</v>
      </c>
      <c r="Y218" s="192" t="str">
        <f t="shared" si="73"/>
        <v>871.518126187003-334.912997027624i</v>
      </c>
      <c r="Z218" s="192" t="str">
        <f t="shared" si="74"/>
        <v>-582347.13943407i</v>
      </c>
      <c r="AA218" s="192" t="str">
        <f t="shared" si="75"/>
        <v>22150.1592153998-80474.7048473661i</v>
      </c>
      <c r="AB218" s="192" t="str">
        <f t="shared" si="76"/>
        <v>1381.90263844297-41352.0844939723i</v>
      </c>
      <c r="AC218" s="192" t="str">
        <f t="shared" si="77"/>
        <v>17078.9979862829-71274.8336478196i</v>
      </c>
      <c r="AD218" s="192" t="str">
        <f t="shared" si="78"/>
        <v>9381.26452518688-2247.95470903714i</v>
      </c>
      <c r="AE218" s="192" t="str">
        <f t="shared" si="79"/>
        <v>-3.46669584758076+6.68177383973753i</v>
      </c>
      <c r="AF218" s="296"/>
      <c r="AG218" s="296"/>
      <c r="AH218" s="296"/>
      <c r="AI218" s="296"/>
      <c r="AJ218" s="296"/>
      <c r="AK218" s="296"/>
      <c r="AL218" s="296"/>
      <c r="AM218" s="296"/>
      <c r="AN218" s="296"/>
      <c r="AO218" s="296"/>
      <c r="AP218" s="296"/>
      <c r="AQ218" s="296"/>
      <c r="AR218" s="296"/>
      <c r="AS218" s="296"/>
    </row>
    <row r="219" spans="1:45" s="192" customFormat="1" x14ac:dyDescent="0.2">
      <c r="A219" s="301">
        <f t="shared" si="80"/>
        <v>34.79</v>
      </c>
      <c r="B219" s="301">
        <f t="shared" si="81"/>
        <v>3.7800000000000029</v>
      </c>
      <c r="C219" s="320">
        <f t="shared" si="82"/>
        <v>6025.5958607436169</v>
      </c>
      <c r="D219" s="302">
        <f t="shared" si="56"/>
        <v>34.7895320031948</v>
      </c>
      <c r="E219" s="301">
        <f t="shared" si="57"/>
        <v>76.453176875292826</v>
      </c>
      <c r="G219" s="320"/>
      <c r="H219" s="315" t="str">
        <f t="shared" si="58"/>
        <v>1E+47-2.64131459809278E+51i</v>
      </c>
      <c r="I219" s="301" t="str">
        <f t="shared" si="59"/>
        <v>0.002-0.0244339925818018i</v>
      </c>
      <c r="J219" s="301" t="str">
        <f t="shared" si="60"/>
        <v>0.002-0.0244339925818018i</v>
      </c>
      <c r="K219" s="301"/>
      <c r="L219" s="301" t="str">
        <f t="shared" si="61"/>
        <v>0.0122901097550965-0.0118352758279661i</v>
      </c>
      <c r="M219" s="301" t="str">
        <f t="shared" si="62"/>
        <v>0.003+0.0113579806137679i</v>
      </c>
      <c r="N219" s="301" t="str">
        <f t="shared" si="63"/>
        <v>0.827151365010263-0.748227489748126i</v>
      </c>
      <c r="O219" s="316">
        <f t="shared" si="64"/>
        <v>0.94828674131777602</v>
      </c>
      <c r="P219" s="316">
        <f t="shared" si="65"/>
        <v>-42.13197403120023</v>
      </c>
      <c r="Q219" s="301">
        <f t="shared" si="66"/>
        <v>37859.935379226423</v>
      </c>
      <c r="R219" s="301">
        <f t="shared" si="83"/>
        <v>3.7800000000000025</v>
      </c>
      <c r="S219" s="308">
        <f t="shared" si="67"/>
        <v>17.598464995442502</v>
      </c>
      <c r="T219" s="301" t="str">
        <f t="shared" si="68"/>
        <v>1+0.288215584043575i</v>
      </c>
      <c r="U219" s="303">
        <f t="shared" si="69"/>
        <v>17.191067007752299</v>
      </c>
      <c r="V219" s="301">
        <f t="shared" si="70"/>
        <v>118.58515090649306</v>
      </c>
      <c r="W219" s="301">
        <f t="shared" si="71"/>
        <v>59.350299777775632</v>
      </c>
      <c r="X219" s="303">
        <f t="shared" si="72"/>
        <v>-21.920167587298003</v>
      </c>
      <c r="Y219" s="192" t="str">
        <f t="shared" si="73"/>
        <v>860.844765843843-346.409403221396i</v>
      </c>
      <c r="Z219" s="192" t="str">
        <f t="shared" si="74"/>
        <v>-556137.200650328i</v>
      </c>
      <c r="AA219" s="192" t="str">
        <f t="shared" si="75"/>
        <v>22150.1592153998-76852.7464914978i</v>
      </c>
      <c r="AB219" s="192" t="str">
        <f t="shared" si="76"/>
        <v>1381.90263844297-39490.9341082756i</v>
      </c>
      <c r="AC219" s="192" t="str">
        <f t="shared" si="77"/>
        <v>17077.1600935045-68119.4595677011i</v>
      </c>
      <c r="AD219" s="192" t="str">
        <f t="shared" si="78"/>
        <v>9326.1484380943-2338.01223532665i</v>
      </c>
      <c r="AE219" s="192" t="str">
        <f t="shared" si="79"/>
        <v>-3.46260449433424+6.35478399074501i</v>
      </c>
      <c r="AF219" s="296"/>
      <c r="AG219" s="296"/>
      <c r="AH219" s="296"/>
      <c r="AI219" s="296"/>
      <c r="AJ219" s="296"/>
      <c r="AK219" s="296"/>
      <c r="AL219" s="296"/>
      <c r="AM219" s="296"/>
      <c r="AN219" s="296"/>
      <c r="AO219" s="296"/>
      <c r="AP219" s="296"/>
      <c r="AQ219" s="296"/>
      <c r="AR219" s="296"/>
      <c r="AS219" s="296"/>
    </row>
    <row r="220" spans="1:45" s="192" customFormat="1" x14ac:dyDescent="0.2">
      <c r="A220" s="301">
        <f t="shared" si="80"/>
        <v>34.54</v>
      </c>
      <c r="B220" s="301">
        <f t="shared" si="81"/>
        <v>3.8000000000000029</v>
      </c>
      <c r="C220" s="320">
        <f t="shared" si="82"/>
        <v>6309.5734448019721</v>
      </c>
      <c r="D220" s="302">
        <f t="shared" si="56"/>
        <v>34.540405303275215</v>
      </c>
      <c r="E220" s="301">
        <f t="shared" si="57"/>
        <v>74.253635002699298</v>
      </c>
      <c r="G220" s="320"/>
      <c r="H220" s="315" t="str">
        <f t="shared" si="58"/>
        <v>1E+47-2.52243585852879E+51i</v>
      </c>
      <c r="I220" s="301" t="str">
        <f t="shared" si="59"/>
        <v>0.002-0.0233342817625235i</v>
      </c>
      <c r="J220" s="301" t="str">
        <f t="shared" si="60"/>
        <v>0.002-0.0233342817625235i</v>
      </c>
      <c r="K220" s="301"/>
      <c r="L220" s="301" t="str">
        <f t="shared" si="61"/>
        <v>0.0117528514957979-0.0117549498919687i</v>
      </c>
      <c r="M220" s="301" t="str">
        <f t="shared" si="62"/>
        <v>0.003+0.0118932657488851i</v>
      </c>
      <c r="N220" s="301" t="str">
        <f t="shared" si="63"/>
        <v>0.789109770685618-0.804190043496437i</v>
      </c>
      <c r="O220" s="316">
        <f t="shared" si="64"/>
        <v>1.0360391877627144</v>
      </c>
      <c r="P220" s="316">
        <f t="shared" si="65"/>
        <v>-45.542277215383457</v>
      </c>
      <c r="Q220" s="301">
        <f t="shared" si="66"/>
        <v>39644.219162950241</v>
      </c>
      <c r="R220" s="301">
        <f t="shared" si="83"/>
        <v>3.8000000000000025</v>
      </c>
      <c r="S220" s="308">
        <f t="shared" si="67"/>
        <v>17.68621744188744</v>
      </c>
      <c r="T220" s="301" t="str">
        <f t="shared" si="68"/>
        <v>1+0.30179876604519i</v>
      </c>
      <c r="U220" s="303">
        <f t="shared" si="69"/>
        <v>16.854187861387775</v>
      </c>
      <c r="V220" s="301">
        <f t="shared" si="70"/>
        <v>119.79591221808276</v>
      </c>
      <c r="W220" s="301">
        <f t="shared" si="71"/>
        <v>59.292467879229982</v>
      </c>
      <c r="X220" s="303">
        <f t="shared" si="72"/>
        <v>-22.849634384915561</v>
      </c>
      <c r="Y220" s="192" t="str">
        <f t="shared" si="73"/>
        <v>849.437654470367-357.936908270698i</v>
      </c>
      <c r="Z220" s="192" t="str">
        <f t="shared" si="74"/>
        <v>-531106.903431778i</v>
      </c>
      <c r="AA220" s="192" t="str">
        <f t="shared" si="75"/>
        <v>22150.1592153998-73393.8031147653i</v>
      </c>
      <c r="AB220" s="192" t="str">
        <f t="shared" si="76"/>
        <v>1381.90263844297-37713.5492884642i</v>
      </c>
      <c r="AC220" s="192" t="str">
        <f t="shared" si="77"/>
        <v>17075.1453387332-65108.563588111i</v>
      </c>
      <c r="AD220" s="192" t="str">
        <f t="shared" si="78"/>
        <v>9266.56359144178-2430.21672410811i</v>
      </c>
      <c r="AE220" s="192" t="str">
        <f t="shared" si="79"/>
        <v>-3.45930552466949+6.04128735082934i</v>
      </c>
      <c r="AF220" s="296"/>
      <c r="AG220" s="296"/>
      <c r="AH220" s="296"/>
      <c r="AI220" s="296"/>
      <c r="AJ220" s="296"/>
      <c r="AK220" s="296"/>
      <c r="AL220" s="296"/>
      <c r="AM220" s="296"/>
      <c r="AN220" s="296"/>
      <c r="AO220" s="296"/>
      <c r="AP220" s="296"/>
      <c r="AQ220" s="296"/>
      <c r="AR220" s="296"/>
      <c r="AS220" s="296"/>
    </row>
    <row r="221" spans="1:45" s="192" customFormat="1" x14ac:dyDescent="0.2">
      <c r="A221" s="301">
        <f t="shared" si="80"/>
        <v>34.277000000000001</v>
      </c>
      <c r="B221" s="301">
        <f t="shared" si="81"/>
        <v>3.8200000000000025</v>
      </c>
      <c r="C221" s="320">
        <f t="shared" si="82"/>
        <v>6606.9344800760009</v>
      </c>
      <c r="D221" s="302">
        <f t="shared" si="56"/>
        <v>34.277298903456895</v>
      </c>
      <c r="E221" s="301">
        <f t="shared" si="57"/>
        <v>71.755110382534212</v>
      </c>
      <c r="G221" s="320"/>
      <c r="H221" s="315" t="str">
        <f t="shared" si="58"/>
        <v>1E+47-2.40890754360961E+51i</v>
      </c>
      <c r="I221" s="301" t="str">
        <f t="shared" si="59"/>
        <v>0.002-0.0222840660833452i</v>
      </c>
      <c r="J221" s="301" t="str">
        <f t="shared" si="60"/>
        <v>0.002-0.0222840660833452i</v>
      </c>
      <c r="K221" s="301"/>
      <c r="L221" s="301" t="str">
        <f t="shared" si="61"/>
        <v>0.011223951116494-0.0116511598774681i</v>
      </c>
      <c r="M221" s="301" t="str">
        <f t="shared" si="62"/>
        <v>0.003+0.0124537780952135i</v>
      </c>
      <c r="N221" s="301" t="str">
        <f t="shared" si="63"/>
        <v>0.740509509702066-0.860907507349971i</v>
      </c>
      <c r="O221" s="316">
        <f t="shared" si="64"/>
        <v>1.1042675876010222</v>
      </c>
      <c r="P221" s="316">
        <f t="shared" si="65"/>
        <v>-49.299532064931697</v>
      </c>
      <c r="Q221" s="301">
        <f t="shared" si="66"/>
        <v>41512.593650711729</v>
      </c>
      <c r="R221" s="301">
        <f t="shared" si="83"/>
        <v>3.8200000000000025</v>
      </c>
      <c r="S221" s="308">
        <f t="shared" si="67"/>
        <v>17.754445841725747</v>
      </c>
      <c r="T221" s="301" t="str">
        <f t="shared" si="68"/>
        <v>1+0.316022103692453i</v>
      </c>
      <c r="U221" s="303">
        <f t="shared" si="69"/>
        <v>16.522853061731148</v>
      </c>
      <c r="V221" s="301">
        <f t="shared" si="70"/>
        <v>121.05464244746591</v>
      </c>
      <c r="W221" s="301">
        <f t="shared" si="71"/>
        <v>59.229929242279731</v>
      </c>
      <c r="X221" s="303">
        <f t="shared" si="72"/>
        <v>-23.809537141430244</v>
      </c>
      <c r="Y221" s="192" t="str">
        <f t="shared" si="73"/>
        <v>837.271910845816-369.447403624027i</v>
      </c>
      <c r="Z221" s="192" t="str">
        <f t="shared" si="74"/>
        <v>-507203.155162152i</v>
      </c>
      <c r="AA221" s="192" t="str">
        <f t="shared" si="75"/>
        <v>22150.1592153998-70090.5378345179i</v>
      </c>
      <c r="AB221" s="192" t="str">
        <f t="shared" si="76"/>
        <v>1381.90263844297-36016.1599630373i</v>
      </c>
      <c r="AC221" s="192" t="str">
        <f t="shared" si="77"/>
        <v>17072.936750396-62235.7573620377i</v>
      </c>
      <c r="AD221" s="192" t="str">
        <f t="shared" si="78"/>
        <v>9202.22814851483-2524.41788774858i</v>
      </c>
      <c r="AE221" s="192" t="str">
        <f t="shared" si="79"/>
        <v>-3.45677061050235+5.74062414576049i</v>
      </c>
      <c r="AF221" s="296"/>
      <c r="AG221" s="296"/>
      <c r="AH221" s="296"/>
      <c r="AI221" s="296"/>
      <c r="AJ221" s="296"/>
      <c r="AK221" s="296"/>
      <c r="AL221" s="296"/>
      <c r="AM221" s="296"/>
      <c r="AN221" s="296"/>
      <c r="AO221" s="296"/>
      <c r="AP221" s="296"/>
      <c r="AQ221" s="296"/>
      <c r="AR221" s="296"/>
      <c r="AS221" s="296"/>
    </row>
    <row r="222" spans="1:45" s="192" customFormat="1" x14ac:dyDescent="0.2">
      <c r="A222" s="301">
        <f t="shared" si="80"/>
        <v>33.991999999999997</v>
      </c>
      <c r="B222" s="301">
        <f t="shared" si="81"/>
        <v>3.8400000000000025</v>
      </c>
      <c r="C222" s="320">
        <f t="shared" si="82"/>
        <v>6918.309709189406</v>
      </c>
      <c r="D222" s="302">
        <f t="shared" si="56"/>
        <v>33.991572607390992</v>
      </c>
      <c r="E222" s="301">
        <f t="shared" si="57"/>
        <v>68.939672588821438</v>
      </c>
      <c r="G222" s="320"/>
      <c r="H222" s="315" t="str">
        <f t="shared" si="58"/>
        <v>1E+47-2.30048884455829E+51i</v>
      </c>
      <c r="I222" s="301" t="str">
        <f t="shared" si="59"/>
        <v>0.002-0.0212811178960064i</v>
      </c>
      <c r="J222" s="301" t="str">
        <f t="shared" si="60"/>
        <v>0.002-0.0212811178960064i</v>
      </c>
      <c r="K222" s="301"/>
      <c r="L222" s="301" t="str">
        <f t="shared" si="61"/>
        <v>0.0107053991082591-0.0115249546260541i</v>
      </c>
      <c r="M222" s="301" t="str">
        <f t="shared" si="62"/>
        <v>0.003+0.013040706574589i</v>
      </c>
      <c r="N222" s="301" t="str">
        <f t="shared" si="63"/>
        <v>0.679793180377212-0.916088058774263i</v>
      </c>
      <c r="O222" s="316">
        <f t="shared" si="64"/>
        <v>1.1438947743328727</v>
      </c>
      <c r="P222" s="316">
        <f t="shared" si="65"/>
        <v>-53.422332632969386</v>
      </c>
      <c r="Q222" s="301">
        <f t="shared" si="66"/>
        <v>43469.021915296755</v>
      </c>
      <c r="R222" s="301">
        <f t="shared" si="83"/>
        <v>3.8400000000000025</v>
      </c>
      <c r="S222" s="308">
        <f t="shared" si="67"/>
        <v>17.7940730284576</v>
      </c>
      <c r="T222" s="301" t="str">
        <f t="shared" si="68"/>
        <v>1+0.330915766591469i</v>
      </c>
      <c r="U222" s="303">
        <f t="shared" si="69"/>
        <v>16.197499578933392</v>
      </c>
      <c r="V222" s="301">
        <f t="shared" si="70"/>
        <v>122.36200522179082</v>
      </c>
      <c r="W222" s="301">
        <f t="shared" si="71"/>
        <v>59.162376458656205</v>
      </c>
      <c r="X222" s="303">
        <f t="shared" si="72"/>
        <v>-24.799766077458465</v>
      </c>
      <c r="Y222" s="192" t="str">
        <f t="shared" si="73"/>
        <v>824.326091182751-380.888043984307i</v>
      </c>
      <c r="Z222" s="192" t="str">
        <f t="shared" si="74"/>
        <v>-484375.252786534i</v>
      </c>
      <c r="AA222" s="192" t="str">
        <f t="shared" si="75"/>
        <v>22150.1592153998-66935.9439822194i</v>
      </c>
      <c r="AB222" s="192" t="str">
        <f t="shared" si="76"/>
        <v>1381.90263844297-34395.1657416628i</v>
      </c>
      <c r="AC222" s="192" t="str">
        <f t="shared" si="77"/>
        <v>17070.5157380294-59494.9451790967i</v>
      </c>
      <c r="AD222" s="192" t="str">
        <f t="shared" si="78"/>
        <v>9132.85705762439-2620.43404975059i</v>
      </c>
      <c r="AE222" s="192" t="str">
        <f t="shared" si="79"/>
        <v>-3.4549778340575+5.45216218106658i</v>
      </c>
      <c r="AF222" s="296"/>
      <c r="AG222" s="296"/>
      <c r="AH222" s="296"/>
      <c r="AI222" s="296"/>
      <c r="AJ222" s="296"/>
      <c r="AK222" s="296"/>
      <c r="AL222" s="296"/>
      <c r="AM222" s="296"/>
      <c r="AN222" s="296"/>
      <c r="AO222" s="296"/>
      <c r="AP222" s="296"/>
      <c r="AQ222" s="296"/>
      <c r="AR222" s="296"/>
      <c r="AS222" s="296"/>
    </row>
    <row r="223" spans="1:45" s="192" customFormat="1" x14ac:dyDescent="0.2">
      <c r="A223" s="301">
        <f t="shared" si="80"/>
        <v>33.673000000000002</v>
      </c>
      <c r="B223" s="301">
        <f t="shared" si="81"/>
        <v>3.8600000000000034</v>
      </c>
      <c r="C223" s="320">
        <f t="shared" si="82"/>
        <v>7244.3596007499555</v>
      </c>
      <c r="D223" s="302">
        <f t="shared" si="56"/>
        <v>33.672789385426789</v>
      </c>
      <c r="E223" s="301">
        <f t="shared" si="57"/>
        <v>65.80109160244038</v>
      </c>
      <c r="G223" s="320"/>
      <c r="H223" s="315" t="str">
        <f t="shared" si="58"/>
        <v>1E+47-2.19694979077818E+51i</v>
      </c>
      <c r="I223" s="301" t="str">
        <f t="shared" si="59"/>
        <v>0.002-0.0203233098129342i</v>
      </c>
      <c r="J223" s="301" t="str">
        <f t="shared" si="60"/>
        <v>0.002-0.0203233098129342i</v>
      </c>
      <c r="K223" s="301"/>
      <c r="L223" s="301" t="str">
        <f t="shared" si="61"/>
        <v>0.0101990232005158-0.0113775794240952i</v>
      </c>
      <c r="M223" s="301" t="str">
        <f t="shared" si="62"/>
        <v>0.003+0.0136552961410072i</v>
      </c>
      <c r="N223" s="301" t="str">
        <f t="shared" si="63"/>
        <v>0.605913622124211-0.966562359683834i</v>
      </c>
      <c r="O223" s="316">
        <f t="shared" si="64"/>
        <v>1.1440216335346423</v>
      </c>
      <c r="P223" s="316">
        <f t="shared" si="65"/>
        <v>-57.917435833493329</v>
      </c>
      <c r="Q223" s="301">
        <f t="shared" si="66"/>
        <v>45517.653803357491</v>
      </c>
      <c r="R223" s="301">
        <f t="shared" si="83"/>
        <v>3.8600000000000025</v>
      </c>
      <c r="S223" s="308">
        <f t="shared" si="67"/>
        <v>17.794199887659367</v>
      </c>
      <c r="T223" s="301" t="str">
        <f t="shared" si="68"/>
        <v>1+0.346511346198076i</v>
      </c>
      <c r="U223" s="303">
        <f t="shared" si="69"/>
        <v>15.878589497767422</v>
      </c>
      <c r="V223" s="301">
        <f t="shared" si="70"/>
        <v>123.71852743593371</v>
      </c>
      <c r="W223" s="301">
        <f t="shared" si="71"/>
        <v>59.089494367324988</v>
      </c>
      <c r="X223" s="303">
        <f t="shared" si="72"/>
        <v>-25.820066264303982</v>
      </c>
      <c r="Y223" s="192" t="str">
        <f t="shared" si="73"/>
        <v>810.582946971076-392.201392519493i</v>
      </c>
      <c r="Z223" s="192" t="str">
        <f t="shared" si="74"/>
        <v>-462574.775263399i</v>
      </c>
      <c r="AA223" s="192" t="str">
        <f t="shared" si="75"/>
        <v>22150.1592153998-63923.3302413656i</v>
      </c>
      <c r="AB223" s="192" t="str">
        <f t="shared" si="76"/>
        <v>1381.90263844297-32847.1282782664i</v>
      </c>
      <c r="AC223" s="192" t="str">
        <f t="shared" si="77"/>
        <v>17067.8619398141-56880.3109960099i</v>
      </c>
      <c r="AD223" s="192" t="str">
        <f t="shared" si="78"/>
        <v>9058.16495942053-2718.0496422795i</v>
      </c>
      <c r="AE223" s="192" t="str">
        <f t="shared" si="79"/>
        <v>-3.45391148835834+5.17529560563415i</v>
      </c>
      <c r="AF223" s="296"/>
      <c r="AG223" s="296"/>
      <c r="AH223" s="296"/>
      <c r="AI223" s="296"/>
      <c r="AJ223" s="296"/>
      <c r="AK223" s="296"/>
      <c r="AL223" s="296"/>
      <c r="AM223" s="296"/>
      <c r="AN223" s="296"/>
      <c r="AO223" s="296"/>
      <c r="AP223" s="296"/>
      <c r="AQ223" s="296"/>
      <c r="AR223" s="296"/>
      <c r="AS223" s="296"/>
    </row>
    <row r="224" spans="1:45" s="192" customFormat="1" x14ac:dyDescent="0.2">
      <c r="A224" s="301">
        <f t="shared" si="80"/>
        <v>33.308999999999997</v>
      </c>
      <c r="B224" s="301">
        <f t="shared" si="81"/>
        <v>3.880000000000003</v>
      </c>
      <c r="C224" s="320">
        <f t="shared" si="82"/>
        <v>7585.775750291893</v>
      </c>
      <c r="D224" s="302">
        <f t="shared" si="56"/>
        <v>33.309064163433284</v>
      </c>
      <c r="E224" s="301">
        <f t="shared" si="57"/>
        <v>62.350672134472859</v>
      </c>
      <c r="G224" s="320"/>
      <c r="H224" s="315" t="str">
        <f t="shared" si="58"/>
        <v>1E+47-2.09807076205451E+51i</v>
      </c>
      <c r="I224" s="301" t="str">
        <f t="shared" si="59"/>
        <v>0.002-0.0194086101947688i</v>
      </c>
      <c r="J224" s="301" t="str">
        <f t="shared" si="60"/>
        <v>0.002-0.0194086101947688i</v>
      </c>
      <c r="K224" s="301"/>
      <c r="L224" s="301" t="str">
        <f t="shared" si="61"/>
        <v>0.00970646591752182-0.0112104471212601i</v>
      </c>
      <c r="M224" s="301" t="str">
        <f t="shared" si="62"/>
        <v>0.003+0.014298850421338i</v>
      </c>
      <c r="N224" s="301" t="str">
        <f t="shared" si="63"/>
        <v>0.518809250343826-1.00836372641307i</v>
      </c>
      <c r="O224" s="316">
        <f t="shared" si="64"/>
        <v>1.0922760960199409</v>
      </c>
      <c r="P224" s="316">
        <f t="shared" si="65"/>
        <v>-62.773905060025399</v>
      </c>
      <c r="Q224" s="301">
        <f t="shared" si="66"/>
        <v>47662.834737793222</v>
      </c>
      <c r="R224" s="301">
        <f t="shared" si="83"/>
        <v>3.8800000000000026</v>
      </c>
      <c r="S224" s="308">
        <f t="shared" si="67"/>
        <v>17.742454350144669</v>
      </c>
      <c r="T224" s="301" t="str">
        <f t="shared" si="68"/>
        <v>1+0.362841922827554i</v>
      </c>
      <c r="U224" s="303">
        <f t="shared" si="69"/>
        <v>15.566609813288617</v>
      </c>
      <c r="V224" s="301">
        <f t="shared" si="70"/>
        <v>125.12457719449826</v>
      </c>
      <c r="W224" s="301">
        <f t="shared" si="71"/>
        <v>59.010961886181946</v>
      </c>
      <c r="X224" s="303">
        <f t="shared" si="72"/>
        <v>-26.870025858534799</v>
      </c>
      <c r="Y224" s="192" t="str">
        <f t="shared" si="73"/>
        <v>796.030209713562-403.32568789484i</v>
      </c>
      <c r="Z224" s="192" t="str">
        <f t="shared" si="74"/>
        <v>-441755.480857078i</v>
      </c>
      <c r="AA224" s="192" t="str">
        <f t="shared" si="75"/>
        <v>22150.1592153998-61046.3064543039i</v>
      </c>
      <c r="AB224" s="192" t="str">
        <f t="shared" si="76"/>
        <v>1381.90263844297-31368.7639778395i</v>
      </c>
      <c r="AC224" s="192" t="str">
        <f t="shared" si="77"/>
        <v>17064.9530561462-54386.3060545002i</v>
      </c>
      <c r="AD224" s="192" t="str">
        <f t="shared" si="78"/>
        <v>8977.86963520873-2817.01286561932i</v>
      </c>
      <c r="AE224" s="192" t="str">
        <f t="shared" si="79"/>
        <v>-3.45356192744293+4.90944373963843i</v>
      </c>
      <c r="AF224" s="296"/>
      <c r="AG224" s="296"/>
      <c r="AH224" s="296"/>
      <c r="AI224" s="296"/>
      <c r="AJ224" s="296"/>
      <c r="AK224" s="296"/>
      <c r="AL224" s="296"/>
      <c r="AM224" s="296"/>
      <c r="AN224" s="296"/>
      <c r="AO224" s="296"/>
      <c r="AP224" s="296"/>
      <c r="AQ224" s="296"/>
      <c r="AR224" s="296"/>
      <c r="AS224" s="296"/>
    </row>
    <row r="225" spans="1:45" s="192" customFormat="1" x14ac:dyDescent="0.2">
      <c r="A225" s="301">
        <f t="shared" si="80"/>
        <v>32.887999999999998</v>
      </c>
      <c r="B225" s="301">
        <f t="shared" si="81"/>
        <v>3.900000000000003</v>
      </c>
      <c r="C225" s="320">
        <f t="shared" si="82"/>
        <v>7943.2823472428718</v>
      </c>
      <c r="D225" s="302">
        <f t="shared" si="56"/>
        <v>32.887870294008458</v>
      </c>
      <c r="E225" s="301">
        <f t="shared" si="57"/>
        <v>58.62289579990221</v>
      </c>
      <c r="G225" s="320"/>
      <c r="H225" s="315" t="str">
        <f t="shared" si="58"/>
        <v>1E+47-2.0036420227104E+51i</v>
      </c>
      <c r="I225" s="301" t="str">
        <f t="shared" si="59"/>
        <v>0.002-0.0185350788409843i</v>
      </c>
      <c r="J225" s="301" t="str">
        <f t="shared" si="60"/>
        <v>0.002-0.0185350788409843i</v>
      </c>
      <c r="K225" s="301"/>
      <c r="L225" s="301" t="str">
        <f t="shared" si="61"/>
        <v>0.00922916785291187-0.0110251067775483i</v>
      </c>
      <c r="M225" s="301" t="str">
        <f t="shared" si="62"/>
        <v>0.003+0.0149727344804926i</v>
      </c>
      <c r="N225" s="301" t="str">
        <f t="shared" si="63"/>
        <v>0.419907805337628-1.03708989974831i</v>
      </c>
      <c r="O225" s="316">
        <f t="shared" si="64"/>
        <v>0.97562016104657534</v>
      </c>
      <c r="P225" s="316">
        <f t="shared" si="65"/>
        <v>-67.957444591586736</v>
      </c>
      <c r="Q225" s="301">
        <f t="shared" si="66"/>
        <v>49909.11493497539</v>
      </c>
      <c r="R225" s="301">
        <f t="shared" si="83"/>
        <v>3.9000000000000026</v>
      </c>
      <c r="S225" s="308">
        <f t="shared" si="67"/>
        <v>17.6257984151713</v>
      </c>
      <c r="T225" s="301" t="str">
        <f t="shared" si="68"/>
        <v>1+0.379942135822413i</v>
      </c>
      <c r="U225" s="303">
        <f t="shared" si="69"/>
        <v>15.262071878837158</v>
      </c>
      <c r="V225" s="301">
        <f t="shared" si="70"/>
        <v>126.58034039148895</v>
      </c>
      <c r="W225" s="301">
        <f t="shared" si="71"/>
        <v>58.926454159360915</v>
      </c>
      <c r="X225" s="303">
        <f t="shared" si="72"/>
        <v>-27.949065215996491</v>
      </c>
      <c r="Y225" s="192" t="str">
        <f t="shared" si="73"/>
        <v>780.661383007424-414.195246588009i</v>
      </c>
      <c r="Z225" s="192" t="str">
        <f t="shared" si="74"/>
        <v>-421873.209052844i</v>
      </c>
      <c r="AA225" s="192" t="str">
        <f t="shared" si="75"/>
        <v>22150.1592153998-58298.7700678529i</v>
      </c>
      <c r="AB225" s="192" t="str">
        <f t="shared" si="76"/>
        <v>1381.90263844297-29956.9370314929i</v>
      </c>
      <c r="AC225" s="192" t="str">
        <f t="shared" si="77"/>
        <v>17061.7646680464-52007.6370595019i</v>
      </c>
      <c r="AD225" s="192" t="str">
        <f t="shared" si="78"/>
        <v>8891.69602181541-2917.03360509248i</v>
      </c>
      <c r="AE225" s="192" t="str">
        <f t="shared" si="79"/>
        <v>-3.45392546448687+4.65404996637264i</v>
      </c>
      <c r="AF225" s="296"/>
      <c r="AG225" s="296"/>
      <c r="AH225" s="296"/>
      <c r="AI225" s="296"/>
      <c r="AJ225" s="296"/>
      <c r="AK225" s="296"/>
      <c r="AL225" s="296"/>
      <c r="AM225" s="296"/>
      <c r="AN225" s="296"/>
      <c r="AO225" s="296"/>
      <c r="AP225" s="296"/>
      <c r="AQ225" s="296"/>
      <c r="AR225" s="296"/>
      <c r="AS225" s="296"/>
    </row>
    <row r="226" spans="1:45" s="192" customFormat="1" x14ac:dyDescent="0.2">
      <c r="A226" s="301">
        <f t="shared" si="80"/>
        <v>32.396999999999998</v>
      </c>
      <c r="B226" s="301">
        <f t="shared" si="81"/>
        <v>3.920000000000003</v>
      </c>
      <c r="C226" s="320">
        <f t="shared" si="82"/>
        <v>8317.6377110267676</v>
      </c>
      <c r="D226" s="302">
        <f t="shared" si="56"/>
        <v>32.397345212657299</v>
      </c>
      <c r="E226" s="301">
        <f t="shared" si="57"/>
        <v>54.679100811077447</v>
      </c>
      <c r="G226" s="320"/>
      <c r="H226" s="315" t="str">
        <f t="shared" si="58"/>
        <v>1E+47-1.91346327672943E+51i</v>
      </c>
      <c r="I226" s="301" t="str">
        <f t="shared" si="59"/>
        <v>0.002-0.0177008628744628i</v>
      </c>
      <c r="J226" s="301" t="str">
        <f t="shared" si="60"/>
        <v>0.002-0.0177008628744628i</v>
      </c>
      <c r="K226" s="301"/>
      <c r="L226" s="301" t="str">
        <f t="shared" si="61"/>
        <v>0.00876835682238172-0.0108232110575873i</v>
      </c>
      <c r="M226" s="301" t="str">
        <f t="shared" si="62"/>
        <v>0.003+0.0156783777169099i</v>
      </c>
      <c r="N226" s="301" t="str">
        <f t="shared" si="63"/>
        <v>0.312467685323555-1.04859955656821i</v>
      </c>
      <c r="O226" s="316">
        <f t="shared" si="64"/>
        <v>0.78165650510529761</v>
      </c>
      <c r="P226" s="316">
        <f t="shared" si="65"/>
        <v>-73.406695302941515</v>
      </c>
      <c r="Q226" s="301">
        <f t="shared" si="66"/>
        <v>52261.259056366231</v>
      </c>
      <c r="R226" s="301">
        <f t="shared" si="83"/>
        <v>3.9200000000000026</v>
      </c>
      <c r="S226" s="308">
        <f t="shared" si="67"/>
        <v>17.431834759230021</v>
      </c>
      <c r="T226" s="301" t="str">
        <f t="shared" si="68"/>
        <v>1+0.397848257027081i</v>
      </c>
      <c r="U226" s="303">
        <f t="shared" si="69"/>
        <v>14.965510453427278</v>
      </c>
      <c r="V226" s="301">
        <f t="shared" si="70"/>
        <v>128.08579611401896</v>
      </c>
      <c r="W226" s="301">
        <f t="shared" si="71"/>
        <v>58.835645018469179</v>
      </c>
      <c r="X226" s="303">
        <f t="shared" si="72"/>
        <v>-29.056427256292295</v>
      </c>
      <c r="Y226" s="192" t="str">
        <f t="shared" si="73"/>
        <v>764.476518153062-424.741010967953i</v>
      </c>
      <c r="Z226" s="192" t="str">
        <f t="shared" si="74"/>
        <v>-402885.786886538i</v>
      </c>
      <c r="AA226" s="192" t="str">
        <f t="shared" si="75"/>
        <v>22150.1592153998-55674.8931889681i</v>
      </c>
      <c r="AB226" s="192" t="str">
        <f t="shared" si="76"/>
        <v>1381.90263844297-28608.6527649868i</v>
      </c>
      <c r="AC226" s="192" t="str">
        <f t="shared" si="77"/>
        <v>17058.2700391252-49739.2548916573i</v>
      </c>
      <c r="AD226" s="192" t="str">
        <f t="shared" si="78"/>
        <v>8799.38080451334-3017.78171521546i</v>
      </c>
      <c r="AE226" s="192" t="str">
        <f t="shared" si="79"/>
        <v>-3.45500431630368+4.40858068785697i</v>
      </c>
      <c r="AF226" s="296"/>
      <c r="AG226" s="296"/>
      <c r="AH226" s="296"/>
      <c r="AI226" s="296"/>
      <c r="AJ226" s="296"/>
      <c r="AK226" s="296"/>
      <c r="AL226" s="296"/>
      <c r="AM226" s="296"/>
      <c r="AN226" s="296"/>
      <c r="AO226" s="296"/>
      <c r="AP226" s="296"/>
      <c r="AQ226" s="296"/>
      <c r="AR226" s="296"/>
      <c r="AS226" s="296"/>
    </row>
    <row r="227" spans="1:45" s="192" customFormat="1" x14ac:dyDescent="0.2">
      <c r="A227" s="301">
        <f t="shared" si="80"/>
        <v>31.827999999999999</v>
      </c>
      <c r="B227" s="301">
        <f t="shared" si="81"/>
        <v>3.9400000000000031</v>
      </c>
      <c r="C227" s="320">
        <f t="shared" si="82"/>
        <v>8709.6358995608662</v>
      </c>
      <c r="D227" s="302">
        <f t="shared" si="56"/>
        <v>31.827953275179915</v>
      </c>
      <c r="E227" s="301">
        <f t="shared" si="57"/>
        <v>50.607091414448263</v>
      </c>
      <c r="G227" s="320"/>
      <c r="H227" s="315" t="str">
        <f t="shared" si="58"/>
        <v>1E+47-1.82734324290089E+51i</v>
      </c>
      <c r="I227" s="301" t="str">
        <f t="shared" si="59"/>
        <v>0.002-0.016904192811294i</v>
      </c>
      <c r="J227" s="301" t="str">
        <f t="shared" si="60"/>
        <v>0.002-0.016904192811294i</v>
      </c>
      <c r="K227" s="301"/>
      <c r="L227" s="301" t="str">
        <f t="shared" si="61"/>
        <v>0.0083250427837552-0.0106064835432002i</v>
      </c>
      <c r="M227" s="301" t="str">
        <f t="shared" si="62"/>
        <v>0.003+0.0164172768945014i</v>
      </c>
      <c r="N227" s="301" t="str">
        <f t="shared" si="63"/>
        <v>0.201512134740571-1.03994564443067i</v>
      </c>
      <c r="O227" s="316">
        <f t="shared" si="64"/>
        <v>0.50029272579648598</v>
      </c>
      <c r="P227" s="316">
        <f t="shared" si="65"/>
        <v>-79.033599712077091</v>
      </c>
      <c r="Q227" s="301">
        <f t="shared" si="66"/>
        <v>54724.256315004692</v>
      </c>
      <c r="R227" s="301">
        <f t="shared" si="83"/>
        <v>3.9400000000000026</v>
      </c>
      <c r="S227" s="308">
        <f t="shared" si="67"/>
        <v>17.150470979921213</v>
      </c>
      <c r="T227" s="301" t="str">
        <f t="shared" si="68"/>
        <v>1+0.416598267725348i</v>
      </c>
      <c r="U227" s="303">
        <f t="shared" si="69"/>
        <v>14.677482295258702</v>
      </c>
      <c r="V227" s="301">
        <f t="shared" si="70"/>
        <v>129.64069112652535</v>
      </c>
      <c r="W227" s="301">
        <f t="shared" si="71"/>
        <v>58.738209745752485</v>
      </c>
      <c r="X227" s="303">
        <f t="shared" si="72"/>
        <v>-30.191169471083853</v>
      </c>
      <c r="Y227" s="192" t="str">
        <f t="shared" si="73"/>
        <v>747.482945551286-434.891249388129i</v>
      </c>
      <c r="Z227" s="192" t="str">
        <f t="shared" si="74"/>
        <v>-384752.939490056i</v>
      </c>
      <c r="AA227" s="192" t="str">
        <f t="shared" si="75"/>
        <v>22150.1592153998-53169.1102229996i</v>
      </c>
      <c r="AB227" s="192" t="str">
        <f t="shared" si="76"/>
        <v>1381.90263844297-27321.0512866241i</v>
      </c>
      <c r="AC227" s="192" t="str">
        <f t="shared" si="77"/>
        <v>17054.4398997288-47576.3438290675i</v>
      </c>
      <c r="AD227" s="192" t="str">
        <f t="shared" si="78"/>
        <v>8700.6775810404-3118.88579387038i</v>
      </c>
      <c r="AE227" s="192" t="str">
        <f t="shared" si="79"/>
        <v>-3.4568065929501+4.17252434445372i</v>
      </c>
      <c r="AF227" s="296"/>
      <c r="AG227" s="296"/>
      <c r="AH227" s="296"/>
      <c r="AI227" s="296"/>
      <c r="AJ227" s="296"/>
      <c r="AK227" s="296"/>
      <c r="AL227" s="296"/>
      <c r="AM227" s="296"/>
      <c r="AN227" s="296"/>
      <c r="AO227" s="296"/>
      <c r="AP227" s="296"/>
      <c r="AQ227" s="296"/>
      <c r="AR227" s="296"/>
      <c r="AS227" s="296"/>
    </row>
    <row r="228" spans="1:45" s="192" customFormat="1" x14ac:dyDescent="0.2">
      <c r="A228" s="301">
        <f t="shared" si="80"/>
        <v>31.173999999999999</v>
      </c>
      <c r="B228" s="301">
        <f t="shared" si="81"/>
        <v>3.9600000000000031</v>
      </c>
      <c r="C228" s="320">
        <f t="shared" si="82"/>
        <v>9120.1083935591578</v>
      </c>
      <c r="D228" s="302">
        <f t="shared" si="56"/>
        <v>31.174136362042205</v>
      </c>
      <c r="E228" s="301">
        <f t="shared" si="57"/>
        <v>46.515202992970544</v>
      </c>
      <c r="G228" s="320"/>
      <c r="H228" s="315" t="str">
        <f t="shared" si="58"/>
        <v>1E+47-1.74509924908672E+51i</v>
      </c>
      <c r="I228" s="301" t="str">
        <f t="shared" si="59"/>
        <v>0.002-0.0161433788074627i</v>
      </c>
      <c r="J228" s="301" t="str">
        <f t="shared" si="60"/>
        <v>0.002-0.0161433788074627i</v>
      </c>
      <c r="K228" s="301"/>
      <c r="L228" s="301" t="str">
        <f t="shared" si="61"/>
        <v>0.00790001817606401-0.010376687027469i</v>
      </c>
      <c r="M228" s="301" t="str">
        <f t="shared" si="62"/>
        <v>0.003+0.0171909993174888i</v>
      </c>
      <c r="N228" s="301" t="str">
        <f t="shared" si="63"/>
        <v>0.093196965932996-1.01025155003871i</v>
      </c>
      <c r="O228" s="316">
        <f t="shared" si="64"/>
        <v>0.125393858256171</v>
      </c>
      <c r="P228" s="316">
        <f t="shared" si="65"/>
        <v>-84.729310776277643</v>
      </c>
      <c r="Q228" s="301">
        <f t="shared" si="66"/>
        <v>57303.33105829612</v>
      </c>
      <c r="R228" s="301">
        <f t="shared" si="83"/>
        <v>3.9600000000000026</v>
      </c>
      <c r="S228" s="308">
        <f t="shared" si="67"/>
        <v>16.775572112380896</v>
      </c>
      <c r="T228" s="301" t="str">
        <f t="shared" si="68"/>
        <v>1+0.436231939203764i</v>
      </c>
      <c r="U228" s="303">
        <f t="shared" si="69"/>
        <v>14.398564249661307</v>
      </c>
      <c r="V228" s="301">
        <f t="shared" si="70"/>
        <v>131.24451376924819</v>
      </c>
      <c r="W228" s="301">
        <f t="shared" si="71"/>
        <v>58.633828115442952</v>
      </c>
      <c r="X228" s="303">
        <f t="shared" si="72"/>
        <v>-31.352157979068132</v>
      </c>
      <c r="Y228" s="192" t="str">
        <f t="shared" si="73"/>
        <v>729.695930947212-444.572409052621i</v>
      </c>
      <c r="Z228" s="192" t="str">
        <f t="shared" si="74"/>
        <v>-367436.204662957i</v>
      </c>
      <c r="AA228" s="192" t="str">
        <f t="shared" si="75"/>
        <v>22150.1592153998-50776.1060683212i</v>
      </c>
      <c r="AB228" s="192" t="str">
        <f t="shared" si="76"/>
        <v>1381.90263844297-26091.4014210374i</v>
      </c>
      <c r="AC228" s="192" t="str">
        <f t="shared" si="77"/>
        <v>17050.2422118051-45514.3112541969i</v>
      </c>
      <c r="AD228" s="192" t="str">
        <f t="shared" si="78"/>
        <v>8595.36256657213-3219.9325798833i</v>
      </c>
      <c r="AE228" s="192" t="str">
        <f t="shared" si="79"/>
        <v>-3.45934633138107+3.94539049909855i</v>
      </c>
      <c r="AF228" s="296"/>
      <c r="AG228" s="296"/>
      <c r="AH228" s="296"/>
      <c r="AI228" s="296"/>
      <c r="AJ228" s="296"/>
      <c r="AK228" s="296"/>
      <c r="AL228" s="296"/>
      <c r="AM228" s="296"/>
      <c r="AN228" s="296"/>
      <c r="AO228" s="296"/>
      <c r="AP228" s="296"/>
      <c r="AQ228" s="296"/>
      <c r="AR228" s="296"/>
      <c r="AS228" s="296"/>
    </row>
    <row r="229" spans="1:45" s="192" customFormat="1" x14ac:dyDescent="0.2">
      <c r="A229" s="301">
        <f t="shared" si="80"/>
        <v>30.434999999999999</v>
      </c>
      <c r="B229" s="301">
        <f t="shared" si="81"/>
        <v>3.9800000000000026</v>
      </c>
      <c r="C229" s="320">
        <f t="shared" si="82"/>
        <v>9549.92586021442</v>
      </c>
      <c r="D229" s="302">
        <f t="shared" si="56"/>
        <v>30.435447355705584</v>
      </c>
      <c r="E229" s="301">
        <f t="shared" si="57"/>
        <v>42.521141993239766</v>
      </c>
      <c r="G229" s="320"/>
      <c r="H229" s="315" t="str">
        <f t="shared" si="58"/>
        <v>1E+47-1.66655684474939E+51i</v>
      </c>
      <c r="I229" s="301" t="str">
        <f t="shared" si="59"/>
        <v>0.002-0.0154168070744624i</v>
      </c>
      <c r="J229" s="301" t="str">
        <f t="shared" si="60"/>
        <v>0.002-0.0154168070744624i</v>
      </c>
      <c r="K229" s="301"/>
      <c r="L229" s="301" t="str">
        <f t="shared" si="61"/>
        <v>0.00749386313716455-0.010135593700034i</v>
      </c>
      <c r="M229" s="301" t="str">
        <f t="shared" si="62"/>
        <v>0.003+0.0180011861548661i</v>
      </c>
      <c r="N229" s="301" t="str">
        <f t="shared" si="63"/>
        <v>-0.00629619940444334-0.961139880487292i</v>
      </c>
      <c r="O229" s="316">
        <f t="shared" si="64"/>
        <v>-0.34408168210154</v>
      </c>
      <c r="P229" s="316">
        <f t="shared" si="65"/>
        <v>-90.375325694145758</v>
      </c>
      <c r="Q229" s="301">
        <f t="shared" si="66"/>
        <v>60003.953849553618</v>
      </c>
      <c r="R229" s="301">
        <f t="shared" si="83"/>
        <v>3.9800000000000026</v>
      </c>
      <c r="S229" s="308">
        <f t="shared" si="67"/>
        <v>16.306096572023186</v>
      </c>
      <c r="T229" s="301" t="str">
        <f t="shared" si="68"/>
        <v>1+0.456790917111865i</v>
      </c>
      <c r="U229" s="303">
        <f t="shared" si="69"/>
        <v>14.129350783682398</v>
      </c>
      <c r="V229" s="301">
        <f t="shared" si="70"/>
        <v>132.89646768738552</v>
      </c>
      <c r="W229" s="301">
        <f t="shared" si="71"/>
        <v>58.522187676724101</v>
      </c>
      <c r="X229" s="303">
        <f t="shared" si="72"/>
        <v>-32.538064023955691</v>
      </c>
      <c r="Y229" s="192" t="str">
        <f t="shared" si="73"/>
        <v>711.139223489861-453.7101157563i</v>
      </c>
      <c r="Z229" s="192" t="str">
        <f t="shared" si="74"/>
        <v>-350898.851288979i</v>
      </c>
      <c r="AA229" s="192" t="str">
        <f t="shared" si="75"/>
        <v>22150.1592153998-48490.804842285i</v>
      </c>
      <c r="AB229" s="192" t="str">
        <f t="shared" si="76"/>
        <v>1381.90263844297-24917.0949159999i</v>
      </c>
      <c r="AC229" s="192" t="str">
        <f t="shared" si="77"/>
        <v>17045.6419129341-43548.7778226778i</v>
      </c>
      <c r="AD229" s="192" t="str">
        <f t="shared" si="78"/>
        <v>8483.24078165007-3320.46711423222i</v>
      </c>
      <c r="AE229" s="192" t="str">
        <f t="shared" si="79"/>
        <v>-3.46264357227968+3.72670898718476i</v>
      </c>
      <c r="AF229" s="296"/>
      <c r="AG229" s="296"/>
      <c r="AH229" s="296"/>
      <c r="AI229" s="296"/>
      <c r="AJ229" s="296"/>
      <c r="AK229" s="296"/>
      <c r="AL229" s="296"/>
      <c r="AM229" s="296"/>
      <c r="AN229" s="296"/>
      <c r="AO229" s="296"/>
      <c r="AP229" s="296"/>
      <c r="AQ229" s="296"/>
      <c r="AR229" s="296"/>
      <c r="AS229" s="296"/>
    </row>
    <row r="230" spans="1:45" s="192" customFormat="1" x14ac:dyDescent="0.2">
      <c r="A230" s="301">
        <f t="shared" si="80"/>
        <v>29.617000000000001</v>
      </c>
      <c r="B230" s="301">
        <f t="shared" si="81"/>
        <v>4.0000000000000027</v>
      </c>
      <c r="C230" s="301">
        <f t="shared" si="82"/>
        <v>10000.000000000062</v>
      </c>
      <c r="D230" s="302">
        <f t="shared" si="56"/>
        <v>29.616757458444695</v>
      </c>
      <c r="E230" s="301">
        <f t="shared" si="57"/>
        <v>38.738154868293364</v>
      </c>
      <c r="G230" s="301"/>
      <c r="H230" s="315" t="str">
        <f t="shared" si="58"/>
        <v>1E+47-1.59154943091894E+51i</v>
      </c>
      <c r="I230" s="301" t="str">
        <f t="shared" si="59"/>
        <v>0.002-0.0147229364562345i</v>
      </c>
      <c r="J230" s="301" t="str">
        <f t="shared" si="60"/>
        <v>0.002-0.0147229364562345i</v>
      </c>
      <c r="K230" s="301"/>
      <c r="L230" s="301" t="str">
        <f t="shared" si="61"/>
        <v>0.00710695491971529-0.00988495795031016i</v>
      </c>
      <c r="M230" s="301" t="str">
        <f t="shared" si="62"/>
        <v>0.003+0.0188495559215389i</v>
      </c>
      <c r="N230" s="301" t="str">
        <f t="shared" si="63"/>
        <v>-0.0919652738916748-0.896464495441974i</v>
      </c>
      <c r="O230" s="316">
        <f t="shared" si="64"/>
        <v>-0.90387172183270614</v>
      </c>
      <c r="P230" s="316">
        <f t="shared" si="65"/>
        <v>-95.857291024321242</v>
      </c>
      <c r="Q230" s="301">
        <f t="shared" si="66"/>
        <v>62831.853071796249</v>
      </c>
      <c r="R230" s="301">
        <f t="shared" si="83"/>
        <v>4.0000000000000027</v>
      </c>
      <c r="S230" s="308">
        <f t="shared" si="67"/>
        <v>15.746306532292021</v>
      </c>
      <c r="T230" s="301" t="str">
        <f t="shared" si="68"/>
        <v>1+0.478318809798186i</v>
      </c>
      <c r="U230" s="303">
        <f t="shared" si="69"/>
        <v>13.870450926152674</v>
      </c>
      <c r="V230" s="301">
        <f t="shared" si="70"/>
        <v>134.59544589261461</v>
      </c>
      <c r="W230" s="301">
        <f t="shared" si="71"/>
        <v>58.402987228382216</v>
      </c>
      <c r="X230" s="303">
        <f t="shared" si="72"/>
        <v>-33.747363286394496</v>
      </c>
      <c r="Y230" s="192" t="str">
        <f t="shared" si="73"/>
        <v>691.845462000689-462.230307000464i</v>
      </c>
      <c r="Z230" s="192" t="str">
        <f t="shared" si="74"/>
        <v>-335105.801424414i</v>
      </c>
      <c r="AA230" s="192" t="str">
        <f t="shared" si="75"/>
        <v>22150.1592153998-46308.3591145943i</v>
      </c>
      <c r="AB230" s="192" t="str">
        <f t="shared" si="76"/>
        <v>1381.90263844297-23795.6409099723i</v>
      </c>
      <c r="AC230" s="192" t="str">
        <f t="shared" si="77"/>
        <v>17040.6006378803-41675.5680715612i</v>
      </c>
      <c r="AD230" s="192" t="str">
        <f t="shared" si="78"/>
        <v>8364.15263290591-3419.99380660837i</v>
      </c>
      <c r="AE230" s="192" t="str">
        <f t="shared" si="79"/>
        <v>-3.46672447932241+3.51602913360918i</v>
      </c>
      <c r="AF230" s="296"/>
      <c r="AG230" s="296"/>
      <c r="AH230" s="296"/>
      <c r="AI230" s="296"/>
      <c r="AJ230" s="296"/>
      <c r="AK230" s="296"/>
      <c r="AL230" s="296"/>
      <c r="AM230" s="296"/>
      <c r="AN230" s="296"/>
      <c r="AO230" s="296"/>
      <c r="AP230" s="296"/>
      <c r="AQ230" s="296"/>
      <c r="AR230" s="296"/>
      <c r="AS230" s="296"/>
    </row>
    <row r="231" spans="1:45" s="192" customFormat="1" x14ac:dyDescent="0.2">
      <c r="A231" s="301">
        <f t="shared" si="80"/>
        <v>28.727</v>
      </c>
      <c r="B231" s="301">
        <f t="shared" si="81"/>
        <v>4.0200000000000022</v>
      </c>
      <c r="C231" s="320">
        <f t="shared" si="82"/>
        <v>10471.285480509057</v>
      </c>
      <c r="D231" s="302">
        <f t="shared" si="56"/>
        <v>28.727456812965407</v>
      </c>
      <c r="E231" s="301">
        <f t="shared" si="57"/>
        <v>35.262371991983471</v>
      </c>
      <c r="G231" s="320"/>
      <c r="H231" s="315" t="str">
        <f t="shared" si="58"/>
        <v>1E+47-1.51991790681423E+51i</v>
      </c>
      <c r="I231" s="301" t="str">
        <f t="shared" si="59"/>
        <v>0.002-0.0140602951601686i</v>
      </c>
      <c r="J231" s="301" t="str">
        <f t="shared" si="60"/>
        <v>0.002-0.0140602951601686i</v>
      </c>
      <c r="K231" s="301"/>
      <c r="L231" s="301" t="str">
        <f t="shared" si="61"/>
        <v>0.00673948073975387-0.00962649231876223i</v>
      </c>
      <c r="M231" s="301" t="str">
        <f t="shared" si="62"/>
        <v>0.003+0.0197379081235252i</v>
      </c>
      <c r="N231" s="301" t="str">
        <f t="shared" si="63"/>
        <v>-0.160825524324382-0.82143173584648i</v>
      </c>
      <c r="O231" s="316">
        <f t="shared" si="64"/>
        <v>-1.5452060229426157</v>
      </c>
      <c r="P231" s="316">
        <f t="shared" si="65"/>
        <v>-101.0776337509004</v>
      </c>
      <c r="Q231" s="301">
        <f t="shared" si="66"/>
        <v>65793.02707841745</v>
      </c>
      <c r="R231" s="301">
        <f t="shared" si="83"/>
        <v>4.0200000000000022</v>
      </c>
      <c r="S231" s="308">
        <f t="shared" si="67"/>
        <v>15.10497223118211</v>
      </c>
      <c r="T231" s="301" t="str">
        <f t="shared" si="68"/>
        <v>1+0.500861280809409i</v>
      </c>
      <c r="U231" s="303">
        <f t="shared" si="69"/>
        <v>13.622484581783297</v>
      </c>
      <c r="V231" s="301">
        <f t="shared" si="70"/>
        <v>136.34000574288387</v>
      </c>
      <c r="W231" s="301">
        <f t="shared" si="71"/>
        <v>58.27594042198335</v>
      </c>
      <c r="X231" s="303">
        <f t="shared" si="72"/>
        <v>-34.978338334524743</v>
      </c>
      <c r="Y231" s="192" t="str">
        <f t="shared" si="73"/>
        <v>671.856407140844-470.060476805292i</v>
      </c>
      <c r="Z231" s="192" t="str">
        <f t="shared" si="74"/>
        <v>-320023.555893086i</v>
      </c>
      <c r="AA231" s="192" t="str">
        <f t="shared" si="75"/>
        <v>22150.1592153998-44224.1396252558i</v>
      </c>
      <c r="AB231" s="192" t="str">
        <f t="shared" si="76"/>
        <v>1381.90263844297-22724.6606486519i</v>
      </c>
      <c r="AC231" s="192" t="str">
        <f t="shared" si="77"/>
        <v>17035.0764159366-39890.7014452601i</v>
      </c>
      <c r="AD231" s="192" t="str">
        <f t="shared" si="78"/>
        <v>8237.98076079727-3517.97854359044i</v>
      </c>
      <c r="AE231" s="192" t="str">
        <f t="shared" si="79"/>
        <v>-3.47162150022506+3.3129190390116i</v>
      </c>
      <c r="AF231" s="296"/>
      <c r="AG231" s="296"/>
      <c r="AH231" s="296"/>
      <c r="AI231" s="296"/>
      <c r="AJ231" s="296"/>
      <c r="AK231" s="296"/>
      <c r="AL231" s="296"/>
      <c r="AM231" s="296"/>
      <c r="AN231" s="296"/>
      <c r="AO231" s="296"/>
      <c r="AP231" s="296"/>
      <c r="AQ231" s="296"/>
      <c r="AR231" s="296"/>
      <c r="AS231" s="296"/>
    </row>
    <row r="232" spans="1:45" s="192" customFormat="1" x14ac:dyDescent="0.2">
      <c r="A232" s="301">
        <f t="shared" si="80"/>
        <v>27.78</v>
      </c>
      <c r="B232" s="301">
        <f t="shared" si="81"/>
        <v>4.0400000000000027</v>
      </c>
      <c r="C232" s="320">
        <f t="shared" si="82"/>
        <v>10964.781961431914</v>
      </c>
      <c r="D232" s="302">
        <f t="shared" si="56"/>
        <v>27.779945666616179</v>
      </c>
      <c r="E232" s="301">
        <f t="shared" si="57"/>
        <v>32.164593778895892</v>
      </c>
      <c r="G232" s="320"/>
      <c r="H232" s="315" t="str">
        <f t="shared" si="58"/>
        <v>1E+47-1.45151033236881E+51i</v>
      </c>
      <c r="I232" s="301" t="str">
        <f t="shared" si="59"/>
        <v>0.002-0.0134274776352341i</v>
      </c>
      <c r="J232" s="301" t="str">
        <f t="shared" si="60"/>
        <v>0.002-0.0134274776352341i</v>
      </c>
      <c r="K232" s="301"/>
      <c r="L232" s="301" t="str">
        <f t="shared" si="61"/>
        <v>0.00639145325788006-0.0093618469309502i</v>
      </c>
      <c r="M232" s="301" t="str">
        <f t="shared" si="62"/>
        <v>0.003+0.020668127074949i</v>
      </c>
      <c r="N232" s="301" t="str">
        <f t="shared" si="63"/>
        <v>-0.212111003175274-0.741489130192172i</v>
      </c>
      <c r="O232" s="316">
        <f t="shared" si="64"/>
        <v>-2.2563107884096252</v>
      </c>
      <c r="P232" s="316">
        <f t="shared" si="65"/>
        <v>-105.96375172601199</v>
      </c>
      <c r="Q232" s="301">
        <f t="shared" si="66"/>
        <v>68893.756916496772</v>
      </c>
      <c r="R232" s="301">
        <f t="shared" si="83"/>
        <v>4.0400000000000018</v>
      </c>
      <c r="S232" s="308">
        <f t="shared" si="67"/>
        <v>14.3938674657151</v>
      </c>
      <c r="T232" s="301" t="str">
        <f t="shared" si="68"/>
        <v>1+0.52446614574887i</v>
      </c>
      <c r="U232" s="303">
        <f t="shared" si="69"/>
        <v>13.386078200901078</v>
      </c>
      <c r="V232" s="301">
        <f t="shared" si="70"/>
        <v>138.12834550490788</v>
      </c>
      <c r="W232" s="301">
        <f t="shared" si="71"/>
        <v>58.140779418121291</v>
      </c>
      <c r="X232" s="303">
        <f t="shared" si="72"/>
        <v>-36.229084469805009</v>
      </c>
      <c r="Y232" s="192" t="str">
        <f t="shared" si="73"/>
        <v>651.222970604697-477.131002274987i</v>
      </c>
      <c r="Z232" s="192" t="str">
        <f t="shared" si="74"/>
        <v>-305620.123230114i</v>
      </c>
      <c r="AA232" s="192" t="str">
        <f t="shared" si="75"/>
        <v>22150.1592153998-42233.7254652961i</v>
      </c>
      <c r="AB232" s="192" t="str">
        <f t="shared" si="76"/>
        <v>1381.90263844297-21701.8824393156i</v>
      </c>
      <c r="AC232" s="192" t="str">
        <f t="shared" si="77"/>
        <v>17029.0233422474-38190.383718067i</v>
      </c>
      <c r="AD232" s="192" t="str">
        <f t="shared" si="78"/>
        <v>8104.65699087667-3613.85196067712i</v>
      </c>
      <c r="AE232" s="192" t="str">
        <f t="shared" si="79"/>
        <v>-3.47737356894215+3.11696493781328i</v>
      </c>
      <c r="AF232" s="296"/>
      <c r="AG232" s="296"/>
      <c r="AH232" s="296"/>
      <c r="AI232" s="296"/>
      <c r="AJ232" s="296"/>
      <c r="AK232" s="296"/>
      <c r="AL232" s="296"/>
      <c r="AM232" s="296"/>
      <c r="AN232" s="296"/>
      <c r="AO232" s="296"/>
      <c r="AP232" s="296"/>
      <c r="AQ232" s="296"/>
      <c r="AR232" s="296"/>
      <c r="AS232" s="296"/>
    </row>
    <row r="233" spans="1:45" s="192" customFormat="1" x14ac:dyDescent="0.2">
      <c r="A233" s="301">
        <f t="shared" si="80"/>
        <v>26.788</v>
      </c>
      <c r="B233" s="301">
        <f t="shared" si="81"/>
        <v>4.0600000000000014</v>
      </c>
      <c r="C233" s="320">
        <f t="shared" si="82"/>
        <v>11481.536214968872</v>
      </c>
      <c r="D233" s="302">
        <f t="shared" si="56"/>
        <v>26.787914570904444</v>
      </c>
      <c r="E233" s="301">
        <f t="shared" si="57"/>
        <v>29.487761572619334</v>
      </c>
      <c r="G233" s="320"/>
      <c r="H233" s="315" t="str">
        <f t="shared" si="58"/>
        <v>1E+47-1.38618160594572E+51i</v>
      </c>
      <c r="I233" s="301" t="str">
        <f t="shared" si="59"/>
        <v>0.002-0.0128231415906172i</v>
      </c>
      <c r="J233" s="301" t="str">
        <f t="shared" si="60"/>
        <v>0.002-0.0128231415906172i</v>
      </c>
      <c r="K233" s="301"/>
      <c r="L233" s="301" t="str">
        <f t="shared" si="61"/>
        <v>0.00606272790393776-0.00909259256674247i</v>
      </c>
      <c r="M233" s="301" t="str">
        <f t="shared" si="62"/>
        <v>0.003+0.0216421858949228i</v>
      </c>
      <c r="N233" s="301" t="str">
        <f t="shared" si="63"/>
        <v>-0.246899965545551-0.66140112226029i</v>
      </c>
      <c r="O233" s="316">
        <f t="shared" si="64"/>
        <v>-3.0241234861582567</v>
      </c>
      <c r="P233" s="316">
        <f t="shared" si="65"/>
        <v>-110.47052165842017</v>
      </c>
      <c r="Q233" s="301">
        <f t="shared" si="66"/>
        <v>72140.61964974273</v>
      </c>
      <c r="R233" s="301">
        <f t="shared" si="83"/>
        <v>4.0600000000000014</v>
      </c>
      <c r="S233" s="308">
        <f t="shared" si="67"/>
        <v>13.626054767966469</v>
      </c>
      <c r="T233" s="301" t="str">
        <f t="shared" si="68"/>
        <v>1+0.549183473699865i</v>
      </c>
      <c r="U233" s="303">
        <f t="shared" si="69"/>
        <v>13.161859802937975</v>
      </c>
      <c r="V233" s="301">
        <f t="shared" si="70"/>
        <v>139.9582832310395</v>
      </c>
      <c r="W233" s="301">
        <f t="shared" si="71"/>
        <v>57.997258509815111</v>
      </c>
      <c r="X233" s="303">
        <f t="shared" si="72"/>
        <v>-37.497519135468025</v>
      </c>
      <c r="Y233" s="192" t="str">
        <f t="shared" si="73"/>
        <v>630.005018174386-483.376514226693i</v>
      </c>
      <c r="Z233" s="192" t="str">
        <f t="shared" si="74"/>
        <v>-291864.951823718i</v>
      </c>
      <c r="AA233" s="192" t="str">
        <f t="shared" si="75"/>
        <v>22150.1592153998-40332.8946994227i</v>
      </c>
      <c r="AB233" s="192" t="str">
        <f t="shared" si="76"/>
        <v>1381.90263844297-20725.1368322553i</v>
      </c>
      <c r="AC233" s="192" t="str">
        <f t="shared" si="77"/>
        <v>17022.3912212265-36570.9987926993i</v>
      </c>
      <c r="AD233" s="192" t="str">
        <f t="shared" si="78"/>
        <v>7964.16918733538-3707.01397649344i</v>
      </c>
      <c r="AE233" s="192" t="str">
        <f t="shared" si="79"/>
        <v>-3.48402634835473+2.92777063129711i</v>
      </c>
      <c r="AF233" s="296"/>
      <c r="AG233" s="296"/>
      <c r="AH233" s="296"/>
      <c r="AI233" s="296"/>
      <c r="AJ233" s="296"/>
      <c r="AK233" s="296"/>
      <c r="AL233" s="296"/>
      <c r="AM233" s="296"/>
      <c r="AN233" s="296"/>
      <c r="AO233" s="296"/>
      <c r="AP233" s="296"/>
      <c r="AQ233" s="296"/>
      <c r="AR233" s="296"/>
      <c r="AS233" s="296"/>
    </row>
    <row r="234" spans="1:45" s="192" customFormat="1" x14ac:dyDescent="0.2">
      <c r="A234" s="301">
        <f t="shared" si="80"/>
        <v>25.765000000000001</v>
      </c>
      <c r="B234" s="301">
        <f t="shared" si="81"/>
        <v>4.0800000000000018</v>
      </c>
      <c r="C234" s="320">
        <f t="shared" si="82"/>
        <v>12022.644346174173</v>
      </c>
      <c r="D234" s="302">
        <f t="shared" si="56"/>
        <v>25.764858152917466</v>
      </c>
      <c r="E234" s="301">
        <f t="shared" si="57"/>
        <v>27.249242674165856</v>
      </c>
      <c r="G234" s="320"/>
      <c r="H234" s="315" t="str">
        <f t="shared" si="58"/>
        <v>1E+47-1.32379315655745E+51i</v>
      </c>
      <c r="I234" s="301" t="str">
        <f t="shared" si="59"/>
        <v>0.002-0.0122460051485426i</v>
      </c>
      <c r="J234" s="301" t="str">
        <f t="shared" si="60"/>
        <v>0.002-0.0122460051485426i</v>
      </c>
      <c r="K234" s="301"/>
      <c r="L234" s="301" t="str">
        <f t="shared" si="61"/>
        <v>0.00575302130367266-0.0088202073567346i</v>
      </c>
      <c r="M234" s="301" t="str">
        <f t="shared" si="62"/>
        <v>0.003+0.0226621506927982i</v>
      </c>
      <c r="N234" s="301" t="str">
        <f t="shared" si="63"/>
        <v>-0.267444221922298-0.584742046632628i</v>
      </c>
      <c r="O234" s="316">
        <f t="shared" si="64"/>
        <v>-3.8357734728377535</v>
      </c>
      <c r="P234" s="316">
        <f t="shared" si="65"/>
        <v>-114.57799605776796</v>
      </c>
      <c r="Q234" s="301">
        <f t="shared" si="66"/>
        <v>75540.50230932729</v>
      </c>
      <c r="R234" s="301">
        <f t="shared" si="83"/>
        <v>4.080000000000001</v>
      </c>
      <c r="S234" s="308">
        <f t="shared" si="67"/>
        <v>12.814404781286973</v>
      </c>
      <c r="T234" s="301" t="str">
        <f t="shared" si="68"/>
        <v>1+0.575065693428889i</v>
      </c>
      <c r="U234" s="303">
        <f t="shared" si="69"/>
        <v>12.950453371630493</v>
      </c>
      <c r="V234" s="301">
        <f t="shared" si="70"/>
        <v>141.82723873193382</v>
      </c>
      <c r="W234" s="301">
        <f t="shared" si="71"/>
        <v>57.845157619393106</v>
      </c>
      <c r="X234" s="303">
        <f t="shared" si="72"/>
        <v>-38.781394946707287</v>
      </c>
      <c r="Y234" s="192" t="str">
        <f t="shared" si="73"/>
        <v>608.270931388852-488.737267643771i</v>
      </c>
      <c r="Z234" s="192" t="str">
        <f t="shared" si="74"/>
        <v>-278728.865111154i</v>
      </c>
      <c r="AA234" s="192" t="str">
        <f t="shared" si="75"/>
        <v>22150.1592153998-38517.6154107318i</v>
      </c>
      <c r="AB234" s="192" t="str">
        <f t="shared" si="76"/>
        <v>1381.90263844297-19792.3520190836i</v>
      </c>
      <c r="AC234" s="192" t="str">
        <f t="shared" si="77"/>
        <v>17015.1251801241-35029.1008547982i</v>
      </c>
      <c r="AD234" s="192" t="str">
        <f t="shared" si="78"/>
        <v>7816.56777227699-3796.83965270832i</v>
      </c>
      <c r="AE234" s="192" t="str">
        <f t="shared" si="79"/>
        <v>-3.49163251266253+2.7449569996665i</v>
      </c>
      <c r="AF234" s="296"/>
      <c r="AG234" s="296"/>
      <c r="AH234" s="296"/>
      <c r="AI234" s="296"/>
      <c r="AJ234" s="296"/>
      <c r="AK234" s="296"/>
      <c r="AL234" s="296"/>
      <c r="AM234" s="296"/>
      <c r="AN234" s="296"/>
      <c r="AO234" s="296"/>
      <c r="AP234" s="296"/>
      <c r="AQ234" s="296"/>
      <c r="AR234" s="296"/>
      <c r="AS234" s="296"/>
    </row>
    <row r="235" spans="1:45" s="192" customFormat="1" x14ac:dyDescent="0.2">
      <c r="A235" s="301">
        <f t="shared" si="80"/>
        <v>24.722999999999999</v>
      </c>
      <c r="B235" s="301">
        <f t="shared" si="81"/>
        <v>4.1000000000000005</v>
      </c>
      <c r="C235" s="320">
        <f t="shared" si="82"/>
        <v>12589.254117941693</v>
      </c>
      <c r="D235" s="302">
        <f t="shared" si="56"/>
        <v>24.723057243747149</v>
      </c>
      <c r="E235" s="301">
        <f t="shared" si="57"/>
        <v>25.44593490023297</v>
      </c>
      <c r="G235" s="320"/>
      <c r="H235" s="315" t="str">
        <f t="shared" si="58"/>
        <v>1E+47-1.26421264993829E+51i</v>
      </c>
      <c r="I235" s="301" t="str">
        <f t="shared" si="59"/>
        <v>0.002-0.0116948441252385i</v>
      </c>
      <c r="J235" s="301" t="str">
        <f t="shared" si="60"/>
        <v>0.002-0.0116948441252385i</v>
      </c>
      <c r="K235" s="301"/>
      <c r="L235" s="301" t="str">
        <f t="shared" si="61"/>
        <v>0.00546193014062359-0.00854606696505253i</v>
      </c>
      <c r="M235" s="301" t="str">
        <f t="shared" si="62"/>
        <v>0.003+0.0237301849506604i</v>
      </c>
      <c r="N235" s="301" t="str">
        <f t="shared" si="63"/>
        <v>-0.276494398966615-0.5138004351881i</v>
      </c>
      <c r="O235" s="316">
        <f t="shared" si="64"/>
        <v>-4.6795936730846623</v>
      </c>
      <c r="P235" s="316">
        <f t="shared" si="65"/>
        <v>-118.28628455178648</v>
      </c>
      <c r="Q235" s="301">
        <f t="shared" si="66"/>
        <v>79100.616502201345</v>
      </c>
      <c r="R235" s="301">
        <f t="shared" si="83"/>
        <v>4.1000000000000005</v>
      </c>
      <c r="S235" s="308">
        <f t="shared" si="67"/>
        <v>11.970584581040063</v>
      </c>
      <c r="T235" s="301" t="str">
        <f t="shared" si="68"/>
        <v>1+0.602167704594075i</v>
      </c>
      <c r="U235" s="303">
        <f t="shared" si="69"/>
        <v>12.752472662707088</v>
      </c>
      <c r="V235" s="301">
        <f t="shared" si="70"/>
        <v>143.73221945201945</v>
      </c>
      <c r="W235" s="301">
        <f t="shared" si="71"/>
        <v>57.684285571021235</v>
      </c>
      <c r="X235" s="303">
        <f t="shared" si="72"/>
        <v>-40.078316278494931</v>
      </c>
      <c r="Y235" s="192" t="str">
        <f t="shared" si="73"/>
        <v>586.096922436749-493.160463036521i</v>
      </c>
      <c r="Z235" s="192" t="str">
        <f t="shared" si="74"/>
        <v>-266183.999691321i</v>
      </c>
      <c r="AA235" s="192" t="str">
        <f t="shared" si="75"/>
        <v>22150.1592153998-36784.0371484741i</v>
      </c>
      <c r="AB235" s="192" t="str">
        <f t="shared" si="76"/>
        <v>1381.90263844297-18901.5494381513i</v>
      </c>
      <c r="AC235" s="192" t="str">
        <f t="shared" si="77"/>
        <v>17007.1652507528-33561.4068637163i</v>
      </c>
      <c r="AD235" s="192" t="str">
        <f t="shared" si="78"/>
        <v>7661.97164447594-3882.68639730545i</v>
      </c>
      <c r="AE235" s="192" t="str">
        <f t="shared" si="79"/>
        <v>-3.50025206848744+2.56816159778387i</v>
      </c>
      <c r="AF235" s="296"/>
      <c r="AG235" s="296"/>
      <c r="AH235" s="296"/>
      <c r="AI235" s="296"/>
      <c r="AJ235" s="296"/>
      <c r="AK235" s="296"/>
      <c r="AL235" s="296"/>
      <c r="AM235" s="296"/>
      <c r="AN235" s="296"/>
      <c r="AO235" s="296"/>
      <c r="AP235" s="296"/>
      <c r="AQ235" s="296"/>
      <c r="AR235" s="296"/>
      <c r="AS235" s="296"/>
    </row>
    <row r="236" spans="1:45" s="192" customFormat="1" x14ac:dyDescent="0.2">
      <c r="A236" s="301">
        <f t="shared" si="80"/>
        <v>23.672999999999998</v>
      </c>
      <c r="B236" s="301">
        <f t="shared" si="81"/>
        <v>4.120000000000001</v>
      </c>
      <c r="C236" s="320">
        <f t="shared" si="82"/>
        <v>13182.567385564091</v>
      </c>
      <c r="D236" s="302">
        <f t="shared" si="56"/>
        <v>23.673051411898204</v>
      </c>
      <c r="E236" s="301">
        <f t="shared" si="57"/>
        <v>24.060203407425774</v>
      </c>
      <c r="G236" s="320"/>
      <c r="H236" s="315" t="str">
        <f t="shared" si="58"/>
        <v>1E+47-1.20731370784558E+51i</v>
      </c>
      <c r="I236" s="301" t="str">
        <f t="shared" si="59"/>
        <v>0.002-0.0111684894342791i</v>
      </c>
      <c r="J236" s="301" t="str">
        <f t="shared" si="60"/>
        <v>0.002-0.0111684894342791i</v>
      </c>
      <c r="K236" s="301"/>
      <c r="L236" s="301" t="str">
        <f t="shared" si="61"/>
        <v>0.00518894987899839-0.00827143801484566i</v>
      </c>
      <c r="M236" s="301" t="str">
        <f t="shared" si="62"/>
        <v>0.003+0.0248485541123643i</v>
      </c>
      <c r="N236" s="301" t="str">
        <f t="shared" si="63"/>
        <v>-0.276793502735746-0.449752415068736i</v>
      </c>
      <c r="O236" s="316">
        <f t="shared" si="64"/>
        <v>-5.5456413321982678</v>
      </c>
      <c r="P236" s="316">
        <f t="shared" si="65"/>
        <v>-121.60960764231561</v>
      </c>
      <c r="Q236" s="301">
        <f t="shared" si="66"/>
        <v>82828.513707881109</v>
      </c>
      <c r="R236" s="301">
        <f t="shared" si="83"/>
        <v>4.12</v>
      </c>
      <c r="S236" s="308">
        <f t="shared" si="67"/>
        <v>11.104536921926458</v>
      </c>
      <c r="T236" s="301" t="str">
        <f t="shared" si="68"/>
        <v>1+0.630546994194736i</v>
      </c>
      <c r="U236" s="303">
        <f t="shared" si="69"/>
        <v>12.568514489971745</v>
      </c>
      <c r="V236" s="301">
        <f t="shared" si="70"/>
        <v>145.66981104974138</v>
      </c>
      <c r="W236" s="301">
        <f t="shared" si="71"/>
        <v>57.514483041099453</v>
      </c>
      <c r="X236" s="303">
        <f t="shared" si="72"/>
        <v>-41.385759214564779</v>
      </c>
      <c r="Y236" s="192" t="str">
        <f t="shared" si="73"/>
        <v>563.566108176604-496.601467598239i</v>
      </c>
      <c r="Z236" s="192" t="str">
        <f t="shared" si="74"/>
        <v>-254203.746222744i</v>
      </c>
      <c r="AA236" s="192" t="str">
        <f t="shared" si="75"/>
        <v>22150.1592153998-35128.4827607298i</v>
      </c>
      <c r="AB236" s="192" t="str">
        <f t="shared" si="76"/>
        <v>1381.90263844297-18050.8395777521i</v>
      </c>
      <c r="AC236" s="192" t="str">
        <f t="shared" si="77"/>
        <v>16998.4459173632-32164.7893602413i</v>
      </c>
      <c r="AD236" s="192" t="str">
        <f t="shared" si="78"/>
        <v>7500.5732107056-3963.90247246581i</v>
      </c>
      <c r="AE236" s="192" t="str">
        <f t="shared" si="79"/>
        <v>-3.50995271337581+2.39703834012026i</v>
      </c>
      <c r="AF236" s="296"/>
      <c r="AG236" s="296"/>
      <c r="AH236" s="296"/>
      <c r="AI236" s="296"/>
      <c r="AJ236" s="296"/>
      <c r="AK236" s="296"/>
      <c r="AL236" s="296"/>
      <c r="AM236" s="296"/>
      <c r="AN236" s="296"/>
      <c r="AO236" s="296"/>
      <c r="AP236" s="296"/>
      <c r="AQ236" s="296"/>
      <c r="AR236" s="296"/>
      <c r="AS236" s="296"/>
    </row>
    <row r="237" spans="1:45" s="192" customFormat="1" x14ac:dyDescent="0.2">
      <c r="A237" s="301">
        <f t="shared" si="80"/>
        <v>22.623000000000001</v>
      </c>
      <c r="B237" s="301">
        <f t="shared" si="81"/>
        <v>4.1399999999999997</v>
      </c>
      <c r="C237" s="320">
        <f t="shared" si="82"/>
        <v>13803.842646028841</v>
      </c>
      <c r="D237" s="302">
        <f t="shared" si="56"/>
        <v>22.623496898946868</v>
      </c>
      <c r="E237" s="301">
        <f t="shared" si="57"/>
        <v>23.065302155896561</v>
      </c>
      <c r="G237" s="320"/>
      <c r="H237" s="315" t="str">
        <f t="shared" si="58"/>
        <v>1E+47-1.15297563999458E+51i</v>
      </c>
      <c r="I237" s="301" t="str">
        <f t="shared" si="59"/>
        <v>0.002-0.0106658246067953i</v>
      </c>
      <c r="J237" s="301" t="str">
        <f t="shared" si="60"/>
        <v>0.002-0.0106658246067953i</v>
      </c>
      <c r="K237" s="301"/>
      <c r="L237" s="301" t="str">
        <f t="shared" si="61"/>
        <v>0.00493349287476041-0.0079974744397715i</v>
      </c>
      <c r="M237" s="301" t="str">
        <f t="shared" si="62"/>
        <v>0.003+0.0260196303888442i</v>
      </c>
      <c r="N237" s="301" t="str">
        <f t="shared" si="63"/>
        <v>-0.270780240298619-0.392945550011168i</v>
      </c>
      <c r="O237" s="316">
        <f t="shared" si="64"/>
        <v>-6.4258329373279679</v>
      </c>
      <c r="P237" s="316">
        <f t="shared" si="65"/>
        <v>-124.57087128708714</v>
      </c>
      <c r="Q237" s="301">
        <f t="shared" si="66"/>
        <v>86732.10129614739</v>
      </c>
      <c r="R237" s="301">
        <f t="shared" si="83"/>
        <v>4.1399999999999997</v>
      </c>
      <c r="S237" s="308">
        <f t="shared" si="67"/>
        <v>10.224345316796759</v>
      </c>
      <c r="T237" s="301" t="str">
        <f t="shared" si="68"/>
        <v>1+0.660263758508992i</v>
      </c>
      <c r="U237" s="303">
        <f t="shared" si="69"/>
        <v>12.399151582150107</v>
      </c>
      <c r="V237" s="301">
        <f t="shared" si="70"/>
        <v>147.6361734429837</v>
      </c>
      <c r="W237" s="301">
        <f t="shared" si="71"/>
        <v>57.335625093497889</v>
      </c>
      <c r="X237" s="303">
        <f t="shared" si="72"/>
        <v>-42.701094526731261</v>
      </c>
      <c r="Y237" s="192" t="str">
        <f t="shared" si="73"/>
        <v>540.76736121625-499.024885790164i</v>
      </c>
      <c r="Z237" s="192" t="str">
        <f t="shared" si="74"/>
        <v>-242762.692981596i</v>
      </c>
      <c r="AA237" s="192" t="str">
        <f t="shared" si="75"/>
        <v>22150.1592153998-33547.4405946789i</v>
      </c>
      <c r="AB237" s="192" t="str">
        <f t="shared" si="76"/>
        <v>1381.90263844297-17238.4179682156i</v>
      </c>
      <c r="AC237" s="192" t="str">
        <f t="shared" si="77"/>
        <v>16988.8956286642-30836.2695721438i</v>
      </c>
      <c r="AD237" s="192" t="str">
        <f t="shared" si="78"/>
        <v>7332.6422346086-4039.8367031606i</v>
      </c>
      <c r="AE237" s="192" t="str">
        <f t="shared" si="79"/>
        <v>-3.52081022993679+2.23125728135031i</v>
      </c>
      <c r="AF237" s="296"/>
      <c r="AG237" s="296"/>
      <c r="AH237" s="296"/>
      <c r="AI237" s="296"/>
      <c r="AJ237" s="296"/>
      <c r="AK237" s="296"/>
      <c r="AL237" s="296"/>
      <c r="AM237" s="296"/>
      <c r="AN237" s="296"/>
      <c r="AO237" s="296"/>
      <c r="AP237" s="296"/>
      <c r="AQ237" s="296"/>
      <c r="AR237" s="296"/>
      <c r="AS237" s="296"/>
    </row>
    <row r="238" spans="1:45" s="192" customFormat="1" x14ac:dyDescent="0.2">
      <c r="A238" s="301">
        <f t="shared" si="80"/>
        <v>21.581</v>
      </c>
      <c r="B238" s="301">
        <f t="shared" si="81"/>
        <v>4.16</v>
      </c>
      <c r="C238" s="320">
        <f t="shared" si="82"/>
        <v>14454.397707459266</v>
      </c>
      <c r="D238" s="302">
        <f t="shared" si="56"/>
        <v>21.581268889828607</v>
      </c>
      <c r="E238" s="301">
        <f t="shared" si="57"/>
        <v>22.429657119534198</v>
      </c>
      <c r="G238" s="320"/>
      <c r="H238" s="315" t="str">
        <f t="shared" si="58"/>
        <v>1E+47-1.10108318805814E+51i</v>
      </c>
      <c r="I238" s="301" t="str">
        <f t="shared" si="59"/>
        <v>0.002-0.0101857834232945i</v>
      </c>
      <c r="J238" s="301" t="str">
        <f t="shared" si="60"/>
        <v>0.002-0.0101857834232945i</v>
      </c>
      <c r="K238" s="301"/>
      <c r="L238" s="301" t="str">
        <f t="shared" si="61"/>
        <v>0.00469490550519101-0.00772521639954665i</v>
      </c>
      <c r="M238" s="301" t="str">
        <f t="shared" si="62"/>
        <v>0.003+0.0272458977898915i</v>
      </c>
      <c r="N238" s="301" t="str">
        <f t="shared" si="63"/>
        <v>-0.26046518172183-0.34318271642128i</v>
      </c>
      <c r="O238" s="316">
        <f t="shared" si="64"/>
        <v>-7.3138344936539905</v>
      </c>
      <c r="P238" s="316">
        <f t="shared" si="65"/>
        <v>-127.19738587809908</v>
      </c>
      <c r="Q238" s="301">
        <f t="shared" si="66"/>
        <v>90819.659299638355</v>
      </c>
      <c r="R238" s="301">
        <f t="shared" si="83"/>
        <v>4.1599999999999993</v>
      </c>
      <c r="S238" s="308">
        <f t="shared" si="67"/>
        <v>9.3363437604707364</v>
      </c>
      <c r="T238" s="301" t="str">
        <f t="shared" si="68"/>
        <v>1+0.69138103077815i</v>
      </c>
      <c r="U238" s="303">
        <f t="shared" si="69"/>
        <v>12.244925129357869</v>
      </c>
      <c r="V238" s="301">
        <f t="shared" si="70"/>
        <v>149.62704299763328</v>
      </c>
      <c r="W238" s="301">
        <f t="shared" si="71"/>
        <v>57.14762321616459</v>
      </c>
      <c r="X238" s="303">
        <f t="shared" si="72"/>
        <v>-44.021613225488103</v>
      </c>
      <c r="Y238" s="192" t="str">
        <f t="shared" si="73"/>
        <v>517.793967890077-500.405432911238i</v>
      </c>
      <c r="Z238" s="192" t="str">
        <f t="shared" si="74"/>
        <v>-231836.571960022i</v>
      </c>
      <c r="AA238" s="192" t="str">
        <f t="shared" si="75"/>
        <v>22150.1592153998-32037.5570479129i</v>
      </c>
      <c r="AB238" s="192" t="str">
        <f t="shared" si="76"/>
        <v>1381.90263844297-16462.5613543846i</v>
      </c>
      <c r="AC238" s="192" t="str">
        <f t="shared" si="77"/>
        <v>16978.4362720345-29573.0107985736i</v>
      </c>
      <c r="AD238" s="192" t="str">
        <f t="shared" si="78"/>
        <v>7158.52821578527-4109.84921153629i</v>
      </c>
      <c r="AE238" s="192" t="str">
        <f t="shared" si="79"/>
        <v>-3.53290891325216+2.07050449999921i</v>
      </c>
      <c r="AF238" s="296"/>
      <c r="AG238" s="296"/>
      <c r="AH238" s="296"/>
      <c r="AI238" s="296"/>
      <c r="AJ238" s="296"/>
      <c r="AK238" s="296"/>
      <c r="AL238" s="296"/>
      <c r="AM238" s="296"/>
      <c r="AN238" s="296"/>
      <c r="AO238" s="296"/>
      <c r="AP238" s="296"/>
      <c r="AQ238" s="296"/>
      <c r="AR238" s="296"/>
      <c r="AS238" s="296"/>
    </row>
    <row r="239" spans="1:45" s="192" customFormat="1" x14ac:dyDescent="0.2">
      <c r="A239" s="301">
        <f t="shared" si="80"/>
        <v>20.552</v>
      </c>
      <c r="B239" s="301">
        <f t="shared" si="81"/>
        <v>4.1799999999999988</v>
      </c>
      <c r="C239" s="320">
        <f t="shared" si="82"/>
        <v>15135.612484362042</v>
      </c>
      <c r="D239" s="302">
        <f t="shared" si="56"/>
        <v>20.551686194855151</v>
      </c>
      <c r="E239" s="301">
        <f t="shared" si="57"/>
        <v>22.119909573302323</v>
      </c>
      <c r="G239" s="320"/>
      <c r="H239" s="315" t="str">
        <f t="shared" si="58"/>
        <v>1E+47-1.05152628118837E+51i</v>
      </c>
      <c r="I239" s="301" t="str">
        <f t="shared" si="59"/>
        <v>0.002-0.00972734765206636i</v>
      </c>
      <c r="J239" s="301" t="str">
        <f t="shared" si="60"/>
        <v>0.002-0.0097273476520664i</v>
      </c>
      <c r="K239" s="301"/>
      <c r="L239" s="301" t="str">
        <f t="shared" si="61"/>
        <v>0.00447248404594679-0.00745559137674866i</v>
      </c>
      <c r="M239" s="301" t="str">
        <f t="shared" si="62"/>
        <v>0.003+0.0285299573930722i</v>
      </c>
      <c r="N239" s="301" t="str">
        <f t="shared" si="63"/>
        <v>-0.247418960564461-0.299952951207794i</v>
      </c>
      <c r="O239" s="316">
        <f t="shared" si="64"/>
        <v>-8.2048292222806189</v>
      </c>
      <c r="P239" s="316">
        <f t="shared" si="65"/>
        <v>-129.51783183822141</v>
      </c>
      <c r="Q239" s="301">
        <f t="shared" si="66"/>
        <v>95099.8579769075</v>
      </c>
      <c r="R239" s="301">
        <f t="shared" si="83"/>
        <v>4.1799999999999988</v>
      </c>
      <c r="S239" s="308">
        <f t="shared" si="67"/>
        <v>8.4453490318441062</v>
      </c>
      <c r="T239" s="301" t="str">
        <f t="shared" si="68"/>
        <v>1+0.723964814908658i</v>
      </c>
      <c r="U239" s="303">
        <f t="shared" si="69"/>
        <v>12.106337163011045</v>
      </c>
      <c r="V239" s="301">
        <f t="shared" si="70"/>
        <v>151.63774141152373</v>
      </c>
      <c r="W239" s="301">
        <f t="shared" si="71"/>
        <v>56.95042678977137</v>
      </c>
      <c r="X239" s="303">
        <f t="shared" si="72"/>
        <v>-45.344554109097921</v>
      </c>
      <c r="Y239" s="192" t="str">
        <f t="shared" si="73"/>
        <v>494.742133826165-500.728572266357i</v>
      </c>
      <c r="Z239" s="192" t="str">
        <f t="shared" si="74"/>
        <v>-221402.207390447i</v>
      </c>
      <c r="AA239" s="192" t="str">
        <f t="shared" si="75"/>
        <v>22150.1592153998-30595.6294549957i</v>
      </c>
      <c r="AB239" s="192" t="str">
        <f t="shared" si="76"/>
        <v>1381.90263844297-15721.6240403603i</v>
      </c>
      <c r="AC239" s="192" t="str">
        <f t="shared" si="77"/>
        <v>16966.9826080612-28372.3120543882i</v>
      </c>
      <c r="AD239" s="192" t="str">
        <f t="shared" si="78"/>
        <v>6978.66103785745-4173.32292940746i</v>
      </c>
      <c r="AE239" s="192" t="str">
        <f t="shared" si="79"/>
        <v>-3.54634202840647+1.91448209359031i</v>
      </c>
      <c r="AF239" s="296"/>
      <c r="AG239" s="296"/>
      <c r="AH239" s="296"/>
      <c r="AI239" s="296"/>
      <c r="AJ239" s="296"/>
      <c r="AK239" s="296"/>
      <c r="AL239" s="296"/>
      <c r="AM239" s="296"/>
      <c r="AN239" s="296"/>
      <c r="AO239" s="296"/>
      <c r="AP239" s="296"/>
      <c r="AQ239" s="296"/>
      <c r="AR239" s="296"/>
      <c r="AS239" s="296"/>
    </row>
    <row r="240" spans="1:45" s="192" customFormat="1" x14ac:dyDescent="0.2">
      <c r="A240" s="301">
        <f t="shared" si="80"/>
        <v>19.539000000000001</v>
      </c>
      <c r="B240" s="301">
        <f t="shared" si="81"/>
        <v>4.1999999999999984</v>
      </c>
      <c r="C240" s="320">
        <f t="shared" si="82"/>
        <v>15848.93192461109</v>
      </c>
      <c r="D240" s="302">
        <f t="shared" si="56"/>
        <v>19.538774435441926</v>
      </c>
      <c r="E240" s="301">
        <f t="shared" si="57"/>
        <v>22.102889206344202</v>
      </c>
      <c r="G240" s="320"/>
      <c r="H240" s="315" t="str">
        <f t="shared" si="58"/>
        <v>1E+47-1.00419980254159E+51i</v>
      </c>
      <c r="I240" s="301" t="str">
        <f t="shared" si="59"/>
        <v>0.002-0.00928954488937636i</v>
      </c>
      <c r="J240" s="301" t="str">
        <f t="shared" si="60"/>
        <v>0.002-0.00928954488937636i</v>
      </c>
      <c r="K240" s="301"/>
      <c r="L240" s="301" t="str">
        <f t="shared" si="61"/>
        <v>0.00426548911487801-0.00718941707130466i</v>
      </c>
      <c r="M240" s="301" t="str">
        <f t="shared" si="62"/>
        <v>0.003+0.0298745328609618i</v>
      </c>
      <c r="N240" s="301" t="str">
        <f t="shared" si="63"/>
        <v>-0.23281895043623-0.262596528941932i</v>
      </c>
      <c r="O240" s="316">
        <f t="shared" si="64"/>
        <v>-9.0952467533635151</v>
      </c>
      <c r="P240" s="316">
        <f t="shared" si="65"/>
        <v>-131.56030247120211</v>
      </c>
      <c r="Q240" s="301">
        <f t="shared" si="66"/>
        <v>99581.776203205882</v>
      </c>
      <c r="R240" s="301">
        <f t="shared" si="83"/>
        <v>4.1999999999999984</v>
      </c>
      <c r="S240" s="308">
        <f t="shared" si="67"/>
        <v>7.5549315007612101</v>
      </c>
      <c r="T240" s="301" t="str">
        <f t="shared" si="68"/>
        <v>1+0.758084225475241i</v>
      </c>
      <c r="U240" s="303">
        <f t="shared" si="69"/>
        <v>11.983842934680716</v>
      </c>
      <c r="V240" s="301">
        <f t="shared" si="70"/>
        <v>153.66319167754631</v>
      </c>
      <c r="W240" s="301">
        <f t="shared" si="71"/>
        <v>56.74402393717245</v>
      </c>
      <c r="X240" s="303">
        <f t="shared" si="72"/>
        <v>-46.667132647046714</v>
      </c>
      <c r="Y240" s="192" t="str">
        <f t="shared" si="73"/>
        <v>471.709386688318-499.990886399612i</v>
      </c>
      <c r="Z240" s="192" t="str">
        <f t="shared" si="74"/>
        <v>-211437.466586657i</v>
      </c>
      <c r="AA240" s="192" t="str">
        <f t="shared" si="75"/>
        <v>22150.1592153998-29218.5992941799i</v>
      </c>
      <c r="AB240" s="192" t="str">
        <f t="shared" si="76"/>
        <v>1381.90263844297-15014.0343987605i</v>
      </c>
      <c r="AC240" s="192" t="str">
        <f t="shared" si="77"/>
        <v>16954.4416636977-27231.6019554487i</v>
      </c>
      <c r="AD240" s="192" t="str">
        <f t="shared" si="78"/>
        <v>6793.54967014259-4229.67557179718i</v>
      </c>
      <c r="AE240" s="192" t="str">
        <f t="shared" si="79"/>
        <v>-3.56121229398636+1.76290829484534i</v>
      </c>
      <c r="AF240" s="296"/>
      <c r="AG240" s="296"/>
      <c r="AH240" s="296"/>
      <c r="AI240" s="296"/>
      <c r="AJ240" s="296"/>
      <c r="AK240" s="296"/>
      <c r="AL240" s="296"/>
      <c r="AM240" s="296"/>
      <c r="AN240" s="296"/>
      <c r="AO240" s="296"/>
      <c r="AP240" s="296"/>
      <c r="AQ240" s="296"/>
      <c r="AR240" s="296"/>
      <c r="AS240" s="296"/>
    </row>
    <row r="241" spans="1:45" s="192" customFormat="1" x14ac:dyDescent="0.2">
      <c r="A241" s="301">
        <f t="shared" si="80"/>
        <v>18.545999999999999</v>
      </c>
      <c r="B241" s="301">
        <f t="shared" si="81"/>
        <v>4.2199999999999989</v>
      </c>
      <c r="C241" s="320">
        <f t="shared" si="82"/>
        <v>16595.869074375558</v>
      </c>
      <c r="D241" s="302">
        <f t="shared" si="56"/>
        <v>18.545519464400449</v>
      </c>
      <c r="E241" s="301">
        <f t="shared" si="57"/>
        <v>22.346775803178303</v>
      </c>
      <c r="G241" s="320"/>
      <c r="H241" s="315" t="str">
        <f t="shared" si="58"/>
        <v>1E+47-9.59003366311403E+50i</v>
      </c>
      <c r="I241" s="301" t="str">
        <f t="shared" si="59"/>
        <v>0.002-0.00887144649686778i</v>
      </c>
      <c r="J241" s="301" t="str">
        <f t="shared" si="60"/>
        <v>0.002-0.00887144649686778i</v>
      </c>
      <c r="K241" s="301"/>
      <c r="L241" s="301" t="str">
        <f t="shared" si="61"/>
        <v>0.00407315858093685-0.00692740572406147i</v>
      </c>
      <c r="M241" s="301" t="str">
        <f t="shared" si="62"/>
        <v>0.003+0.0312824762183978i</v>
      </c>
      <c r="N241" s="301" t="str">
        <f t="shared" si="63"/>
        <v>-0.217517986533494-0.23041188877689i</v>
      </c>
      <c r="O241" s="316">
        <f t="shared" si="64"/>
        <v>-9.9825022657157039</v>
      </c>
      <c r="P241" s="316">
        <f t="shared" si="65"/>
        <v>-133.35116549908633</v>
      </c>
      <c r="Q241" s="301">
        <f t="shared" si="66"/>
        <v>104274.92072799259</v>
      </c>
      <c r="R241" s="301">
        <f t="shared" si="83"/>
        <v>4.219999999999998</v>
      </c>
      <c r="S241" s="308">
        <f t="shared" si="67"/>
        <v>6.6676759884090231</v>
      </c>
      <c r="T241" s="301" t="str">
        <f t="shared" si="68"/>
        <v>1+0.793811634322179i</v>
      </c>
      <c r="U241" s="303">
        <f t="shared" si="69"/>
        <v>11.877843475991426</v>
      </c>
      <c r="V241" s="301">
        <f t="shared" si="70"/>
        <v>155.69794130226464</v>
      </c>
      <c r="W241" s="301">
        <f t="shared" si="71"/>
        <v>56.528441723585566</v>
      </c>
      <c r="X241" s="303">
        <f t="shared" si="72"/>
        <v>-47.986570471373952</v>
      </c>
      <c r="Y241" s="192" t="str">
        <f t="shared" si="73"/>
        <v>448.792931831425-498.200164881869i</v>
      </c>
      <c r="Z241" s="192" t="str">
        <f t="shared" si="74"/>
        <v>-201921.212997413i</v>
      </c>
      <c r="AA241" s="192" t="str">
        <f t="shared" si="75"/>
        <v>22150.1592153998-27903.545699873i</v>
      </c>
      <c r="AB241" s="192" t="str">
        <f t="shared" si="76"/>
        <v>1381.90263844297-14338.2915370871i</v>
      </c>
      <c r="AC241" s="192" t="str">
        <f t="shared" si="77"/>
        <v>16940.7120825621-26148.4328257844i</v>
      </c>
      <c r="AD241" s="192" t="str">
        <f t="shared" si="78"/>
        <v>6603.77877310895-4278.37169430127i</v>
      </c>
      <c r="AE241" s="192" t="str">
        <f t="shared" si="79"/>
        <v>-3.57763238614373+1.61551771964654i</v>
      </c>
      <c r="AF241" s="296"/>
      <c r="AG241" s="296"/>
      <c r="AH241" s="296"/>
      <c r="AI241" s="296"/>
      <c r="AJ241" s="296"/>
      <c r="AK241" s="296"/>
      <c r="AL241" s="296"/>
      <c r="AM241" s="296"/>
      <c r="AN241" s="296"/>
      <c r="AO241" s="296"/>
      <c r="AP241" s="296"/>
      <c r="AQ241" s="296"/>
      <c r="AR241" s="296"/>
      <c r="AS241" s="296"/>
    </row>
    <row r="242" spans="1:45" s="192" customFormat="1" x14ac:dyDescent="0.2">
      <c r="A242" s="301">
        <f t="shared" si="80"/>
        <v>17.574000000000002</v>
      </c>
      <c r="B242" s="301">
        <f t="shared" si="81"/>
        <v>4.2399999999999975</v>
      </c>
      <c r="C242" s="320">
        <f t="shared" si="82"/>
        <v>17378.008287493667</v>
      </c>
      <c r="D242" s="302">
        <f t="shared" si="56"/>
        <v>17.574088458496153</v>
      </c>
      <c r="E242" s="301">
        <f t="shared" si="57"/>
        <v>22.821698262029486</v>
      </c>
      <c r="G242" s="320"/>
      <c r="H242" s="315" t="str">
        <f t="shared" si="58"/>
        <v>1E+47-9.15841104796997E+50i</v>
      </c>
      <c r="I242" s="301" t="str">
        <f t="shared" si="59"/>
        <v>0.002-0.00847216563179461i</v>
      </c>
      <c r="J242" s="301" t="str">
        <f t="shared" si="60"/>
        <v>0.002-0.00847216563179461i</v>
      </c>
      <c r="K242" s="301"/>
      <c r="L242" s="301" t="str">
        <f t="shared" si="61"/>
        <v>0.00389471890301615-0.00667016952718347i</v>
      </c>
      <c r="M242" s="301" t="str">
        <f t="shared" si="62"/>
        <v>0.003+0.0327567739020076i</v>
      </c>
      <c r="N242" s="301" t="str">
        <f t="shared" si="63"/>
        <v>-0.202114511752186-0.202718666323297i</v>
      </c>
      <c r="O242" s="316">
        <f t="shared" si="64"/>
        <v>-10.864768327085365</v>
      </c>
      <c r="P242" s="316">
        <f t="shared" si="65"/>
        <v>-134.91449445530839</v>
      </c>
      <c r="Q242" s="301">
        <f t="shared" si="66"/>
        <v>109189.24634002529</v>
      </c>
      <c r="R242" s="301">
        <f t="shared" si="83"/>
        <v>4.2399999999999975</v>
      </c>
      <c r="S242" s="308">
        <f t="shared" si="67"/>
        <v>5.7854099270393613</v>
      </c>
      <c r="T242" s="301" t="str">
        <f t="shared" si="68"/>
        <v>1+0.831222824073694i</v>
      </c>
      <c r="U242" s="303">
        <f t="shared" si="69"/>
        <v>11.788678531456792</v>
      </c>
      <c r="V242" s="301">
        <f t="shared" si="70"/>
        <v>157.73619271733787</v>
      </c>
      <c r="W242" s="301">
        <f t="shared" si="71"/>
        <v>56.303745700353609</v>
      </c>
      <c r="X242" s="303">
        <f t="shared" si="72"/>
        <v>-49.30012472064346</v>
      </c>
      <c r="Y242" s="192" t="str">
        <f t="shared" si="73"/>
        <v>426.088019466218-495.375204479737i</v>
      </c>
      <c r="Z242" s="192" t="str">
        <f t="shared" si="74"/>
        <v>-192833.261372984i</v>
      </c>
      <c r="AA242" s="192" t="str">
        <f t="shared" si="75"/>
        <v>22150.1592153998-26647.6792670891i</v>
      </c>
      <c r="AB242" s="192" t="str">
        <f t="shared" si="76"/>
        <v>1381.90263844297-13692.9621141321i</v>
      </c>
      <c r="AC242" s="192" t="str">
        <f t="shared" si="77"/>
        <v>16925.683431212-25120.4750072872i</v>
      </c>
      <c r="AD242" s="192" t="str">
        <f t="shared" si="78"/>
        <v>6410.00314098264-4318.93441210305i</v>
      </c>
      <c r="AE242" s="192" t="str">
        <f t="shared" si="79"/>
        <v>-3.59572545626504+1.47206175866237i</v>
      </c>
      <c r="AF242" s="296"/>
      <c r="AG242" s="296"/>
      <c r="AH242" s="296"/>
      <c r="AI242" s="296"/>
      <c r="AJ242" s="296"/>
      <c r="AK242" s="296"/>
      <c r="AL242" s="296"/>
      <c r="AM242" s="296"/>
      <c r="AN242" s="296"/>
      <c r="AO242" s="296"/>
      <c r="AP242" s="296"/>
      <c r="AQ242" s="296"/>
      <c r="AR242" s="296"/>
      <c r="AS242" s="296"/>
    </row>
    <row r="243" spans="1:45" s="192" customFormat="1" x14ac:dyDescent="0.2">
      <c r="A243" s="301">
        <f t="shared" si="80"/>
        <v>16.626000000000001</v>
      </c>
      <c r="B243" s="301">
        <f t="shared" si="81"/>
        <v>4.259999999999998</v>
      </c>
      <c r="C243" s="320">
        <f t="shared" si="82"/>
        <v>18197.008586099739</v>
      </c>
      <c r="D243" s="302">
        <f t="shared" si="56"/>
        <v>16.626011837853429</v>
      </c>
      <c r="E243" s="301">
        <f t="shared" si="57"/>
        <v>23.499970879333603</v>
      </c>
      <c r="G243" s="320"/>
      <c r="H243" s="315" t="str">
        <f t="shared" si="58"/>
        <v>1E+47-8.74621465054809E+50i</v>
      </c>
      <c r="I243" s="301" t="str">
        <f t="shared" si="59"/>
        <v>0.002-0.00809085536590943i</v>
      </c>
      <c r="J243" s="301" t="str">
        <f t="shared" si="60"/>
        <v>0.002-0.00809085536590943i</v>
      </c>
      <c r="K243" s="301"/>
      <c r="L243" s="301" t="str">
        <f t="shared" si="61"/>
        <v>0.00372939491724853-0.00641822681298448i</v>
      </c>
      <c r="M243" s="301" t="str">
        <f t="shared" si="62"/>
        <v>0.003+0.0343005530948408i</v>
      </c>
      <c r="N243" s="301" t="str">
        <f t="shared" si="63"/>
        <v>-0.18701454141957-0.178890727097426i</v>
      </c>
      <c r="O243" s="316">
        <f t="shared" si="64"/>
        <v>-11.740786473978041</v>
      </c>
      <c r="P243" s="316">
        <f t="shared" si="65"/>
        <v>-136.27186968196497</v>
      </c>
      <c r="Q243" s="301">
        <f t="shared" si="66"/>
        <v>114335.17698280266</v>
      </c>
      <c r="R243" s="301">
        <f t="shared" si="83"/>
        <v>4.2599999999999971</v>
      </c>
      <c r="S243" s="308">
        <f t="shared" si="67"/>
        <v>4.9093917801466871</v>
      </c>
      <c r="T243" s="301" t="str">
        <f t="shared" si="68"/>
        <v>1+0.870397148879055i</v>
      </c>
      <c r="U243" s="303">
        <f t="shared" si="69"/>
        <v>11.716620057706743</v>
      </c>
      <c r="V243" s="301">
        <f t="shared" si="70"/>
        <v>159.77184056129857</v>
      </c>
      <c r="W243" s="301">
        <f t="shared" si="71"/>
        <v>56.070038808527265</v>
      </c>
      <c r="X243" s="303">
        <f t="shared" si="72"/>
        <v>-50.605116488364509</v>
      </c>
      <c r="Y243" s="192" t="str">
        <f t="shared" si="73"/>
        <v>403.686381228642-491.545331186975i</v>
      </c>
      <c r="Z243" s="192" t="str">
        <f t="shared" si="74"/>
        <v>-184154.334949534i</v>
      </c>
      <c r="AA243" s="192" t="str">
        <f t="shared" si="75"/>
        <v>22150.1592153998-25448.3361347472i</v>
      </c>
      <c r="AB243" s="192" t="str">
        <f t="shared" si="76"/>
        <v>1381.90263844297-13076.6772996686i</v>
      </c>
      <c r="AC243" s="192" t="str">
        <f t="shared" si="77"/>
        <v>16909.2354606643-24145.5113522669i</v>
      </c>
      <c r="AD243" s="192" t="str">
        <f t="shared" si="78"/>
        <v>6212.94001176758-4350.95633425455i</v>
      </c>
      <c r="AE243" s="192" t="str">
        <f t="shared" si="79"/>
        <v>-3.61562565339162+1.3323091257452i</v>
      </c>
      <c r="AF243" s="296"/>
      <c r="AG243" s="296"/>
      <c r="AH243" s="296"/>
      <c r="AI243" s="296"/>
      <c r="AJ243" s="296"/>
      <c r="AK243" s="296"/>
      <c r="AL243" s="296"/>
      <c r="AM243" s="296"/>
      <c r="AN243" s="296"/>
      <c r="AO243" s="296"/>
      <c r="AP243" s="296"/>
      <c r="AQ243" s="296"/>
      <c r="AR243" s="296"/>
      <c r="AS243" s="296"/>
    </row>
    <row r="244" spans="1:45" s="192" customFormat="1" x14ac:dyDescent="0.2">
      <c r="A244" s="301">
        <f t="shared" si="80"/>
        <v>15.702</v>
      </c>
      <c r="B244" s="301">
        <f t="shared" si="81"/>
        <v>4.2799999999999967</v>
      </c>
      <c r="C244" s="320">
        <f t="shared" si="82"/>
        <v>19054.607179632338</v>
      </c>
      <c r="D244" s="302">
        <f t="shared" si="56"/>
        <v>15.70232746696059</v>
      </c>
      <c r="E244" s="301">
        <f t="shared" si="57"/>
        <v>24.356111987564276</v>
      </c>
      <c r="G244" s="320"/>
      <c r="H244" s="315" t="str">
        <f t="shared" si="58"/>
        <v>1E+47-8.3525701470255E+50i</v>
      </c>
      <c r="I244" s="301" t="str">
        <f t="shared" si="59"/>
        <v>0.002-0.0077267068890153i</v>
      </c>
      <c r="J244" s="301" t="str">
        <f t="shared" si="60"/>
        <v>0.002-0.0077267068890153i</v>
      </c>
      <c r="K244" s="301"/>
      <c r="L244" s="301" t="str">
        <f t="shared" si="61"/>
        <v>0.00357641813266791-0.00617200875080909i</v>
      </c>
      <c r="M244" s="301" t="str">
        <f t="shared" si="62"/>
        <v>0.003+0.0359170883595434i</v>
      </c>
      <c r="N244" s="301" t="str">
        <f t="shared" si="63"/>
        <v>-0.172482313729638-0.158370191312608i</v>
      </c>
      <c r="O244" s="316">
        <f t="shared" si="64"/>
        <v>-12.609717262046169</v>
      </c>
      <c r="P244" s="316">
        <f t="shared" si="65"/>
        <v>-137.44240325507968</v>
      </c>
      <c r="Q244" s="301">
        <f t="shared" si="66"/>
        <v>119723.62786514456</v>
      </c>
      <c r="R244" s="301">
        <f t="shared" si="83"/>
        <v>4.2799999999999967</v>
      </c>
      <c r="S244" s="308">
        <f t="shared" si="67"/>
        <v>4.0404609920785557</v>
      </c>
      <c r="T244" s="301" t="str">
        <f t="shared" si="68"/>
        <v>1+0.911417702733366i</v>
      </c>
      <c r="U244" s="303">
        <f t="shared" si="69"/>
        <v>11.661866474882034</v>
      </c>
      <c r="V244" s="301">
        <f t="shared" si="70"/>
        <v>161.79851524264396</v>
      </c>
      <c r="W244" s="301">
        <f t="shared" si="71"/>
        <v>55.827459680907907</v>
      </c>
      <c r="X244" s="303">
        <f t="shared" si="72"/>
        <v>-51.89895766995302</v>
      </c>
      <c r="Y244" s="192" t="str">
        <f t="shared" si="73"/>
        <v>381.67478985475-486.749666536409i</v>
      </c>
      <c r="Z244" s="192" t="str">
        <f t="shared" si="74"/>
        <v>-175866.024560513i</v>
      </c>
      <c r="AA244" s="192" t="str">
        <f t="shared" si="75"/>
        <v>22150.1592153998-24302.972335265i</v>
      </c>
      <c r="AB244" s="192" t="str">
        <f t="shared" si="76"/>
        <v>1381.90263844297-12488.1298709783i</v>
      </c>
      <c r="AC244" s="192" t="str">
        <f t="shared" si="77"/>
        <v>16891.2373229854-23221.4318787669i</v>
      </c>
      <c r="AD244" s="192" t="str">
        <f t="shared" si="78"/>
        <v>6013.35937969957-4374.10926773134i</v>
      </c>
      <c r="AE244" s="192" t="str">
        <f t="shared" si="79"/>
        <v>-3.63747864023177+1.19604657739292i</v>
      </c>
      <c r="AF244" s="296"/>
      <c r="AG244" s="296"/>
      <c r="AH244" s="296"/>
      <c r="AI244" s="296"/>
      <c r="AJ244" s="296"/>
      <c r="AK244" s="296"/>
      <c r="AL244" s="296"/>
      <c r="AM244" s="296"/>
      <c r="AN244" s="296"/>
      <c r="AO244" s="296"/>
      <c r="AP244" s="296"/>
      <c r="AQ244" s="296"/>
      <c r="AR244" s="296"/>
      <c r="AS244" s="296"/>
    </row>
    <row r="245" spans="1:45" s="192" customFormat="1" x14ac:dyDescent="0.2">
      <c r="A245" s="301">
        <f t="shared" si="80"/>
        <v>14.804</v>
      </c>
      <c r="B245" s="301">
        <f t="shared" si="81"/>
        <v>4.2999999999999972</v>
      </c>
      <c r="C245" s="320">
        <f t="shared" si="82"/>
        <v>19952.62314968865</v>
      </c>
      <c r="D245" s="302">
        <f t="shared" si="56"/>
        <v>14.803692211979897</v>
      </c>
      <c r="E245" s="301">
        <f t="shared" si="57"/>
        <v>25.36674308157626</v>
      </c>
      <c r="G245" s="320"/>
      <c r="H245" s="315" t="str">
        <f t="shared" si="58"/>
        <v>1E+47-7.97664256463336E+50i</v>
      </c>
      <c r="I245" s="301" t="str">
        <f t="shared" si="59"/>
        <v>0.002-0.00737894779337036i</v>
      </c>
      <c r="J245" s="301" t="str">
        <f t="shared" si="60"/>
        <v>0.002-0.00737894779337036i</v>
      </c>
      <c r="K245" s="301"/>
      <c r="L245" s="301" t="str">
        <f t="shared" si="61"/>
        <v>0.00343503362526489-0.00593186632103896i</v>
      </c>
      <c r="M245" s="301" t="str">
        <f t="shared" si="62"/>
        <v>0.003+0.0376098085841445i</v>
      </c>
      <c r="N245" s="301" t="str">
        <f t="shared" si="63"/>
        <v>-0.158679772959655-0.140670226080298i</v>
      </c>
      <c r="O245" s="316">
        <f t="shared" si="64"/>
        <v>-13.471023880826216</v>
      </c>
      <c r="P245" s="316">
        <f t="shared" si="65"/>
        <v>-138.44288885620074</v>
      </c>
      <c r="Q245" s="301">
        <f t="shared" si="66"/>
        <v>125366.02861381501</v>
      </c>
      <c r="R245" s="301">
        <f t="shared" si="83"/>
        <v>4.2999999999999963</v>
      </c>
      <c r="S245" s="308">
        <f t="shared" si="67"/>
        <v>3.1791543732985099</v>
      </c>
      <c r="T245" s="301" t="str">
        <f t="shared" si="68"/>
        <v>1+0.954371495731075i</v>
      </c>
      <c r="U245" s="303">
        <f t="shared" si="69"/>
        <v>11.624537838681386</v>
      </c>
      <c r="V245" s="301">
        <f t="shared" si="70"/>
        <v>163.809631937777</v>
      </c>
      <c r="W245" s="301">
        <f t="shared" si="71"/>
        <v>55.576180401270996</v>
      </c>
      <c r="X245" s="303">
        <f t="shared" si="72"/>
        <v>-53.179175576699983</v>
      </c>
      <c r="Y245" s="192" t="str">
        <f t="shared" si="73"/>
        <v>360.133788357148-481.036171875712i</v>
      </c>
      <c r="Z245" s="192" t="str">
        <f t="shared" si="74"/>
        <v>-167950.749588354i</v>
      </c>
      <c r="AA245" s="192" t="str">
        <f t="shared" si="75"/>
        <v>22150.1592153998-23209.1583984622i</v>
      </c>
      <c r="AB245" s="192" t="str">
        <f t="shared" si="76"/>
        <v>1381.90263844297-11926.0714400571i</v>
      </c>
      <c r="AC245" s="192" t="str">
        <f t="shared" si="77"/>
        <v>16871.5467434984-22346.2285680203i</v>
      </c>
      <c r="AD245" s="192" t="str">
        <f t="shared" si="78"/>
        <v>5812.07255049915-4388.15227428054i</v>
      </c>
      <c r="AE245" s="192" t="str">
        <f t="shared" si="79"/>
        <v>-3.66144208883988+1.06307981868377i</v>
      </c>
      <c r="AF245" s="296"/>
      <c r="AG245" s="296"/>
      <c r="AH245" s="296"/>
      <c r="AI245" s="296"/>
      <c r="AJ245" s="296"/>
      <c r="AK245" s="296"/>
      <c r="AL245" s="296"/>
      <c r="AM245" s="296"/>
      <c r="AN245" s="296"/>
      <c r="AO245" s="296"/>
      <c r="AP245" s="296"/>
      <c r="AQ245" s="296"/>
      <c r="AR245" s="296"/>
      <c r="AS245" s="296"/>
    </row>
    <row r="246" spans="1:45" s="192" customFormat="1" x14ac:dyDescent="0.2">
      <c r="A246" s="301">
        <f t="shared" si="80"/>
        <v>13.93</v>
      </c>
      <c r="B246" s="301">
        <f t="shared" si="81"/>
        <v>4.3199999999999958</v>
      </c>
      <c r="C246" s="320">
        <f t="shared" si="82"/>
        <v>20892.961308540202</v>
      </c>
      <c r="D246" s="302">
        <f t="shared" si="56"/>
        <v>13.930466933343704</v>
      </c>
      <c r="E246" s="301">
        <f t="shared" si="57"/>
        <v>26.510431111657567</v>
      </c>
      <c r="G246" s="320"/>
      <c r="H246" s="315" t="str">
        <f t="shared" si="58"/>
        <v>1E+47-7.6176345105679E+50i</v>
      </c>
      <c r="I246" s="301" t="str">
        <f t="shared" si="59"/>
        <v>0.002-0.00704684043530794i</v>
      </c>
      <c r="J246" s="301" t="str">
        <f t="shared" si="60"/>
        <v>0.002-0.00704684043530794i</v>
      </c>
      <c r="K246" s="301"/>
      <c r="L246" s="301" t="str">
        <f t="shared" si="61"/>
        <v>0.00330450564074457-0.00569807737412431i</v>
      </c>
      <c r="M246" s="301" t="str">
        <f t="shared" si="62"/>
        <v>0.003+0.0393823042551874i</v>
      </c>
      <c r="N246" s="301" t="str">
        <f t="shared" si="63"/>
        <v>-0.145696402099057-0.125371719069747i</v>
      </c>
      <c r="O246" s="316">
        <f t="shared" si="64"/>
        <v>-14.324383395724524</v>
      </c>
      <c r="P246" s="316">
        <f t="shared" si="65"/>
        <v>-139.28801283421879</v>
      </c>
      <c r="Q246" s="301">
        <f t="shared" si="66"/>
        <v>131274.34751729137</v>
      </c>
      <c r="R246" s="301">
        <f t="shared" si="83"/>
        <v>4.3199999999999958</v>
      </c>
      <c r="S246" s="308">
        <f t="shared" si="67"/>
        <v>2.3257948584002013</v>
      </c>
      <c r="T246" s="301" t="str">
        <f t="shared" si="68"/>
        <v>1+0.999349638626044i</v>
      </c>
      <c r="U246" s="303">
        <f t="shared" si="69"/>
        <v>11.604672074943503</v>
      </c>
      <c r="V246" s="301">
        <f t="shared" si="70"/>
        <v>165.79844394587636</v>
      </c>
      <c r="W246" s="301">
        <f t="shared" si="71"/>
        <v>55.316403796142737</v>
      </c>
      <c r="X246" s="303">
        <f t="shared" si="72"/>
        <v>-54.443434786172354</v>
      </c>
      <c r="Y246" s="192" t="str">
        <f t="shared" si="73"/>
        <v>339.136625337847-474.460513110286i</v>
      </c>
      <c r="Z246" s="192" t="str">
        <f t="shared" si="74"/>
        <v>-160391.720673621i</v>
      </c>
      <c r="AA246" s="192" t="str">
        <f t="shared" si="75"/>
        <v>22150.1592153998-22164.5741983286i</v>
      </c>
      <c r="AB246" s="192" t="str">
        <f t="shared" si="76"/>
        <v>1381.90263844297-11389.3098056166i</v>
      </c>
      <c r="AC246" s="192" t="str">
        <f t="shared" si="77"/>
        <v>16850.0091500561-21517.9902828228i</v>
      </c>
      <c r="AD246" s="192" t="str">
        <f t="shared" si="78"/>
        <v>5609.91927761807-4392.93771939282i</v>
      </c>
      <c r="AE246" s="192" t="str">
        <f t="shared" si="79"/>
        <v>-3.6876861387348+0.933234612080649i</v>
      </c>
      <c r="AF246" s="296"/>
      <c r="AG246" s="296"/>
      <c r="AH246" s="296"/>
      <c r="AI246" s="296"/>
      <c r="AJ246" s="296"/>
      <c r="AK246" s="296"/>
      <c r="AL246" s="296"/>
      <c r="AM246" s="296"/>
      <c r="AN246" s="296"/>
      <c r="AO246" s="296"/>
      <c r="AP246" s="296"/>
      <c r="AQ246" s="296"/>
      <c r="AR246" s="296"/>
      <c r="AS246" s="296"/>
    </row>
    <row r="247" spans="1:45" s="192" customFormat="1" x14ac:dyDescent="0.2">
      <c r="A247" s="301">
        <f t="shared" si="80"/>
        <v>13.083</v>
      </c>
      <c r="B247" s="301">
        <f t="shared" si="81"/>
        <v>4.3399999999999963</v>
      </c>
      <c r="C247" s="320">
        <f t="shared" si="82"/>
        <v>21877.616239495317</v>
      </c>
      <c r="D247" s="302">
        <f t="shared" si="56"/>
        <v>13.082780704966943</v>
      </c>
      <c r="E247" s="301">
        <f t="shared" si="57"/>
        <v>27.767511771532156</v>
      </c>
      <c r="G247" s="320"/>
      <c r="H247" s="315" t="str">
        <f t="shared" si="58"/>
        <v>1E+47-7.27478448061338E+50i</v>
      </c>
      <c r="I247" s="301" t="str">
        <f t="shared" si="59"/>
        <v>0.002-0.00672968037059517i</v>
      </c>
      <c r="J247" s="301" t="str">
        <f t="shared" si="60"/>
        <v>0.00200000000000001-0.00672968037059516i</v>
      </c>
      <c r="K247" s="301"/>
      <c r="L247" s="301" t="str">
        <f t="shared" si="61"/>
        <v>0.00318412202825655-0.0054708536192225i</v>
      </c>
      <c r="M247" s="301" t="str">
        <f t="shared" si="62"/>
        <v>0.003+0.0412383350736331i</v>
      </c>
      <c r="N247" s="301" t="str">
        <f t="shared" si="63"/>
        <v>-0.133571281615535-0.112117011603095i</v>
      </c>
      <c r="O247" s="316">
        <f t="shared" si="64"/>
        <v>-15.169619932970676</v>
      </c>
      <c r="P247" s="316">
        <f t="shared" si="65"/>
        <v>-139.99058736195127</v>
      </c>
      <c r="Q247" s="301">
        <f t="shared" si="66"/>
        <v>137461.11691211048</v>
      </c>
      <c r="R247" s="301">
        <f t="shared" si="83"/>
        <v>4.3399999999999954</v>
      </c>
      <c r="S247" s="308">
        <f t="shared" si="67"/>
        <v>1.4805583211540507</v>
      </c>
      <c r="T247" s="301" t="str">
        <f t="shared" si="68"/>
        <v>1+1.04644753608968i</v>
      </c>
      <c r="U247" s="303">
        <f t="shared" si="69"/>
        <v>11.602222383812892</v>
      </c>
      <c r="V247" s="301">
        <f t="shared" si="70"/>
        <v>167.75809913348343</v>
      </c>
      <c r="W247" s="301">
        <f t="shared" si="71"/>
        <v>55.048360346898555</v>
      </c>
      <c r="X247" s="303">
        <f t="shared" si="72"/>
        <v>-55.68955581886393</v>
      </c>
      <c r="Y247" s="192" t="str">
        <f t="shared" si="73"/>
        <v>318.748421695429-467.084794272543i</v>
      </c>
      <c r="Z247" s="192" t="str">
        <f t="shared" si="74"/>
        <v>-153172.90410253i</v>
      </c>
      <c r="AA247" s="192" t="str">
        <f t="shared" si="75"/>
        <v>22150.1592153998-21167.0040317258i</v>
      </c>
      <c r="AB247" s="192" t="str">
        <f t="shared" si="76"/>
        <v>1381.90263844297-10876.7064242651i</v>
      </c>
      <c r="AC247" s="192" t="str">
        <f t="shared" si="77"/>
        <v>16826.456761959-20734.8977849297i</v>
      </c>
      <c r="AD247" s="192" t="str">
        <f t="shared" si="78"/>
        <v>5407.75389991124-4388.41503440188i</v>
      </c>
      <c r="AE247" s="192" t="str">
        <f t="shared" si="79"/>
        <v>-3.71639379632653+0.806358106276177i</v>
      </c>
      <c r="AF247" s="296"/>
      <c r="AG247" s="296"/>
      <c r="AH247" s="296"/>
      <c r="AI247" s="296"/>
      <c r="AJ247" s="296"/>
      <c r="AK247" s="296"/>
      <c r="AL247" s="296"/>
      <c r="AM247" s="296"/>
      <c r="AN247" s="296"/>
      <c r="AO247" s="296"/>
      <c r="AP247" s="296"/>
      <c r="AQ247" s="296"/>
      <c r="AR247" s="296"/>
      <c r="AS247" s="296"/>
    </row>
    <row r="248" spans="1:45" s="192" customFormat="1" x14ac:dyDescent="0.2">
      <c r="A248" s="301">
        <f t="shared" si="80"/>
        <v>12.260999999999999</v>
      </c>
      <c r="B248" s="301">
        <f t="shared" si="81"/>
        <v>4.359999999999995</v>
      </c>
      <c r="C248" s="320">
        <f t="shared" si="82"/>
        <v>22908.676527677468</v>
      </c>
      <c r="D248" s="302">
        <f t="shared" si="56"/>
        <v>12.260579233057944</v>
      </c>
      <c r="E248" s="301">
        <f t="shared" si="57"/>
        <v>29.119915075246553</v>
      </c>
      <c r="G248" s="320"/>
      <c r="H248" s="315" t="str">
        <f t="shared" si="58"/>
        <v>1E+47-6.94736524388957E+50i</v>
      </c>
      <c r="I248" s="301" t="str">
        <f t="shared" si="59"/>
        <v>0.002-0.00642679486021238i</v>
      </c>
      <c r="J248" s="301" t="str">
        <f t="shared" si="60"/>
        <v>0.00200000000000001-0.00642679486021238i</v>
      </c>
      <c r="K248" s="301"/>
      <c r="L248" s="301" t="str">
        <f t="shared" si="61"/>
        <v>0.00307319763256884-0.00525034742057916i</v>
      </c>
      <c r="M248" s="301" t="str">
        <f t="shared" si="62"/>
        <v>0.003+0.0431818379296899i</v>
      </c>
      <c r="N248" s="301" t="str">
        <f t="shared" si="63"/>
        <v>-0.122309144685789-0.100602565027059i</v>
      </c>
      <c r="O248" s="316">
        <f t="shared" si="64"/>
        <v>-16.006654900284918</v>
      </c>
      <c r="P248" s="316">
        <f t="shared" si="65"/>
        <v>-140.5617829931015</v>
      </c>
      <c r="Q248" s="301">
        <f t="shared" si="66"/>
        <v>143939.45976563293</v>
      </c>
      <c r="R248" s="301">
        <f t="shared" si="83"/>
        <v>4.359999999999995</v>
      </c>
      <c r="S248" s="308">
        <f t="shared" si="67"/>
        <v>0.64352335383980885</v>
      </c>
      <c r="T248" s="301" t="str">
        <f t="shared" si="68"/>
        <v>1+1.09576508907703i</v>
      </c>
      <c r="U248" s="303">
        <f t="shared" si="69"/>
        <v>11.617055879218135</v>
      </c>
      <c r="V248" s="301">
        <f t="shared" si="70"/>
        <v>169.68169806834806</v>
      </c>
      <c r="W248" s="301">
        <f t="shared" si="71"/>
        <v>54.772304817641071</v>
      </c>
      <c r="X248" s="303">
        <f t="shared" si="72"/>
        <v>-56.915530362532145</v>
      </c>
      <c r="Y248" s="192" t="str">
        <f t="shared" si="73"/>
        <v>299.025581921623-458.976210946384i</v>
      </c>
      <c r="Z248" s="192" t="str">
        <f t="shared" si="74"/>
        <v>-146278.987797288i</v>
      </c>
      <c r="AA248" s="192" t="str">
        <f t="shared" si="75"/>
        <v>22150.1592153998-20214.331918584i</v>
      </c>
      <c r="AB248" s="192" t="str">
        <f t="shared" si="76"/>
        <v>1381.90263844297-10387.1739955049i</v>
      </c>
      <c r="AC248" s="192" t="str">
        <f t="shared" si="77"/>
        <v>16800.7076424756-19995.2188288533i</v>
      </c>
      <c r="AD248" s="192" t="str">
        <f t="shared" si="78"/>
        <v>5206.43096066526-4374.63201476186i</v>
      </c>
      <c r="AE248" s="192" t="str">
        <f t="shared" si="79"/>
        <v>-3.74776124993191+0.682320402706484i</v>
      </c>
      <c r="AF248" s="296"/>
      <c r="AG248" s="296"/>
      <c r="AH248" s="296"/>
      <c r="AI248" s="296"/>
      <c r="AJ248" s="296"/>
      <c r="AK248" s="296"/>
      <c r="AL248" s="296"/>
      <c r="AM248" s="296"/>
      <c r="AN248" s="296"/>
      <c r="AO248" s="296"/>
      <c r="AP248" s="296"/>
      <c r="AQ248" s="296"/>
      <c r="AR248" s="296"/>
      <c r="AS248" s="296"/>
    </row>
    <row r="249" spans="1:45" s="192" customFormat="1" x14ac:dyDescent="0.2">
      <c r="A249" s="301">
        <f t="shared" si="80"/>
        <v>11.464</v>
      </c>
      <c r="B249" s="301">
        <f t="shared" si="81"/>
        <v>4.3799999999999946</v>
      </c>
      <c r="C249" s="320">
        <f t="shared" si="82"/>
        <v>23988.329190194625</v>
      </c>
      <c r="D249" s="302">
        <f t="shared" si="56"/>
        <v>11.463661496695487</v>
      </c>
      <c r="E249" s="301">
        <f t="shared" si="57"/>
        <v>30.551003971972165</v>
      </c>
      <c r="G249" s="320"/>
      <c r="H249" s="315" t="str">
        <f t="shared" si="58"/>
        <v>1E+47-6.63468230029755E+50i</v>
      </c>
      <c r="I249" s="301" t="str">
        <f t="shared" si="59"/>
        <v>0.002-0.00613754144338349i</v>
      </c>
      <c r="J249" s="301" t="str">
        <f t="shared" si="60"/>
        <v>0.002-0.00613754144338349i</v>
      </c>
      <c r="K249" s="301"/>
      <c r="L249" s="301" t="str">
        <f t="shared" si="61"/>
        <v>0.00297107677206572-0.00503665830963319i</v>
      </c>
      <c r="M249" s="301" t="str">
        <f t="shared" si="62"/>
        <v>0.003+0.0452169352534854i</v>
      </c>
      <c r="N249" s="301" t="str">
        <f t="shared" si="63"/>
        <v>-0.111891919818625-0.0905716011007577i</v>
      </c>
      <c r="O249" s="316">
        <f t="shared" si="64"/>
        <v>-16.835470241375251</v>
      </c>
      <c r="P249" s="316">
        <f t="shared" si="65"/>
        <v>-141.01134840319625</v>
      </c>
      <c r="Q249" s="301">
        <f t="shared" si="66"/>
        <v>150723.11751161804</v>
      </c>
      <c r="R249" s="301">
        <f t="shared" si="83"/>
        <v>4.3799999999999946</v>
      </c>
      <c r="S249" s="308">
        <f t="shared" si="67"/>
        <v>-0.18529198725052581</v>
      </c>
      <c r="T249" s="301" t="str">
        <f t="shared" si="68"/>
        <v>1+1.14740690673009i</v>
      </c>
      <c r="U249" s="303">
        <f t="shared" si="69"/>
        <v>11.648953483946013</v>
      </c>
      <c r="V249" s="301">
        <f t="shared" si="70"/>
        <v>171.56235237516842</v>
      </c>
      <c r="W249" s="301">
        <f t="shared" si="71"/>
        <v>54.488512697196015</v>
      </c>
      <c r="X249" s="303">
        <f t="shared" si="72"/>
        <v>-58.119532900184815</v>
      </c>
      <c r="Y249" s="192" t="str">
        <f t="shared" si="73"/>
        <v>280.015451345626-450.205674129908i</v>
      </c>
      <c r="Z249" s="192" t="str">
        <f t="shared" si="74"/>
        <v>-139695.34883713i</v>
      </c>
      <c r="AA249" s="192" t="str">
        <f t="shared" si="75"/>
        <v>22150.1592153998-19304.5371136242i</v>
      </c>
      <c r="AB249" s="192" t="str">
        <f t="shared" si="76"/>
        <v>1381.90263844297-9919.67415542178i</v>
      </c>
      <c r="AC249" s="192" t="str">
        <f t="shared" si="77"/>
        <v>16772.5647206052-19297.3033086915i</v>
      </c>
      <c r="AD249" s="192" t="str">
        <f t="shared" si="78"/>
        <v>5006.79081932533-4351.73359284058i</v>
      </c>
      <c r="AE249" s="192" t="str">
        <f t="shared" si="79"/>
        <v>-3.78199806932114+0.561016377364612i</v>
      </c>
      <c r="AF249" s="296"/>
      <c r="AG249" s="296"/>
      <c r="AH249" s="296"/>
      <c r="AI249" s="296"/>
      <c r="AJ249" s="296"/>
      <c r="AK249" s="296"/>
      <c r="AL249" s="296"/>
      <c r="AM249" s="296"/>
      <c r="AN249" s="296"/>
      <c r="AO249" s="296"/>
      <c r="AP249" s="296"/>
      <c r="AQ249" s="296"/>
      <c r="AR249" s="296"/>
      <c r="AS249" s="296"/>
    </row>
    <row r="250" spans="1:45" s="192" customFormat="1" x14ac:dyDescent="0.2">
      <c r="A250" s="301">
        <f t="shared" si="80"/>
        <v>10.692</v>
      </c>
      <c r="B250" s="301">
        <f t="shared" si="81"/>
        <v>4.399999999999995</v>
      </c>
      <c r="C250" s="320">
        <f t="shared" si="82"/>
        <v>25118.864315095503</v>
      </c>
      <c r="D250" s="302">
        <f t="shared" si="56"/>
        <v>10.691707735533239</v>
      </c>
      <c r="E250" s="301">
        <f t="shared" si="57"/>
        <v>32.045430299879428</v>
      </c>
      <c r="G250" s="320"/>
      <c r="H250" s="315" t="str">
        <f t="shared" si="58"/>
        <v>1E+47-6.3360724073918E+50i</v>
      </c>
      <c r="I250" s="301" t="str">
        <f t="shared" si="59"/>
        <v>0.002-0.00586130657483053i</v>
      </c>
      <c r="J250" s="301" t="str">
        <f t="shared" si="60"/>
        <v>0.002-0.00586130657483054i</v>
      </c>
      <c r="K250" s="301"/>
      <c r="L250" s="301" t="str">
        <f t="shared" si="61"/>
        <v>0.00287713492588958-0.0048298391467266i</v>
      </c>
      <c r="M250" s="301" t="str">
        <f t="shared" si="62"/>
        <v>0.003+0.0473479437592937i</v>
      </c>
      <c r="N250" s="301" t="str">
        <f t="shared" si="63"/>
        <v>-0.102286942411983-0.0818072470373814i</v>
      </c>
      <c r="O250" s="316">
        <f t="shared" si="64"/>
        <v>-17.656081572325895</v>
      </c>
      <c r="P250" s="316">
        <f t="shared" si="65"/>
        <v>-141.34781155090172</v>
      </c>
      <c r="Q250" s="301">
        <f t="shared" si="66"/>
        <v>157826.47919764568</v>
      </c>
      <c r="R250" s="301">
        <f t="shared" si="83"/>
        <v>4.3999999999999941</v>
      </c>
      <c r="S250" s="308">
        <f t="shared" si="67"/>
        <v>-1.0059033182011681</v>
      </c>
      <c r="T250" s="301" t="str">
        <f t="shared" si="68"/>
        <v>1+1.20148252826785i</v>
      </c>
      <c r="U250" s="303">
        <f t="shared" si="69"/>
        <v>11.697611053734407</v>
      </c>
      <c r="V250" s="301">
        <f t="shared" si="70"/>
        <v>173.39324185078115</v>
      </c>
      <c r="W250" s="301">
        <f t="shared" si="71"/>
        <v>54.197276551907407</v>
      </c>
      <c r="X250" s="303">
        <f t="shared" si="72"/>
        <v>-59.299928727238338</v>
      </c>
      <c r="Y250" s="192" t="str">
        <f t="shared" si="73"/>
        <v>261.756209879651-440.846451889384i</v>
      </c>
      <c r="Z250" s="192" t="str">
        <f t="shared" si="74"/>
        <v>-133408.022441138i</v>
      </c>
      <c r="AA250" s="192" t="str">
        <f t="shared" si="75"/>
        <v>22150.1592153998-18435.6898200868i</v>
      </c>
      <c r="AB250" s="192" t="str">
        <f t="shared" si="76"/>
        <v>1381.90263844297-9473.21527417629i</v>
      </c>
      <c r="AC250" s="192" t="str">
        <f t="shared" si="77"/>
        <v>16741.8147897441-18639.5784338731i</v>
      </c>
      <c r="AD250" s="192" t="str">
        <f t="shared" si="78"/>
        <v>4809.64576770839-4319.95814352324i</v>
      </c>
      <c r="AE250" s="192" t="str">
        <f t="shared" si="79"/>
        <v>-3.81932725257131+0.442367774921861i</v>
      </c>
      <c r="AF250" s="296"/>
      <c r="AG250" s="296"/>
      <c r="AH250" s="296"/>
      <c r="AI250" s="296"/>
      <c r="AJ250" s="296"/>
      <c r="AK250" s="296"/>
      <c r="AL250" s="296"/>
      <c r="AM250" s="296"/>
      <c r="AN250" s="296"/>
      <c r="AO250" s="296"/>
      <c r="AP250" s="296"/>
      <c r="AQ250" s="296"/>
      <c r="AR250" s="296"/>
      <c r="AS250" s="296"/>
    </row>
    <row r="251" spans="1:45" s="192" customFormat="1" x14ac:dyDescent="0.2">
      <c r="A251" s="301">
        <f t="shared" si="80"/>
        <v>9.9440000000000008</v>
      </c>
      <c r="B251" s="301">
        <f t="shared" si="81"/>
        <v>4.4199999999999937</v>
      </c>
      <c r="C251" s="320">
        <f t="shared" si="82"/>
        <v>26302.679918953458</v>
      </c>
      <c r="D251" s="302">
        <f t="shared" si="56"/>
        <v>9.9443011397767584</v>
      </c>
      <c r="E251" s="301">
        <f t="shared" si="57"/>
        <v>33.589008639049837</v>
      </c>
      <c r="G251" s="320"/>
      <c r="H251" s="315" t="str">
        <f t="shared" si="58"/>
        <v>1E+47-6.05090217355418E+50i</v>
      </c>
      <c r="I251" s="301" t="str">
        <f t="shared" si="59"/>
        <v>0.002-0.00559750432336188i</v>
      </c>
      <c r="J251" s="301" t="str">
        <f t="shared" si="60"/>
        <v>0.002-0.00559750432336188i</v>
      </c>
      <c r="K251" s="301"/>
      <c r="L251" s="301" t="str">
        <f t="shared" si="61"/>
        <v>0.00279077974666973-0.00462990188825978i</v>
      </c>
      <c r="M251" s="301" t="str">
        <f t="shared" si="62"/>
        <v>0.003+0.0495793836018648i</v>
      </c>
      <c r="N251" s="301" t="str">
        <f t="shared" si="63"/>
        <v>-0.0934527380752123-0.0741264157574927i</v>
      </c>
      <c r="O251" s="316">
        <f t="shared" si="64"/>
        <v>-18.468518772749238</v>
      </c>
      <c r="P251" s="316">
        <f t="shared" si="65"/>
        <v>-141.57866031421528</v>
      </c>
      <c r="Q251" s="301">
        <f t="shared" si="66"/>
        <v>165264.6120062159</v>
      </c>
      <c r="R251" s="301">
        <f t="shared" si="83"/>
        <v>4.4199999999999937</v>
      </c>
      <c r="S251" s="308">
        <f t="shared" si="67"/>
        <v>-1.8183405186245123</v>
      </c>
      <c r="T251" s="301" t="str">
        <f t="shared" si="68"/>
        <v>1+1.25810665533364i</v>
      </c>
      <c r="U251" s="303">
        <f t="shared" si="69"/>
        <v>11.76264165840127</v>
      </c>
      <c r="V251" s="301">
        <f t="shared" si="70"/>
        <v>175.16766895326512</v>
      </c>
      <c r="W251" s="301">
        <f t="shared" si="71"/>
        <v>53.89890238024654</v>
      </c>
      <c r="X251" s="303">
        <f t="shared" si="72"/>
        <v>-60.455278461341031</v>
      </c>
      <c r="Y251" s="192" t="str">
        <f t="shared" si="73"/>
        <v>244.276983673049-430.972870669657i</v>
      </c>
      <c r="Z251" s="192" t="str">
        <f t="shared" si="74"/>
        <v>-127403.672347068i</v>
      </c>
      <c r="AA251" s="192" t="str">
        <f t="shared" si="75"/>
        <v>22150.1592153998-17605.9470963738i</v>
      </c>
      <c r="AB251" s="192" t="str">
        <f t="shared" si="76"/>
        <v>1381.90263844297-9046.85035262341i</v>
      </c>
      <c r="AC251" s="192" t="str">
        <f t="shared" si="77"/>
        <v>16708.2274933238-18020.5439090175i</v>
      </c>
      <c r="AD251" s="192" t="str">
        <f t="shared" si="78"/>
        <v>4615.76713192524-4279.63149646236i</v>
      </c>
      <c r="AE251" s="192" t="str">
        <f t="shared" si="79"/>
        <v>-3.85998507595502+0.326325590705205i</v>
      </c>
      <c r="AF251" s="296"/>
      <c r="AG251" s="296"/>
      <c r="AH251" s="296"/>
      <c r="AI251" s="296"/>
      <c r="AJ251" s="296"/>
      <c r="AK251" s="296"/>
      <c r="AL251" s="296"/>
      <c r="AM251" s="296"/>
      <c r="AN251" s="296"/>
      <c r="AO251" s="296"/>
      <c r="AP251" s="296"/>
      <c r="AQ251" s="296"/>
      <c r="AR251" s="296"/>
      <c r="AS251" s="296"/>
    </row>
    <row r="252" spans="1:45" s="192" customFormat="1" x14ac:dyDescent="0.2">
      <c r="A252" s="301">
        <f t="shared" si="80"/>
        <v>9.2210000000000001</v>
      </c>
      <c r="B252" s="301">
        <f t="shared" si="81"/>
        <v>4.4399999999999942</v>
      </c>
      <c r="C252" s="320">
        <f t="shared" si="82"/>
        <v>27542.287033381279</v>
      </c>
      <c r="D252" s="302">
        <f t="shared" si="56"/>
        <v>9.2209449699698673</v>
      </c>
      <c r="E252" s="301">
        <f t="shared" si="57"/>
        <v>35.168606623753817</v>
      </c>
      <c r="G252" s="320"/>
      <c r="H252" s="315" t="str">
        <f t="shared" si="58"/>
        <v>1E+47-5.77856671448524E+50i</v>
      </c>
      <c r="I252" s="301" t="str">
        <f t="shared" si="59"/>
        <v>0.002-0.00534557512903353i</v>
      </c>
      <c r="J252" s="301" t="str">
        <f t="shared" si="60"/>
        <v>0.002-0.00534557512903353i</v>
      </c>
      <c r="K252" s="301"/>
      <c r="L252" s="301" t="str">
        <f t="shared" si="61"/>
        <v>0.00271145150654923-0.0044368229333356i</v>
      </c>
      <c r="M252" s="301" t="str">
        <f t="shared" si="62"/>
        <v>0.003+0.0519159879642792i</v>
      </c>
      <c r="N252" s="301" t="str">
        <f t="shared" si="63"/>
        <v>-0.0853430517773934-0.0673744832309482i</v>
      </c>
      <c r="O252" s="316">
        <f t="shared" si="64"/>
        <v>-19.272812190964231</v>
      </c>
      <c r="P252" s="316">
        <f t="shared" si="65"/>
        <v>-141.71050279937765</v>
      </c>
      <c r="Q252" s="301">
        <f t="shared" si="66"/>
        <v>173053.29321426409</v>
      </c>
      <c r="R252" s="301">
        <f t="shared" si="83"/>
        <v>4.4399999999999933</v>
      </c>
      <c r="S252" s="308">
        <f t="shared" si="67"/>
        <v>-2.6226339368395051</v>
      </c>
      <c r="T252" s="301" t="str">
        <f t="shared" si="68"/>
        <v>1+1.31739939529269i</v>
      </c>
      <c r="U252" s="303">
        <f t="shared" si="69"/>
        <v>11.843578906809372</v>
      </c>
      <c r="V252" s="301">
        <f t="shared" si="70"/>
        <v>176.87910942313147</v>
      </c>
      <c r="W252" s="301">
        <f t="shared" si="71"/>
        <v>53.593706051339524</v>
      </c>
      <c r="X252" s="303">
        <f t="shared" si="72"/>
        <v>-61.584339249573411</v>
      </c>
      <c r="Y252" s="192" t="str">
        <f t="shared" si="73"/>
        <v>227.598149007977-420.659111026803i</v>
      </c>
      <c r="Z252" s="192" t="str">
        <f t="shared" si="74"/>
        <v>-121669.562523354i</v>
      </c>
      <c r="AA252" s="192" t="str">
        <f t="shared" si="75"/>
        <v>22150.1592153998-16813.5489469226i</v>
      </c>
      <c r="AB252" s="192" t="str">
        <f t="shared" si="76"/>
        <v>1381.90263844297-8639.67501360076i</v>
      </c>
      <c r="AC252" s="192" t="str">
        <f t="shared" si="77"/>
        <v>16671.5543103321-17438.7670925306i</v>
      </c>
      <c r="AD252" s="192" t="str">
        <f t="shared" si="78"/>
        <v>4425.8737824678-4231.15893133819i</v>
      </c>
      <c r="AE252" s="192" t="str">
        <f t="shared" si="79"/>
        <v>-3.90422069461999+0.212872753517801i</v>
      </c>
      <c r="AF252" s="296"/>
      <c r="AG252" s="296"/>
      <c r="AH252" s="296"/>
      <c r="AI252" s="296"/>
      <c r="AJ252" s="296"/>
      <c r="AK252" s="296"/>
      <c r="AL252" s="296"/>
      <c r="AM252" s="296"/>
      <c r="AN252" s="296"/>
      <c r="AO252" s="296"/>
      <c r="AP252" s="296"/>
      <c r="AQ252" s="296"/>
      <c r="AR252" s="296"/>
      <c r="AS252" s="296"/>
    </row>
    <row r="253" spans="1:45" s="192" customFormat="1" x14ac:dyDescent="0.2">
      <c r="A253" s="301">
        <f t="shared" si="80"/>
        <v>8.5210000000000008</v>
      </c>
      <c r="B253" s="301">
        <f t="shared" si="81"/>
        <v>4.4599999999999929</v>
      </c>
      <c r="C253" s="320">
        <f t="shared" si="82"/>
        <v>28840.3150312656</v>
      </c>
      <c r="D253" s="302">
        <f t="shared" si="56"/>
        <v>8.5210763400349165</v>
      </c>
      <c r="E253" s="301">
        <f t="shared" si="57"/>
        <v>36.772049368696742</v>
      </c>
      <c r="G253" s="320"/>
      <c r="H253" s="315" t="str">
        <f t="shared" si="58"/>
        <v>1E+47-5.51848837016365E+50i</v>
      </c>
      <c r="I253" s="301" t="str">
        <f t="shared" si="59"/>
        <v>0.002-0.0051049846162476i</v>
      </c>
      <c r="J253" s="301" t="str">
        <f t="shared" si="60"/>
        <v>0.00199999999999999-0.0051049846162476i</v>
      </c>
      <c r="K253" s="301"/>
      <c r="L253" s="301" t="str">
        <f t="shared" si="61"/>
        <v>0.00263862307441525-0.00425054803867942i</v>
      </c>
      <c r="M253" s="301" t="str">
        <f t="shared" si="62"/>
        <v>0.003+0.0543627130976636i</v>
      </c>
      <c r="N253" s="301" t="str">
        <f t="shared" si="63"/>
        <v>-0.077909618479963-0.0614207357289873i</v>
      </c>
      <c r="O253" s="316">
        <f t="shared" si="64"/>
        <v>-20.068983081909444</v>
      </c>
      <c r="P253" s="316">
        <f t="shared" si="65"/>
        <v>-141.74920862656487</v>
      </c>
      <c r="Q253" s="301">
        <f t="shared" si="66"/>
        <v>181209.0436588786</v>
      </c>
      <c r="R253" s="301">
        <f t="shared" si="83"/>
        <v>4.4599999999999929</v>
      </c>
      <c r="S253" s="308">
        <f t="shared" si="67"/>
        <v>-3.4188048277847178</v>
      </c>
      <c r="T253" s="301" t="str">
        <f t="shared" si="68"/>
        <v>1+1.37948651599596i</v>
      </c>
      <c r="U253" s="303">
        <f t="shared" si="69"/>
        <v>11.939881167819635</v>
      </c>
      <c r="V253" s="301">
        <f t="shared" si="70"/>
        <v>178.52125799526161</v>
      </c>
      <c r="W253" s="301">
        <f t="shared" si="71"/>
        <v>53.28200989822782</v>
      </c>
      <c r="X253" s="303">
        <f t="shared" si="72"/>
        <v>-62.686062958897551</v>
      </c>
      <c r="Y253" s="192" t="str">
        <f t="shared" si="73"/>
        <v>211.731797953614-409.978124522899i</v>
      </c>
      <c r="Z253" s="192" t="str">
        <f t="shared" si="74"/>
        <v>-116193.530154275i</v>
      </c>
      <c r="AA253" s="192" t="str">
        <f t="shared" si="75"/>
        <v>22150.1592153998-16056.8145890196i</v>
      </c>
      <c r="AB253" s="192" t="str">
        <f t="shared" si="76"/>
        <v>1381.90263844297-8250.82558362337i</v>
      </c>
      <c r="AC253" s="192" t="str">
        <f t="shared" si="77"/>
        <v>16631.5275569491-16892.8781081748i</v>
      </c>
      <c r="AD253" s="192" t="str">
        <f t="shared" si="78"/>
        <v>4240.62239322983-4175.01551482146i</v>
      </c>
      <c r="AE253" s="192" t="str">
        <f t="shared" si="79"/>
        <v>-3.95229543291553+0.102027118312946i</v>
      </c>
      <c r="AF253" s="296"/>
      <c r="AG253" s="296"/>
      <c r="AH253" s="296"/>
      <c r="AI253" s="296"/>
      <c r="AJ253" s="296"/>
      <c r="AK253" s="296"/>
      <c r="AL253" s="296"/>
      <c r="AM253" s="296"/>
      <c r="AN253" s="296"/>
      <c r="AO253" s="296"/>
      <c r="AP253" s="296"/>
      <c r="AQ253" s="296"/>
      <c r="AR253" s="296"/>
      <c r="AS253" s="296"/>
    </row>
    <row r="254" spans="1:45" s="192" customFormat="1" x14ac:dyDescent="0.2">
      <c r="A254" s="301">
        <f t="shared" si="80"/>
        <v>7.8440000000000003</v>
      </c>
      <c r="B254" s="301">
        <f t="shared" si="81"/>
        <v>4.4799999999999933</v>
      </c>
      <c r="C254" s="320">
        <f t="shared" si="82"/>
        <v>30199.517204019674</v>
      </c>
      <c r="D254" s="302">
        <f t="shared" si="56"/>
        <v>7.8440775181555971</v>
      </c>
      <c r="E254" s="301">
        <f t="shared" si="57"/>
        <v>38.388035426400108</v>
      </c>
      <c r="G254" s="320"/>
      <c r="H254" s="315" t="str">
        <f t="shared" si="58"/>
        <v>1E+47-5.2701154795518E+50i</v>
      </c>
      <c r="I254" s="301" t="str">
        <f t="shared" si="59"/>
        <v>0.002-0.00487522246026994i</v>
      </c>
      <c r="J254" s="301" t="str">
        <f t="shared" si="60"/>
        <v>0.00200000000000001-0.00487522246026994i</v>
      </c>
      <c r="K254" s="301"/>
      <c r="L254" s="301" t="str">
        <f t="shared" si="61"/>
        <v>0.00257179951197286-0.00407099680226814i</v>
      </c>
      <c r="M254" s="301" t="str">
        <f t="shared" si="62"/>
        <v>0.003+0.0569247488340641i</v>
      </c>
      <c r="N254" s="301" t="str">
        <f t="shared" si="63"/>
        <v>-0.0711040360316061-0.0561545175344898i</v>
      </c>
      <c r="O254" s="316">
        <f t="shared" si="64"/>
        <v>-20.857037249074232</v>
      </c>
      <c r="P254" s="316">
        <f t="shared" si="65"/>
        <v>-141.70003297748269</v>
      </c>
      <c r="Q254" s="301">
        <f t="shared" si="66"/>
        <v>189749.16278021355</v>
      </c>
      <c r="R254" s="301">
        <f t="shared" si="83"/>
        <v>4.4799999999999924</v>
      </c>
      <c r="S254" s="308">
        <f t="shared" si="67"/>
        <v>-4.2068589949495045</v>
      </c>
      <c r="T254" s="301" t="str">
        <f t="shared" si="68"/>
        <v>1+1.44449971255064i</v>
      </c>
      <c r="U254" s="303">
        <f t="shared" si="69"/>
        <v>12.050936513105102</v>
      </c>
      <c r="V254" s="301">
        <f t="shared" si="70"/>
        <v>180.0880684038828</v>
      </c>
      <c r="W254" s="301">
        <f t="shared" si="71"/>
        <v>52.964139523914675</v>
      </c>
      <c r="X254" s="303">
        <f t="shared" si="72"/>
        <v>-63.759591695234107</v>
      </c>
      <c r="Y254" s="192" t="str">
        <f t="shared" si="73"/>
        <v>196.682332719293-399.000690223899i</v>
      </c>
      <c r="Z254" s="192" t="str">
        <f t="shared" si="74"/>
        <v>-110963.959840991i</v>
      </c>
      <c r="AA254" s="192" t="str">
        <f t="shared" si="75"/>
        <v>22150.1592153998-15334.1388876346i</v>
      </c>
      <c r="AB254" s="192" t="str">
        <f t="shared" si="76"/>
        <v>1381.90263844297-7879.47726091631i</v>
      </c>
      <c r="AC254" s="192" t="str">
        <f t="shared" si="77"/>
        <v>16587.8594243797-16381.5648837428i</v>
      </c>
      <c r="AD254" s="192" t="str">
        <f t="shared" si="78"/>
        <v>4060.59969273245-4111.73519500391i</v>
      </c>
      <c r="AE254" s="192" t="str">
        <f t="shared" si="79"/>
        <v>-4.0044816934284-0.00615522804396048i</v>
      </c>
      <c r="AF254" s="296"/>
      <c r="AG254" s="296"/>
      <c r="AH254" s="296"/>
      <c r="AI254" s="296"/>
      <c r="AJ254" s="296"/>
      <c r="AK254" s="296"/>
      <c r="AL254" s="296"/>
      <c r="AM254" s="296"/>
      <c r="AN254" s="296"/>
      <c r="AO254" s="296"/>
      <c r="AP254" s="296"/>
      <c r="AQ254" s="296"/>
      <c r="AR254" s="296"/>
      <c r="AS254" s="296"/>
    </row>
    <row r="255" spans="1:45" s="192" customFormat="1" x14ac:dyDescent="0.2">
      <c r="A255" s="301">
        <f t="shared" si="80"/>
        <v>7.1890000000000001</v>
      </c>
      <c r="B255" s="301">
        <f t="shared" si="81"/>
        <v>4.499999999999992</v>
      </c>
      <c r="C255" s="320">
        <f t="shared" si="82"/>
        <v>31622.776601683221</v>
      </c>
      <c r="D255" s="302">
        <f t="shared" si="56"/>
        <v>7.1892853166611701</v>
      </c>
      <c r="E255" s="301">
        <f t="shared" si="57"/>
        <v>40.006061846970141</v>
      </c>
      <c r="G255" s="320"/>
      <c r="H255" s="315" t="str">
        <f t="shared" si="58"/>
        <v>1E+47-5.03292121044881E+50i</v>
      </c>
      <c r="I255" s="301" t="str">
        <f t="shared" si="59"/>
        <v>0.002-0.00465580130476299i</v>
      </c>
      <c r="J255" s="301" t="str">
        <f t="shared" si="60"/>
        <v>0.002-0.00465580130476299i</v>
      </c>
      <c r="K255" s="301"/>
      <c r="L255" s="301" t="str">
        <f t="shared" si="61"/>
        <v>0.00251051736603893-0.00389806672504279i</v>
      </c>
      <c r="M255" s="301" t="str">
        <f t="shared" si="62"/>
        <v>0.003+0.0596075295947755i</v>
      </c>
      <c r="N255" s="301" t="str">
        <f t="shared" si="63"/>
        <v>-0.0648790011132871-0.0514819939131594i</v>
      </c>
      <c r="O255" s="316">
        <f t="shared" si="64"/>
        <v>-21.636961128381262</v>
      </c>
      <c r="P255" s="316">
        <f t="shared" si="65"/>
        <v>-141.56772530658716</v>
      </c>
      <c r="Q255" s="301">
        <f t="shared" si="66"/>
        <v>198691.76531591843</v>
      </c>
      <c r="R255" s="301">
        <f t="shared" si="83"/>
        <v>4.499999999999992</v>
      </c>
      <c r="S255" s="308">
        <f t="shared" si="67"/>
        <v>-4.9867828742565354</v>
      </c>
      <c r="T255" s="301" t="str">
        <f t="shared" si="68"/>
        <v>1+1.5125768866631i</v>
      </c>
      <c r="U255" s="303">
        <f t="shared" si="69"/>
        <v>12.176068190917706</v>
      </c>
      <c r="V255" s="301">
        <f t="shared" si="70"/>
        <v>181.5737871535573</v>
      </c>
      <c r="W255" s="301">
        <f t="shared" si="71"/>
        <v>52.6404208648772</v>
      </c>
      <c r="X255" s="303">
        <f t="shared" si="72"/>
        <v>-64.804251034476536</v>
      </c>
      <c r="Y255" s="192" t="str">
        <f t="shared" si="73"/>
        <v>182.447155120291-387.794621236482i</v>
      </c>
      <c r="Z255" s="192" t="str">
        <f t="shared" si="74"/>
        <v>-105969.758963727i</v>
      </c>
      <c r="AA255" s="192" t="str">
        <f t="shared" si="75"/>
        <v>22150.1592153998-14643.988950714i</v>
      </c>
      <c r="AB255" s="192" t="str">
        <f t="shared" si="76"/>
        <v>1381.90263844297-7524.84236589958i</v>
      </c>
      <c r="AC255" s="192" t="str">
        <f t="shared" si="77"/>
        <v>16540.2410773678-15903.5680912604i</v>
      </c>
      <c r="AD255" s="192" t="str">
        <f t="shared" si="78"/>
        <v>3886.31684558053-4041.89909837038i</v>
      </c>
      <c r="AE255" s="192" t="str">
        <f t="shared" si="79"/>
        <v>-4.06106140321838-0.111576352706307i</v>
      </c>
      <c r="AF255" s="296"/>
      <c r="AG255" s="296"/>
      <c r="AH255" s="296"/>
      <c r="AI255" s="296"/>
      <c r="AJ255" s="296"/>
      <c r="AK255" s="296"/>
      <c r="AL255" s="296"/>
      <c r="AM255" s="296"/>
      <c r="AN255" s="296"/>
      <c r="AO255" s="296"/>
      <c r="AP255" s="296"/>
      <c r="AQ255" s="296"/>
      <c r="AR255" s="296"/>
      <c r="AS255" s="296"/>
    </row>
    <row r="256" spans="1:45" s="192" customFormat="1" x14ac:dyDescent="0.2">
      <c r="A256" s="301">
        <f t="shared" si="80"/>
        <v>6.556</v>
      </c>
      <c r="B256" s="301">
        <f t="shared" si="81"/>
        <v>4.5199999999999916</v>
      </c>
      <c r="C256" s="320">
        <f t="shared" si="82"/>
        <v>33113.1121482585</v>
      </c>
      <c r="D256" s="302">
        <f t="shared" si="56"/>
        <v>6.5559989357651061</v>
      </c>
      <c r="E256" s="301">
        <f t="shared" si="57"/>
        <v>41.61635627856387</v>
      </c>
      <c r="G256" s="320"/>
      <c r="H256" s="315" t="str">
        <f t="shared" si="58"/>
        <v>1E+47-4.80640244200862E+50i</v>
      </c>
      <c r="I256" s="301" t="str">
        <f t="shared" si="59"/>
        <v>0.002-0.00444625572803758i</v>
      </c>
      <c r="J256" s="301" t="str">
        <f t="shared" si="60"/>
        <v>0.002-0.00444625572803757i</v>
      </c>
      <c r="K256" s="301"/>
      <c r="L256" s="301" t="str">
        <f t="shared" si="61"/>
        <v>0.00245434372450953-0.00373163686670645i</v>
      </c>
      <c r="M256" s="301" t="str">
        <f t="shared" si="62"/>
        <v>0.003+0.0624167459174783i</v>
      </c>
      <c r="N256" s="301" t="str">
        <f t="shared" si="63"/>
        <v>-0.0591890958362534-0.0473234427415087i</v>
      </c>
      <c r="O256" s="316">
        <f t="shared" si="64"/>
        <v>-22.408719751351885</v>
      </c>
      <c r="P256" s="316">
        <f t="shared" si="65"/>
        <v>-141.35662453167967</v>
      </c>
      <c r="Q256" s="301">
        <f t="shared" si="66"/>
        <v>208055.81972492769</v>
      </c>
      <c r="R256" s="301">
        <f t="shared" si="83"/>
        <v>4.5199999999999916</v>
      </c>
      <c r="S256" s="308">
        <f t="shared" si="67"/>
        <v>-5.7585414972271574</v>
      </c>
      <c r="T256" s="301" t="str">
        <f t="shared" si="68"/>
        <v>1+1.58386243914688i</v>
      </c>
      <c r="U256" s="303">
        <f t="shared" si="69"/>
        <v>12.314540432992263</v>
      </c>
      <c r="V256" s="301">
        <f t="shared" si="70"/>
        <v>182.97298081024354</v>
      </c>
      <c r="W256" s="301">
        <f t="shared" si="71"/>
        <v>52.311177543499817</v>
      </c>
      <c r="X256" s="303">
        <f t="shared" si="72"/>
        <v>-65.819541366469323</v>
      </c>
      <c r="Y256" s="192" t="str">
        <f t="shared" si="73"/>
        <v>169.017418783404-376.42412445302i</v>
      </c>
      <c r="Z256" s="192" t="str">
        <f t="shared" si="74"/>
        <v>-101200.334152838i</v>
      </c>
      <c r="AA256" s="192" t="str">
        <f t="shared" si="75"/>
        <v>22150.1592153998-13984.9008777117i</v>
      </c>
      <c r="AB256" s="192" t="str">
        <f t="shared" si="76"/>
        <v>1381.90263844297-7186.16867041411i</v>
      </c>
      <c r="AC256" s="192" t="str">
        <f t="shared" si="77"/>
        <v>16488.3418428695-15457.6759639723i</v>
      </c>
      <c r="AD256" s="192" t="str">
        <f t="shared" si="78"/>
        <v>3718.20599729467-3966.12347603173i</v>
      </c>
      <c r="AE256" s="192" t="str">
        <f t="shared" si="79"/>
        <v>-4.12232390458965-0.214092570026229i</v>
      </c>
      <c r="AF256" s="296"/>
      <c r="AG256" s="296"/>
      <c r="AH256" s="296"/>
      <c r="AI256" s="296"/>
      <c r="AJ256" s="296"/>
      <c r="AK256" s="296"/>
      <c r="AL256" s="296"/>
      <c r="AM256" s="296"/>
      <c r="AN256" s="296"/>
      <c r="AO256" s="296"/>
      <c r="AP256" s="296"/>
      <c r="AQ256" s="296"/>
      <c r="AR256" s="296"/>
      <c r="AS256" s="296"/>
    </row>
    <row r="257" spans="1:45" s="192" customFormat="1" x14ac:dyDescent="0.2">
      <c r="A257" s="301">
        <f t="shared" si="80"/>
        <v>5.9429999999999996</v>
      </c>
      <c r="B257" s="301">
        <f t="shared" si="81"/>
        <v>4.539999999999992</v>
      </c>
      <c r="C257" s="320">
        <f t="shared" si="82"/>
        <v>34673.685045252525</v>
      </c>
      <c r="D257" s="302">
        <f t="shared" si="56"/>
        <v>5.9434864811306651</v>
      </c>
      <c r="E257" s="301">
        <f t="shared" si="57"/>
        <v>43.209814511849231</v>
      </c>
      <c r="G257" s="320"/>
      <c r="H257" s="315" t="str">
        <f t="shared" si="58"/>
        <v>1E+47-4.59007869755357E+50i</v>
      </c>
      <c r="I257" s="301" t="str">
        <f t="shared" si="59"/>
        <v>0.002-0.00424614125583123i</v>
      </c>
      <c r="J257" s="301" t="str">
        <f t="shared" si="60"/>
        <v>0.002-0.00424614125583123i</v>
      </c>
      <c r="K257" s="301"/>
      <c r="L257" s="301" t="str">
        <f t="shared" si="61"/>
        <v>0.00240287509409979-0.00357157111629874i</v>
      </c>
      <c r="M257" s="301" t="str">
        <f t="shared" si="62"/>
        <v>0.003+0.065358356526631i</v>
      </c>
      <c r="N257" s="301" t="str">
        <f t="shared" si="63"/>
        <v>-0.0539912594749766-0.043610993958032i</v>
      </c>
      <c r="O257" s="316">
        <f t="shared" si="64"/>
        <v>-23.172256172428014</v>
      </c>
      <c r="P257" s="316">
        <f t="shared" si="65"/>
        <v>-141.07074233005849</v>
      </c>
      <c r="Q257" s="301">
        <f t="shared" si="66"/>
        <v>217861.18842210321</v>
      </c>
      <c r="R257" s="301">
        <f t="shared" si="83"/>
        <v>4.5399999999999912</v>
      </c>
      <c r="S257" s="308">
        <f t="shared" si="67"/>
        <v>-6.5220779183032898</v>
      </c>
      <c r="T257" s="301" t="str">
        <f t="shared" si="68"/>
        <v>1+1.65850757621623i</v>
      </c>
      <c r="U257" s="303">
        <f t="shared" si="69"/>
        <v>12.465564399433955</v>
      </c>
      <c r="V257" s="301">
        <f t="shared" si="70"/>
        <v>184.28055684190772</v>
      </c>
      <c r="W257" s="301">
        <f t="shared" si="71"/>
        <v>51.976728528430172</v>
      </c>
      <c r="X257" s="303">
        <f t="shared" si="72"/>
        <v>-66.805127752887444</v>
      </c>
      <c r="Y257" s="192" t="str">
        <f t="shared" si="73"/>
        <v>156.378814292244-364.949310452708i</v>
      </c>
      <c r="Z257" s="192" t="str">
        <f t="shared" si="74"/>
        <v>-96645.5688188517i</v>
      </c>
      <c r="AA257" s="192" t="str">
        <f t="shared" si="75"/>
        <v>22150.1592153998-13355.4766544594i</v>
      </c>
      <c r="AB257" s="192" t="str">
        <f t="shared" si="76"/>
        <v>1381.90263844297-6862.737802145i</v>
      </c>
      <c r="AC257" s="192" t="str">
        <f t="shared" si="77"/>
        <v>16431.8085239452-15042.7189668933i</v>
      </c>
      <c r="AD257" s="192" t="str">
        <f t="shared" si="78"/>
        <v>3556.61891846221-3885.0477223854i</v>
      </c>
      <c r="AE257" s="192" t="str">
        <f t="shared" si="79"/>
        <v>-4.18856318633204-0.31351027165185i</v>
      </c>
      <c r="AF257" s="296"/>
      <c r="AG257" s="296"/>
      <c r="AH257" s="296"/>
      <c r="AI257" s="296"/>
      <c r="AJ257" s="296"/>
      <c r="AK257" s="296"/>
      <c r="AL257" s="296"/>
      <c r="AM257" s="296"/>
      <c r="AN257" s="296"/>
      <c r="AO257" s="296"/>
      <c r="AP257" s="296"/>
      <c r="AQ257" s="296"/>
      <c r="AR257" s="296"/>
      <c r="AS257" s="296"/>
    </row>
    <row r="258" spans="1:45" s="192" customFormat="1" x14ac:dyDescent="0.2">
      <c r="A258" s="301">
        <f t="shared" si="80"/>
        <v>5.351</v>
      </c>
      <c r="B258" s="301">
        <f t="shared" si="81"/>
        <v>4.5599999999999907</v>
      </c>
      <c r="C258" s="320">
        <f t="shared" si="82"/>
        <v>36307.805477009388</v>
      </c>
      <c r="D258" s="302">
        <f t="shared" si="56"/>
        <v>5.3509902786776848</v>
      </c>
      <c r="E258" s="301">
        <f t="shared" si="57"/>
        <v>44.777942361253764</v>
      </c>
      <c r="G258" s="320"/>
      <c r="H258" s="315" t="str">
        <f t="shared" si="58"/>
        <v>1E+47-4.38349112541859E+50i</v>
      </c>
      <c r="I258" s="301" t="str">
        <f t="shared" si="59"/>
        <v>0.002-0.0040550334185186i</v>
      </c>
      <c r="J258" s="301" t="str">
        <f t="shared" si="60"/>
        <v>0.002-0.0040550334185186i</v>
      </c>
      <c r="K258" s="301"/>
      <c r="L258" s="301" t="str">
        <f t="shared" si="61"/>
        <v>0.00235573614931729-0.00341772110133243i</v>
      </c>
      <c r="M258" s="301" t="str">
        <f t="shared" si="62"/>
        <v>0.003+0.068438600972724i</v>
      </c>
      <c r="N258" s="301" t="str">
        <f t="shared" si="63"/>
        <v>-0.0492450414677574-0.040286744861989i</v>
      </c>
      <c r="O258" s="316">
        <f t="shared" si="64"/>
        <v>-23.927492053202197</v>
      </c>
      <c r="P258" s="316">
        <f t="shared" si="65"/>
        <v>-140.71383593271457</v>
      </c>
      <c r="Q258" s="301">
        <f t="shared" si="66"/>
        <v>228128.66990907988</v>
      </c>
      <c r="R258" s="301">
        <f t="shared" si="83"/>
        <v>4.5599999999999907</v>
      </c>
      <c r="S258" s="308">
        <f t="shared" si="67"/>
        <v>-7.2773137990774721</v>
      </c>
      <c r="T258" s="301" t="str">
        <f t="shared" si="68"/>
        <v>1+1.73667063021471i</v>
      </c>
      <c r="U258" s="303">
        <f t="shared" si="69"/>
        <v>12.628304077755157</v>
      </c>
      <c r="V258" s="301">
        <f t="shared" si="70"/>
        <v>185.49177829396834</v>
      </c>
      <c r="W258" s="301">
        <f t="shared" si="71"/>
        <v>51.637386110635617</v>
      </c>
      <c r="X258" s="303">
        <f t="shared" si="72"/>
        <v>-67.760828685041247</v>
      </c>
      <c r="Y258" s="192" t="str">
        <f t="shared" si="73"/>
        <v>144.512361001513-353.425845503074i</v>
      </c>
      <c r="Z258" s="192" t="str">
        <f t="shared" si="74"/>
        <v>-92295.8016938284i</v>
      </c>
      <c r="AA258" s="192" t="str">
        <f t="shared" si="75"/>
        <v>22150.1592153998-12754.3811877911i</v>
      </c>
      <c r="AB258" s="192" t="str">
        <f t="shared" si="76"/>
        <v>1381.90263844297-6553.86372085754i</v>
      </c>
      <c r="AC258" s="192" t="str">
        <f t="shared" si="77"/>
        <v>16370.2648800841-14657.5643001323i</v>
      </c>
      <c r="AD258" s="192" t="str">
        <f t="shared" si="78"/>
        <v>3401.82760050041-3799.32284493337i</v>
      </c>
      <c r="AE258" s="192" t="str">
        <f t="shared" si="79"/>
        <v>-4.26007434021038-0.409581541297777i</v>
      </c>
      <c r="AF258" s="296"/>
      <c r="AG258" s="296"/>
      <c r="AH258" s="296"/>
      <c r="AI258" s="296"/>
      <c r="AJ258" s="296"/>
      <c r="AK258" s="296"/>
      <c r="AL258" s="296"/>
      <c r="AM258" s="296"/>
      <c r="AN258" s="296"/>
      <c r="AO258" s="296"/>
      <c r="AP258" s="296"/>
      <c r="AQ258" s="296"/>
      <c r="AR258" s="296"/>
      <c r="AS258" s="296"/>
    </row>
    <row r="259" spans="1:45" s="192" customFormat="1" x14ac:dyDescent="0.2">
      <c r="A259" s="301">
        <f t="shared" si="80"/>
        <v>4.7779999999999996</v>
      </c>
      <c r="B259" s="301">
        <f t="shared" si="81"/>
        <v>4.5799999999999912</v>
      </c>
      <c r="C259" s="320">
        <f t="shared" si="82"/>
        <v>38018.939632055335</v>
      </c>
      <c r="D259" s="302">
        <f t="shared" si="56"/>
        <v>4.7777310510688924</v>
      </c>
      <c r="E259" s="301">
        <f t="shared" si="57"/>
        <v>46.312801243405289</v>
      </c>
      <c r="G259" s="320"/>
      <c r="H259" s="315" t="str">
        <f t="shared" si="58"/>
        <v>1E+47-4.18620152566552E+50i</v>
      </c>
      <c r="I259" s="301" t="str">
        <f t="shared" si="59"/>
        <v>0.002-0.00387252685075441i</v>
      </c>
      <c r="J259" s="301" t="str">
        <f t="shared" si="60"/>
        <v>0.002-0.00387252685075441i</v>
      </c>
      <c r="K259" s="301"/>
      <c r="L259" s="301" t="str">
        <f t="shared" si="61"/>
        <v>0.00231257839428665-0.00326992876108942i</v>
      </c>
      <c r="M259" s="301" t="str">
        <f t="shared" si="62"/>
        <v>0.003+0.0716640128672033i</v>
      </c>
      <c r="N259" s="301" t="str">
        <f t="shared" si="63"/>
        <v>-0.0449127042283927-0.037301188980632i</v>
      </c>
      <c r="O259" s="316">
        <f t="shared" si="64"/>
        <v>-24.674329173919155</v>
      </c>
      <c r="P259" s="316">
        <f t="shared" si="65"/>
        <v>-140.2894715665183</v>
      </c>
      <c r="Q259" s="301">
        <f t="shared" si="66"/>
        <v>238880.04289067775</v>
      </c>
      <c r="R259" s="301">
        <f t="shared" si="83"/>
        <v>4.5799999999999903</v>
      </c>
      <c r="S259" s="308">
        <f t="shared" si="67"/>
        <v>-8.0241509197944278</v>
      </c>
      <c r="T259" s="301" t="str">
        <f t="shared" si="68"/>
        <v>1+1.81851739545937i</v>
      </c>
      <c r="U259" s="303">
        <f t="shared" si="69"/>
        <v>12.80188197086332</v>
      </c>
      <c r="V259" s="301">
        <f t="shared" si="70"/>
        <v>186.60227280992359</v>
      </c>
      <c r="W259" s="301">
        <f t="shared" si="71"/>
        <v>51.293454193251797</v>
      </c>
      <c r="X259" s="303">
        <f t="shared" si="72"/>
        <v>-68.686604101220141</v>
      </c>
      <c r="Y259" s="192" t="str">
        <f t="shared" si="73"/>
        <v>133.395183347974-341.904733870819i</v>
      </c>
      <c r="Z259" s="192" t="str">
        <f t="shared" si="74"/>
        <v>-88141.8063385108i</v>
      </c>
      <c r="AA259" s="192" t="str">
        <f t="shared" si="75"/>
        <v>22150.1592153998-12180.3394736318i</v>
      </c>
      <c r="AB259" s="192" t="str">
        <f t="shared" si="76"/>
        <v>1381.90263844297-6258.8912632138i</v>
      </c>
      <c r="AC259" s="192" t="str">
        <f t="shared" si="77"/>
        <v>16303.311321847-14301.1102177367i</v>
      </c>
      <c r="AD259" s="192" t="str">
        <f t="shared" si="78"/>
        <v>3254.02658925351-3709.60070417275i</v>
      </c>
      <c r="AE259" s="192" t="str">
        <f t="shared" si="79"/>
        <v>-4.33714911728345-0.501999624678527i</v>
      </c>
      <c r="AF259" s="296"/>
      <c r="AG259" s="296"/>
      <c r="AH259" s="296"/>
      <c r="AI259" s="296"/>
      <c r="AJ259" s="296"/>
      <c r="AK259" s="296"/>
      <c r="AL259" s="296"/>
      <c r="AM259" s="296"/>
      <c r="AN259" s="296"/>
      <c r="AO259" s="296"/>
      <c r="AP259" s="296"/>
      <c r="AQ259" s="296"/>
      <c r="AR259" s="296"/>
      <c r="AS259" s="296"/>
    </row>
    <row r="260" spans="1:45" s="192" customFormat="1" x14ac:dyDescent="0.2">
      <c r="A260" s="301">
        <f t="shared" si="80"/>
        <v>4.2229999999999999</v>
      </c>
      <c r="B260" s="301">
        <f t="shared" si="81"/>
        <v>4.5999999999999899</v>
      </c>
      <c r="C260" s="320">
        <f t="shared" si="82"/>
        <v>39810.717055348825</v>
      </c>
      <c r="D260" s="302">
        <f t="shared" si="56"/>
        <v>4.2229109901219779</v>
      </c>
      <c r="E260" s="301">
        <f t="shared" si="57"/>
        <v>47.806957230642126</v>
      </c>
      <c r="G260" s="320"/>
      <c r="H260" s="315" t="str">
        <f t="shared" si="58"/>
        <v>1E+47-3.99779142060221E+50i</v>
      </c>
      <c r="I260" s="301" t="str">
        <f t="shared" si="59"/>
        <v>0.002-0.00369823443163941i</v>
      </c>
      <c r="J260" s="301" t="str">
        <f t="shared" si="60"/>
        <v>0.002-0.0036982344316394i</v>
      </c>
      <c r="K260" s="301"/>
      <c r="L260" s="301" t="str">
        <f t="shared" si="61"/>
        <v>0.00227307877202464-0.00312802861047104i</v>
      </c>
      <c r="M260" s="301" t="str">
        <f t="shared" si="62"/>
        <v>0.003+0.0750414337411354i</v>
      </c>
      <c r="N260" s="301" t="str">
        <f t="shared" si="63"/>
        <v>-0.0409592245072324-0.0346119055935368i</v>
      </c>
      <c r="O260" s="316">
        <f t="shared" si="64"/>
        <v>-25.412651697141438</v>
      </c>
      <c r="P260" s="316">
        <f t="shared" si="65"/>
        <v>-139.80107946352112</v>
      </c>
      <c r="Q260" s="301">
        <f t="shared" si="66"/>
        <v>250138.11247045151</v>
      </c>
      <c r="R260" s="301">
        <f t="shared" si="83"/>
        <v>4.5999999999999899</v>
      </c>
      <c r="S260" s="308">
        <f t="shared" si="67"/>
        <v>-8.762473443016713</v>
      </c>
      <c r="T260" s="301" t="str">
        <f t="shared" si="68"/>
        <v>1+1.90422147991267i</v>
      </c>
      <c r="U260" s="303">
        <f t="shared" si="69"/>
        <v>12.985384433138691</v>
      </c>
      <c r="V260" s="301">
        <f t="shared" si="70"/>
        <v>187.60803669416325</v>
      </c>
      <c r="W260" s="301">
        <f t="shared" si="71"/>
        <v>50.945226885319705</v>
      </c>
      <c r="X260" s="303">
        <f t="shared" si="72"/>
        <v>-69.582542988551609</v>
      </c>
      <c r="Y260" s="192" t="str">
        <f t="shared" si="73"/>
        <v>123.001253810524-330.43221613773i</v>
      </c>
      <c r="Z260" s="192" t="str">
        <f t="shared" si="74"/>
        <v>-84174.7715718156i</v>
      </c>
      <c r="AA260" s="192" t="str">
        <f t="shared" si="75"/>
        <v>22150.1592153998-11632.1338925426i</v>
      </c>
      <c r="AB260" s="192" t="str">
        <f t="shared" si="76"/>
        <v>1381.90263844297-5977.19475308352i</v>
      </c>
      <c r="AC260" s="192" t="str">
        <f t="shared" si="77"/>
        <v>16230.524874807-13972.280149702i</v>
      </c>
      <c r="AD260" s="192" t="str">
        <f t="shared" si="78"/>
        <v>3113.33679620212-3616.52427327607i</v>
      </c>
      <c r="AE260" s="192" t="str">
        <f t="shared" si="79"/>
        <v>-4.42007045037177-0.590394353148525i</v>
      </c>
      <c r="AF260" s="296"/>
      <c r="AG260" s="296"/>
      <c r="AH260" s="296"/>
      <c r="AI260" s="296"/>
      <c r="AJ260" s="296"/>
      <c r="AK260" s="296"/>
      <c r="AL260" s="296"/>
      <c r="AM260" s="296"/>
      <c r="AN260" s="296"/>
      <c r="AO260" s="296"/>
      <c r="AP260" s="296"/>
      <c r="AQ260" s="296"/>
      <c r="AR260" s="296"/>
      <c r="AS260" s="296"/>
    </row>
    <row r="261" spans="1:45" s="192" customFormat="1" x14ac:dyDescent="0.2">
      <c r="A261" s="301">
        <f t="shared" si="80"/>
        <v>3.6859999999999999</v>
      </c>
      <c r="B261" s="301">
        <f t="shared" si="81"/>
        <v>4.6199999999999903</v>
      </c>
      <c r="C261" s="320">
        <f t="shared" si="82"/>
        <v>41686.938347032592</v>
      </c>
      <c r="D261" s="302">
        <f t="shared" si="56"/>
        <v>3.6857157508095604</v>
      </c>
      <c r="E261" s="301">
        <f t="shared" si="57"/>
        <v>49.253433708512262</v>
      </c>
      <c r="G261" s="320"/>
      <c r="H261" s="315" t="str">
        <f t="shared" si="58"/>
        <v>1E+47-3.81786116713522E+50i</v>
      </c>
      <c r="I261" s="301" t="str">
        <f t="shared" si="59"/>
        <v>0.002-0.00353178646358484i</v>
      </c>
      <c r="J261" s="301" t="str">
        <f t="shared" si="60"/>
        <v>0.002-0.00353178646358484i</v>
      </c>
      <c r="K261" s="301"/>
      <c r="L261" s="301" t="str">
        <f t="shared" si="61"/>
        <v>0.00223693824956341-0.0029918497208118i</v>
      </c>
      <c r="M261" s="301" t="str">
        <f t="shared" si="62"/>
        <v>0.003+0.0785780275570129i</v>
      </c>
      <c r="N261" s="301" t="str">
        <f t="shared" si="63"/>
        <v>-0.037352227842555-0.0321824654969318i</v>
      </c>
      <c r="O261" s="316">
        <f t="shared" si="64"/>
        <v>-26.142329045396174</v>
      </c>
      <c r="P261" s="316">
        <f t="shared" si="65"/>
        <v>-139.25200114933466</v>
      </c>
      <c r="Q261" s="301">
        <f t="shared" si="66"/>
        <v>261926.75852337645</v>
      </c>
      <c r="R261" s="301">
        <f t="shared" si="83"/>
        <v>4.6199999999999894</v>
      </c>
      <c r="S261" s="308">
        <f t="shared" si="67"/>
        <v>-9.4921507912714489</v>
      </c>
      <c r="T261" s="301" t="str">
        <f t="shared" si="68"/>
        <v>1+1.99396467342829i</v>
      </c>
      <c r="U261" s="303">
        <f t="shared" si="69"/>
        <v>13.177866542081009</v>
      </c>
      <c r="V261" s="301">
        <f t="shared" si="70"/>
        <v>188.50543485784692</v>
      </c>
      <c r="W261" s="301">
        <f t="shared" si="71"/>
        <v>50.592987383236647</v>
      </c>
      <c r="X261" s="303">
        <f t="shared" si="72"/>
        <v>-70.448850854598192</v>
      </c>
      <c r="Y261" s="192" t="str">
        <f t="shared" si="73"/>
        <v>113.302088940504-319.049767809219i</v>
      </c>
      <c r="Z261" s="192" t="str">
        <f t="shared" si="74"/>
        <v>-80386.2827811314i</v>
      </c>
      <c r="AA261" s="192" t="str">
        <f t="shared" si="75"/>
        <v>22150.1592153998-11108.6016269869i</v>
      </c>
      <c r="AB261" s="192" t="str">
        <f t="shared" si="76"/>
        <v>1381.90263844297-5708.17667440101i</v>
      </c>
      <c r="AC261" s="192" t="str">
        <f t="shared" si="77"/>
        <v>16151.459475102-13670.0166213174i</v>
      </c>
      <c r="AD261" s="192" t="str">
        <f t="shared" si="78"/>
        <v>2979.81050043535-3520.71909453371i</v>
      </c>
      <c r="AE261" s="192" t="str">
        <f t="shared" si="79"/>
        <v>-4.50910580396908-0.674327653576347i</v>
      </c>
      <c r="AF261" s="296"/>
      <c r="AG261" s="296"/>
      <c r="AH261" s="296"/>
      <c r="AI261" s="296"/>
      <c r="AJ261" s="296"/>
      <c r="AK261" s="296"/>
      <c r="AL261" s="296"/>
      <c r="AM261" s="296"/>
      <c r="AN261" s="296"/>
      <c r="AO261" s="296"/>
      <c r="AP261" s="296"/>
      <c r="AQ261" s="296"/>
      <c r="AR261" s="296"/>
      <c r="AS261" s="296"/>
    </row>
    <row r="262" spans="1:45" s="192" customFormat="1" x14ac:dyDescent="0.2">
      <c r="A262" s="301">
        <f t="shared" si="80"/>
        <v>3.165</v>
      </c>
      <c r="B262" s="301">
        <f t="shared" si="81"/>
        <v>4.639999999999989</v>
      </c>
      <c r="C262" s="320">
        <f t="shared" si="82"/>
        <v>43651.583224015514</v>
      </c>
      <c r="D262" s="302">
        <f t="shared" si="56"/>
        <v>3.16531539971567</v>
      </c>
      <c r="E262" s="301">
        <f t="shared" si="57"/>
        <v>50.645668042784621</v>
      </c>
      <c r="G262" s="320"/>
      <c r="H262" s="315" t="str">
        <f t="shared" si="58"/>
        <v>1E+47-3.64602910907328E+50i</v>
      </c>
      <c r="I262" s="301" t="str">
        <f t="shared" si="59"/>
        <v>0.002-0.0033728298881344i</v>
      </c>
      <c r="J262" s="301" t="str">
        <f t="shared" si="60"/>
        <v>0.002-0.0033728298881344i</v>
      </c>
      <c r="K262" s="301"/>
      <c r="L262" s="301" t="str">
        <f t="shared" si="61"/>
        <v>0.00220388040190276-0.00286121744349646i</v>
      </c>
      <c r="M262" s="301" t="str">
        <f t="shared" si="62"/>
        <v>0.003+0.0822812959044783i</v>
      </c>
      <c r="N262" s="301" t="str">
        <f t="shared" si="63"/>
        <v>-0.0340618804755294-0.0299815160133737i</v>
      </c>
      <c r="O262" s="316">
        <f t="shared" si="64"/>
        <v>-26.863219278135738</v>
      </c>
      <c r="P262" s="316">
        <f t="shared" si="65"/>
        <v>-138.64552954594032</v>
      </c>
      <c r="Q262" s="301">
        <f t="shared" si="66"/>
        <v>274270.98634826118</v>
      </c>
      <c r="R262" s="301">
        <f t="shared" si="83"/>
        <v>4.639999999999989</v>
      </c>
      <c r="S262" s="308">
        <f t="shared" si="67"/>
        <v>-10.213041024011012</v>
      </c>
      <c r="T262" s="301" t="str">
        <f t="shared" si="68"/>
        <v>1+2.08793733335174i</v>
      </c>
      <c r="U262" s="303">
        <f t="shared" si="69"/>
        <v>13.378356423726682</v>
      </c>
      <c r="V262" s="301">
        <f t="shared" si="70"/>
        <v>189.29119758872494</v>
      </c>
      <c r="W262" s="301">
        <f t="shared" si="71"/>
        <v>50.237007119135562</v>
      </c>
      <c r="X262" s="303">
        <f t="shared" si="72"/>
        <v>-71.285837311712868</v>
      </c>
      <c r="Y262" s="192" t="str">
        <f t="shared" si="73"/>
        <v>104.267388882522-307.794182038023i</v>
      </c>
      <c r="Z262" s="192" t="str">
        <f t="shared" si="74"/>
        <v>-76768.3040738034i</v>
      </c>
      <c r="AA262" s="192" t="str">
        <f t="shared" si="75"/>
        <v>22150.1592153998-10608.6321948381i</v>
      </c>
      <c r="AB262" s="192" t="str">
        <f t="shared" si="76"/>
        <v>1381.90263844297-5451.26640375346i</v>
      </c>
      <c r="AC262" s="192" t="str">
        <f t="shared" si="77"/>
        <v>16065.6466662942-13393.2749724625i</v>
      </c>
      <c r="AD262" s="192" t="str">
        <f t="shared" si="78"/>
        <v>2853.43724634515-3422.78603840208i</v>
      </c>
      <c r="AE262" s="192" t="str">
        <f t="shared" si="79"/>
        <v>-4.60449921279654-0.753289317374213i</v>
      </c>
      <c r="AF262" s="296"/>
      <c r="AG262" s="296"/>
      <c r="AH262" s="296"/>
      <c r="AI262" s="296"/>
      <c r="AJ262" s="296"/>
      <c r="AK262" s="296"/>
      <c r="AL262" s="296"/>
      <c r="AM262" s="296"/>
      <c r="AN262" s="296"/>
      <c r="AO262" s="296"/>
      <c r="AP262" s="296"/>
      <c r="AQ262" s="296"/>
      <c r="AR262" s="296"/>
      <c r="AS262" s="296"/>
    </row>
    <row r="263" spans="1:45" s="192" customFormat="1" x14ac:dyDescent="0.2">
      <c r="A263" s="301">
        <f t="shared" si="80"/>
        <v>2.661</v>
      </c>
      <c r="B263" s="301">
        <f t="shared" si="81"/>
        <v>4.6599999999999895</v>
      </c>
      <c r="C263" s="320">
        <f t="shared" si="82"/>
        <v>45708.818961486359</v>
      </c>
      <c r="D263" s="302">
        <f t="shared" si="56"/>
        <v>2.6608643690171974</v>
      </c>
      <c r="E263" s="301">
        <f t="shared" si="57"/>
        <v>51.977472861055787</v>
      </c>
      <c r="G263" s="320"/>
      <c r="H263" s="315" t="str">
        <f t="shared" si="58"/>
        <v>1E+47-3.48193076758332E+50i</v>
      </c>
      <c r="I263" s="301" t="str">
        <f t="shared" si="59"/>
        <v>0.002-0.00322102753707986i</v>
      </c>
      <c r="J263" s="301" t="str">
        <f t="shared" si="60"/>
        <v>0.002-0.00322102753707986i</v>
      </c>
      <c r="K263" s="301"/>
      <c r="L263" s="301" t="str">
        <f t="shared" si="61"/>
        <v>0.00217365001308946-0.00273595490122386i</v>
      </c>
      <c r="M263" s="301" t="str">
        <f t="shared" si="62"/>
        <v>0.003+0.0861590939122028i</v>
      </c>
      <c r="N263" s="301" t="str">
        <f t="shared" si="63"/>
        <v>-0.0310607558262404-0.0279820145891327i</v>
      </c>
      <c r="O263" s="316">
        <f t="shared" si="64"/>
        <v>-27.575172866783952</v>
      </c>
      <c r="P263" s="316">
        <f t="shared" si="65"/>
        <v>-137.98494228215398</v>
      </c>
      <c r="Q263" s="301">
        <f t="shared" si="66"/>
        <v>287196.97970734275</v>
      </c>
      <c r="R263" s="301">
        <f t="shared" si="83"/>
        <v>4.6599999999999886</v>
      </c>
      <c r="S263" s="308">
        <f t="shared" si="67"/>
        <v>-10.924994612659225</v>
      </c>
      <c r="T263" s="301" t="str">
        <f t="shared" si="68"/>
        <v>1+2.18633878829388i</v>
      </c>
      <c r="U263" s="303">
        <f t="shared" si="69"/>
        <v>13.585858981676422</v>
      </c>
      <c r="V263" s="301">
        <f t="shared" si="70"/>
        <v>189.96241514320977</v>
      </c>
      <c r="W263" s="301">
        <f t="shared" si="71"/>
        <v>49.877545152308691</v>
      </c>
      <c r="X263" s="303">
        <f t="shared" si="72"/>
        <v>-72.093903974804931</v>
      </c>
      <c r="Y263" s="192" t="str">
        <f t="shared" si="73"/>
        <v>95.865614388675-296.697720580459i</v>
      </c>
      <c r="Z263" s="192" t="str">
        <f t="shared" si="74"/>
        <v>-73313.1612319212i</v>
      </c>
      <c r="AA263" s="192" t="str">
        <f t="shared" si="75"/>
        <v>22150.1592153998-10131.1650938987i</v>
      </c>
      <c r="AB263" s="192" t="str">
        <f t="shared" si="76"/>
        <v>1381.90263844297-5205.91900001231i</v>
      </c>
      <c r="AC263" s="192" t="str">
        <f t="shared" si="77"/>
        <v>15972.5967742777-13141.0168900907i</v>
      </c>
      <c r="AD263" s="192" t="str">
        <f t="shared" si="78"/>
        <v>2734.15034970956-3323.29540563125i</v>
      </c>
      <c r="AE263" s="192" t="str">
        <f t="shared" si="79"/>
        <v>-4.70646187714195-0.826693248618405i</v>
      </c>
      <c r="AF263" s="296"/>
      <c r="AG263" s="296"/>
      <c r="AH263" s="296"/>
      <c r="AI263" s="296"/>
      <c r="AJ263" s="296"/>
      <c r="AK263" s="296"/>
      <c r="AL263" s="296"/>
      <c r="AM263" s="296"/>
      <c r="AN263" s="296"/>
      <c r="AO263" s="296"/>
      <c r="AP263" s="296"/>
      <c r="AQ263" s="296"/>
      <c r="AR263" s="296"/>
      <c r="AS263" s="296"/>
    </row>
    <row r="264" spans="1:45" s="192" customFormat="1" x14ac:dyDescent="0.2">
      <c r="A264" s="301">
        <f t="shared" si="80"/>
        <v>2.1720000000000002</v>
      </c>
      <c r="B264" s="301">
        <f t="shared" si="81"/>
        <v>4.6799999999999882</v>
      </c>
      <c r="C264" s="320">
        <f t="shared" si="82"/>
        <v>47863.009232262542</v>
      </c>
      <c r="D264" s="302">
        <f t="shared" si="56"/>
        <v>2.1715004924303063</v>
      </c>
      <c r="E264" s="301">
        <f t="shared" si="57"/>
        <v>53.243002677671484</v>
      </c>
      <c r="G264" s="320"/>
      <c r="H264" s="315" t="str">
        <f t="shared" si="58"/>
        <v>1E+47-3.32521806808201E+50i</v>
      </c>
      <c r="I264" s="301" t="str">
        <f t="shared" si="59"/>
        <v>0.002-0.00307605741728215i</v>
      </c>
      <c r="J264" s="301" t="str">
        <f t="shared" si="60"/>
        <v>0.002-0.00307605741728215i</v>
      </c>
      <c r="K264" s="301"/>
      <c r="L264" s="301" t="str">
        <f t="shared" si="61"/>
        <v>0.00214601170871426-0.00261588427047234i</v>
      </c>
      <c r="M264" s="301" t="str">
        <f t="shared" si="62"/>
        <v>0.003+0.0902196469096659i</v>
      </c>
      <c r="N264" s="301" t="str">
        <f t="shared" si="63"/>
        <v>-0.028323687426833-0.0261605856507056i</v>
      </c>
      <c r="O264" s="316">
        <f t="shared" si="64"/>
        <v>-28.278036772673957</v>
      </c>
      <c r="P264" s="316">
        <f t="shared" si="65"/>
        <v>-137.2735284994142</v>
      </c>
      <c r="Q264" s="301">
        <f t="shared" si="66"/>
        <v>300732.15636555292</v>
      </c>
      <c r="R264" s="301">
        <f t="shared" si="83"/>
        <v>4.6799999999999882</v>
      </c>
      <c r="S264" s="308">
        <f t="shared" si="67"/>
        <v>-11.627858518549235</v>
      </c>
      <c r="T264" s="301" t="str">
        <f t="shared" si="68"/>
        <v>1+2.28937776093353i</v>
      </c>
      <c r="U264" s="303">
        <f t="shared" si="69"/>
        <v>13.799359010979542</v>
      </c>
      <c r="V264" s="301">
        <f t="shared" si="70"/>
        <v>190.51653117708568</v>
      </c>
      <c r="W264" s="301">
        <f t="shared" si="71"/>
        <v>49.514847778031154</v>
      </c>
      <c r="X264" s="303">
        <f t="shared" si="72"/>
        <v>-72.873532832366948</v>
      </c>
      <c r="Y264" s="192" t="str">
        <f t="shared" si="73"/>
        <v>88.0644984096408-285.788317972266i</v>
      </c>
      <c r="Z264" s="192" t="str">
        <f t="shared" si="74"/>
        <v>-70013.5254342793i</v>
      </c>
      <c r="AA264" s="192" t="str">
        <f t="shared" si="75"/>
        <v>22150.1592153998-9675.18755243243i</v>
      </c>
      <c r="AB264" s="192" t="str">
        <f t="shared" si="76"/>
        <v>1381.90263844297-4971.6140484399i</v>
      </c>
      <c r="AC264" s="192" t="str">
        <f t="shared" si="77"/>
        <v>15871.800643311-12912.2037802224i</v>
      </c>
      <c r="AD264" s="192" t="str">
        <f t="shared" si="78"/>
        <v>2621.83374519503-3222.78235628375i</v>
      </c>
      <c r="AE264" s="192" t="str">
        <f t="shared" si="79"/>
        <v>-4.81516119971367-0.893874464638015i</v>
      </c>
      <c r="AF264" s="296"/>
      <c r="AG264" s="296"/>
      <c r="AH264" s="296"/>
      <c r="AI264" s="296"/>
      <c r="AJ264" s="296"/>
      <c r="AK264" s="296"/>
      <c r="AL264" s="296"/>
      <c r="AM264" s="296"/>
      <c r="AN264" s="296"/>
      <c r="AO264" s="296"/>
      <c r="AP264" s="296"/>
      <c r="AQ264" s="296"/>
      <c r="AR264" s="296"/>
      <c r="AS264" s="296"/>
    </row>
    <row r="265" spans="1:45" s="192" customFormat="1" x14ac:dyDescent="0.2">
      <c r="A265" s="301">
        <f t="shared" si="80"/>
        <v>1.696</v>
      </c>
      <c r="B265" s="301">
        <f t="shared" si="81"/>
        <v>4.6999999999999886</v>
      </c>
      <c r="C265" s="320">
        <f t="shared" si="82"/>
        <v>50118.723362725868</v>
      </c>
      <c r="D265" s="302">
        <f t="shared" si="56"/>
        <v>1.6963432289180549</v>
      </c>
      <c r="E265" s="301">
        <f t="shared" si="57"/>
        <v>54.436726641767535</v>
      </c>
      <c r="G265" s="320"/>
      <c r="H265" s="315" t="str">
        <f t="shared" si="58"/>
        <v>1E+47-3.17555860192284E+50i</v>
      </c>
      <c r="I265" s="301" t="str">
        <f t="shared" si="59"/>
        <v>0.002-0.0029376120276807i</v>
      </c>
      <c r="J265" s="301" t="str">
        <f t="shared" si="60"/>
        <v>0.002-0.0029376120276807i</v>
      </c>
      <c r="K265" s="301"/>
      <c r="L265" s="301" t="str">
        <f t="shared" si="61"/>
        <v>0.00212074863071895-0.00250082787724492i</v>
      </c>
      <c r="M265" s="301" t="str">
        <f t="shared" si="62"/>
        <v>0.003+0.0944715678741832i</v>
      </c>
      <c r="N265" s="301" t="str">
        <f t="shared" si="63"/>
        <v>-0.0258276164942295-0.0244969798284923i</v>
      </c>
      <c r="O265" s="316">
        <f t="shared" si="64"/>
        <v>-28.971658733593607</v>
      </c>
      <c r="P265" s="316">
        <f t="shared" si="65"/>
        <v>-136.51460937237323</v>
      </c>
      <c r="Q265" s="301">
        <f t="shared" si="66"/>
        <v>314905.22624727746</v>
      </c>
      <c r="R265" s="301">
        <f t="shared" si="83"/>
        <v>4.6999999999999877</v>
      </c>
      <c r="S265" s="308">
        <f t="shared" si="67"/>
        <v>-12.32148047946888</v>
      </c>
      <c r="T265" s="301" t="str">
        <f t="shared" si="68"/>
        <v>1+2.39727281074634i</v>
      </c>
      <c r="U265" s="303">
        <f t="shared" si="69"/>
        <v>14.017823708386935</v>
      </c>
      <c r="V265" s="301">
        <f t="shared" si="70"/>
        <v>190.95133601414076</v>
      </c>
      <c r="W265" s="301">
        <f t="shared" si="71"/>
        <v>49.149148327499859</v>
      </c>
      <c r="X265" s="303">
        <f t="shared" si="72"/>
        <v>-73.62527521266459</v>
      </c>
      <c r="Y265" s="192" t="str">
        <f t="shared" si="73"/>
        <v>80.8314918896512-275.08982518115i</v>
      </c>
      <c r="Z265" s="192" t="str">
        <f t="shared" si="74"/>
        <v>-66862.39771096i</v>
      </c>
      <c r="AA265" s="192" t="str">
        <f t="shared" si="75"/>
        <v>22150.1592153998-9239.73238093993i</v>
      </c>
      <c r="AB265" s="192" t="str">
        <f t="shared" si="76"/>
        <v>1381.90263844297-4747.8545568201i</v>
      </c>
      <c r="AC265" s="192" t="str">
        <f t="shared" si="77"/>
        <v>15762.7320212773-12705.7900215218i</v>
      </c>
      <c r="AD265" s="192" t="str">
        <f t="shared" si="78"/>
        <v>2516.32893780169-3121.74360325239i</v>
      </c>
      <c r="AE265" s="192" t="str">
        <f t="shared" si="79"/>
        <v>-4.93070817801698-0.954087181496128i</v>
      </c>
      <c r="AF265" s="296"/>
      <c r="AG265" s="296"/>
      <c r="AH265" s="296"/>
      <c r="AI265" s="296"/>
      <c r="AJ265" s="296"/>
      <c r="AK265" s="296"/>
      <c r="AL265" s="296"/>
      <c r="AM265" s="296"/>
      <c r="AN265" s="296"/>
      <c r="AO265" s="296"/>
      <c r="AP265" s="296"/>
      <c r="AQ265" s="296"/>
      <c r="AR265" s="296"/>
      <c r="AS265" s="296"/>
    </row>
    <row r="266" spans="1:45" s="192" customFormat="1" x14ac:dyDescent="0.2">
      <c r="A266" s="301">
        <f t="shared" si="80"/>
        <v>1.234</v>
      </c>
      <c r="B266" s="301">
        <f t="shared" si="81"/>
        <v>4.7199999999999882</v>
      </c>
      <c r="C266" s="320">
        <f t="shared" si="82"/>
        <v>52480.746024975822</v>
      </c>
      <c r="D266" s="302">
        <f t="shared" si="56"/>
        <v>1.2344912107683008</v>
      </c>
      <c r="E266" s="301">
        <f t="shared" si="57"/>
        <v>55.553408171731746</v>
      </c>
      <c r="G266" s="320"/>
      <c r="H266" s="315" t="str">
        <f t="shared" si="58"/>
        <v>1E+47-3.03263492131291E+50i</v>
      </c>
      <c r="I266" s="301" t="str">
        <f t="shared" si="59"/>
        <v>0.002-0.00280539770704247i</v>
      </c>
      <c r="J266" s="301" t="str">
        <f t="shared" si="60"/>
        <v>0.002-0.00280539770704247i</v>
      </c>
      <c r="K266" s="301"/>
      <c r="L266" s="301" t="str">
        <f t="shared" si="61"/>
        <v>0.00209766116255262-0.00239060912659075i</v>
      </c>
      <c r="M266" s="301" t="str">
        <f t="shared" si="62"/>
        <v>0.003+0.0989238757001855i</v>
      </c>
      <c r="N266" s="301" t="str">
        <f t="shared" si="63"/>
        <v>-0.0235514396786621-0.022973618324974i</v>
      </c>
      <c r="O266" s="316">
        <f t="shared" si="64"/>
        <v>-29.655891662409658</v>
      </c>
      <c r="P266" s="316">
        <f t="shared" si="65"/>
        <v>-135.71155253246067</v>
      </c>
      <c r="Q266" s="301">
        <f t="shared" si="66"/>
        <v>329746.25233395159</v>
      </c>
      <c r="R266" s="301">
        <f t="shared" si="83"/>
        <v>4.7199999999999873</v>
      </c>
      <c r="S266" s="308">
        <f t="shared" si="67"/>
        <v>-13.005713408284937</v>
      </c>
      <c r="T266" s="301" t="str">
        <f t="shared" si="68"/>
        <v>1+2.51025279759872i</v>
      </c>
      <c r="U266" s="303">
        <f t="shared" si="69"/>
        <v>14.240204619053237</v>
      </c>
      <c r="V266" s="301">
        <f t="shared" si="70"/>
        <v>191.26496070419242</v>
      </c>
      <c r="W266" s="301">
        <f t="shared" si="71"/>
        <v>48.78066713287182</v>
      </c>
      <c r="X266" s="303">
        <f t="shared" si="72"/>
        <v>-74.349741432751969</v>
      </c>
      <c r="Y266" s="192" t="str">
        <f t="shared" si="73"/>
        <v>74.1341454038515-264.622280510379i</v>
      </c>
      <c r="Z266" s="192" t="str">
        <f t="shared" si="74"/>
        <v>-63853.0940975833i</v>
      </c>
      <c r="AA266" s="192" t="str">
        <f t="shared" si="75"/>
        <v>22150.1592153998-8823.87592061978i</v>
      </c>
      <c r="AB266" s="192" t="str">
        <f t="shared" si="76"/>
        <v>1381.90263844297-4534.16590127129i</v>
      </c>
      <c r="AC266" s="192" t="str">
        <f t="shared" si="77"/>
        <v>15644.8506853479-12520.7161610952i</v>
      </c>
      <c r="AD266" s="192" t="str">
        <f t="shared" si="78"/>
        <v>2417.44185594833-3020.63527279207i</v>
      </c>
      <c r="AE266" s="192" t="str">
        <f t="shared" si="79"/>
        <v>-5.05314311172269-1.00650437975422i</v>
      </c>
      <c r="AF266" s="296"/>
      <c r="AG266" s="296"/>
      <c r="AH266" s="296"/>
      <c r="AI266" s="296"/>
      <c r="AJ266" s="296"/>
      <c r="AK266" s="296"/>
      <c r="AL266" s="296"/>
      <c r="AM266" s="296"/>
      <c r="AN266" s="296"/>
      <c r="AO266" s="296"/>
      <c r="AP266" s="296"/>
      <c r="AQ266" s="296"/>
      <c r="AR266" s="296"/>
      <c r="AS266" s="296"/>
    </row>
    <row r="267" spans="1:45" s="192" customFormat="1" x14ac:dyDescent="0.2">
      <c r="A267" s="301">
        <f t="shared" si="80"/>
        <v>0.78500000000000003</v>
      </c>
      <c r="B267" s="301">
        <f t="shared" si="81"/>
        <v>4.7399999999999869</v>
      </c>
      <c r="C267" s="320">
        <f t="shared" si="82"/>
        <v>54954.087385760846</v>
      </c>
      <c r="D267" s="302">
        <f t="shared" si="56"/>
        <v>0.78501928278791056</v>
      </c>
      <c r="E267" s="301">
        <f t="shared" si="57"/>
        <v>56.588092161057659</v>
      </c>
      <c r="G267" s="320"/>
      <c r="H267" s="315" t="str">
        <f t="shared" si="58"/>
        <v>1E+47-2.89614386596353E+50i</v>
      </c>
      <c r="I267" s="301" t="str">
        <f t="shared" si="59"/>
        <v>0.002-0.0026791340110671i</v>
      </c>
      <c r="J267" s="301" t="str">
        <f t="shared" si="60"/>
        <v>0.002-0.0026791340110671i</v>
      </c>
      <c r="K267" s="301"/>
      <c r="L267" s="301" t="str">
        <f t="shared" si="61"/>
        <v>0.0020765657103423-0.00228505328477589i</v>
      </c>
      <c r="M267" s="301" t="str">
        <f t="shared" si="62"/>
        <v>0.003+0.103586014329503i</v>
      </c>
      <c r="N267" s="301" t="str">
        <f t="shared" si="63"/>
        <v>-0.0214758606439976-0.0215752082265312i</v>
      </c>
      <c r="O267" s="316">
        <f t="shared" si="64"/>
        <v>-30.330598057621884</v>
      </c>
      <c r="P267" s="316">
        <f t="shared" si="65"/>
        <v>-134.86778058642693</v>
      </c>
      <c r="Q267" s="301">
        <f t="shared" si="66"/>
        <v>345286.71443167556</v>
      </c>
      <c r="R267" s="301">
        <f t="shared" si="83"/>
        <v>4.7399999999999869</v>
      </c>
      <c r="S267" s="308">
        <f t="shared" si="67"/>
        <v>-13.680419803497159</v>
      </c>
      <c r="T267" s="301" t="str">
        <f t="shared" si="68"/>
        <v>1+2.62855736719025i</v>
      </c>
      <c r="U267" s="303">
        <f t="shared" si="69"/>
        <v>14.46543908628507</v>
      </c>
      <c r="V267" s="301">
        <f t="shared" si="70"/>
        <v>191.45587274748459</v>
      </c>
      <c r="W267" s="301">
        <f t="shared" si="71"/>
        <v>48.409611632360352</v>
      </c>
      <c r="X267" s="303">
        <f t="shared" si="72"/>
        <v>-75.047591187909021</v>
      </c>
      <c r="Y267" s="192" t="str">
        <f t="shared" si="73"/>
        <v>67.9404297896351-254.402197163948i</v>
      </c>
      <c r="Z267" s="192" t="str">
        <f t="shared" si="74"/>
        <v>-60979.2314577212i</v>
      </c>
      <c r="AA267" s="192" t="str">
        <f t="shared" si="75"/>
        <v>22150.1592153998-8426.73608416498i</v>
      </c>
      <c r="AB267" s="192" t="str">
        <f t="shared" si="76"/>
        <v>1381.90263844297-4330.0948195053i</v>
      </c>
      <c r="AC267" s="192" t="str">
        <f t="shared" si="77"/>
        <v>15517.6063994991-12355.9021345347i</v>
      </c>
      <c r="AD267" s="192" t="str">
        <f t="shared" si="78"/>
        <v>2324.94944164145-2919.87181035453i</v>
      </c>
      <c r="AE267" s="192" t="str">
        <f t="shared" si="79"/>
        <v>-5.18241964989255-1.05021930993512i</v>
      </c>
      <c r="AF267" s="296"/>
      <c r="AG267" s="296"/>
      <c r="AH267" s="296"/>
      <c r="AI267" s="296"/>
      <c r="AJ267" s="296"/>
      <c r="AK267" s="296"/>
      <c r="AL267" s="296"/>
      <c r="AM267" s="296"/>
      <c r="AN267" s="296"/>
      <c r="AO267" s="296"/>
      <c r="AP267" s="296"/>
      <c r="AQ267" s="296"/>
      <c r="AR267" s="296"/>
      <c r="AS267" s="296"/>
    </row>
    <row r="268" spans="1:45" s="192" customFormat="1" x14ac:dyDescent="0.2">
      <c r="A268" s="301">
        <f t="shared" si="80"/>
        <v>0.34699999999999998</v>
      </c>
      <c r="B268" s="301">
        <f t="shared" si="81"/>
        <v>4.7599999999999874</v>
      </c>
      <c r="C268" s="320">
        <f t="shared" si="82"/>
        <v>57543.993733714</v>
      </c>
      <c r="D268" s="302">
        <f t="shared" si="56"/>
        <v>0.34697522710702877</v>
      </c>
      <c r="E268" s="301">
        <f t="shared" si="57"/>
        <v>57.536100306779701</v>
      </c>
      <c r="G268" s="320"/>
      <c r="H268" s="315" t="str">
        <f t="shared" si="58"/>
        <v>1E+47-2.76579592004664E+50i</v>
      </c>
      <c r="I268" s="301" t="str">
        <f t="shared" si="59"/>
        <v>0.002-0.00255855311752695i</v>
      </c>
      <c r="J268" s="301" t="str">
        <f t="shared" si="60"/>
        <v>0.002-0.00255855311752695i</v>
      </c>
      <c r="K268" s="301"/>
      <c r="L268" s="301" t="str">
        <f t="shared" si="61"/>
        <v>0.00205729354378836-0.0021839881313606i</v>
      </c>
      <c r="M268" s="301" t="str">
        <f t="shared" si="62"/>
        <v>0.003+0.108467872783232i</v>
      </c>
      <c r="N268" s="301" t="str">
        <f t="shared" si="63"/>
        <v>-0.0195832478053139-0.0202884170403027i</v>
      </c>
      <c r="O268" s="316">
        <f t="shared" si="64"/>
        <v>-30.995654322280515</v>
      </c>
      <c r="P268" s="316">
        <f t="shared" si="65"/>
        <v>-133.98677395764415</v>
      </c>
      <c r="Q268" s="301">
        <f t="shared" si="66"/>
        <v>361559.57594410598</v>
      </c>
      <c r="R268" s="301">
        <f t="shared" si="83"/>
        <v>4.7599999999999865</v>
      </c>
      <c r="S268" s="308">
        <f t="shared" si="67"/>
        <v>-14.34547606815579</v>
      </c>
      <c r="T268" s="301" t="str">
        <f t="shared" si="68"/>
        <v>1+2.75243745937442i</v>
      </c>
      <c r="U268" s="303">
        <f t="shared" si="69"/>
        <v>14.692451295262819</v>
      </c>
      <c r="V268" s="301">
        <f t="shared" si="70"/>
        <v>191.52287426442385</v>
      </c>
      <c r="W268" s="301">
        <f t="shared" si="71"/>
        <v>48.036176591829474</v>
      </c>
      <c r="X268" s="303">
        <f t="shared" si="72"/>
        <v>-75.719524713389248</v>
      </c>
      <c r="Y268" s="192" t="str">
        <f t="shared" si="73"/>
        <v>62.2189999901789-244.442858537129i</v>
      </c>
      <c r="Z268" s="192" t="str">
        <f t="shared" si="74"/>
        <v>-58234.713943409i</v>
      </c>
      <c r="AA268" s="192" t="str">
        <f t="shared" si="75"/>
        <v>22150.1592153998-8047.47048473687i</v>
      </c>
      <c r="AB268" s="192" t="str">
        <f t="shared" si="76"/>
        <v>1381.90263844297-4135.20844939738i</v>
      </c>
      <c r="AC268" s="192" t="str">
        <f t="shared" si="77"/>
        <v>15380.4437918895-12210.2406162835i</v>
      </c>
      <c r="AD268" s="192" t="str">
        <f t="shared" si="78"/>
        <v>2238.60585090017-2819.82579573809i</v>
      </c>
      <c r="AE268" s="192" t="str">
        <f t="shared" si="79"/>
        <v>-5.31838729204698-1.08424945783312i</v>
      </c>
      <c r="AF268" s="296"/>
      <c r="AG268" s="296"/>
      <c r="AH268" s="296"/>
      <c r="AI268" s="296"/>
      <c r="AJ268" s="296"/>
      <c r="AK268" s="296"/>
      <c r="AL268" s="296"/>
      <c r="AM268" s="296"/>
      <c r="AN268" s="296"/>
      <c r="AO268" s="296"/>
      <c r="AP268" s="296"/>
      <c r="AQ268" s="296"/>
      <c r="AR268" s="296"/>
      <c r="AS268" s="296"/>
    </row>
    <row r="269" spans="1:45" s="192" customFormat="1" x14ac:dyDescent="0.2">
      <c r="A269" s="301">
        <f t="shared" si="80"/>
        <v>8.1000000000000003E-2</v>
      </c>
      <c r="B269" s="301">
        <f t="shared" si="81"/>
        <v>4.779999999999986</v>
      </c>
      <c r="C269" s="320">
        <f t="shared" si="82"/>
        <v>60255.95860743388</v>
      </c>
      <c r="D269" s="302">
        <f t="shared" si="56"/>
        <v>-8.0623608014617432E-2</v>
      </c>
      <c r="E269" s="301">
        <f t="shared" si="57"/>
        <v>58.393034929129328</v>
      </c>
      <c r="G269" s="320"/>
      <c r="H269" s="315" t="str">
        <f t="shared" si="58"/>
        <v>1E+47-2.64131459809288E+50i</v>
      </c>
      <c r="I269" s="301" t="str">
        <f t="shared" si="59"/>
        <v>0.002-0.00244339925818028i</v>
      </c>
      <c r="J269" s="301" t="str">
        <f t="shared" si="60"/>
        <v>0.002-0.00244339925818028i</v>
      </c>
      <c r="K269" s="301"/>
      <c r="L269" s="301" t="str">
        <f t="shared" si="61"/>
        <v>0.00203968969890195-0.0020872444968657i</v>
      </c>
      <c r="M269" s="301" t="str">
        <f t="shared" si="62"/>
        <v>0.003+0.113579806137675i</v>
      </c>
      <c r="N269" s="301" t="str">
        <f t="shared" si="63"/>
        <v>-0.0178574996131671-0.0191015967738879i</v>
      </c>
      <c r="O269" s="316">
        <f t="shared" si="64"/>
        <v>-31.650954885887657</v>
      </c>
      <c r="P269" s="316">
        <f t="shared" si="65"/>
        <v>-133.07206834085281</v>
      </c>
      <c r="Q269" s="301">
        <f t="shared" si="66"/>
        <v>378599.35379224987</v>
      </c>
      <c r="R269" s="301">
        <f t="shared" si="83"/>
        <v>4.779999999999986</v>
      </c>
      <c r="S269" s="308">
        <f t="shared" si="67"/>
        <v>-15.000776631762932</v>
      </c>
      <c r="T269" s="301" t="str">
        <f t="shared" si="68"/>
        <v>1+2.88215584043564i</v>
      </c>
      <c r="U269" s="303">
        <f t="shared" si="69"/>
        <v>14.920153023748314</v>
      </c>
      <c r="V269" s="301">
        <f t="shared" si="70"/>
        <v>191.46510326998214</v>
      </c>
      <c r="W269" s="301">
        <f t="shared" si="71"/>
        <v>47.660544421161759</v>
      </c>
      <c r="X269" s="303">
        <f t="shared" si="72"/>
        <v>-76.366274728947019</v>
      </c>
      <c r="Y269" s="192" t="str">
        <f t="shared" si="73"/>
        <v>56.9394070108739-234.754613891127i</v>
      </c>
      <c r="Z269" s="192" t="str">
        <f t="shared" si="74"/>
        <v>-55613.7200650349i</v>
      </c>
      <c r="AA269" s="192" t="str">
        <f t="shared" si="75"/>
        <v>22150.1592153998-7685.27464915007i</v>
      </c>
      <c r="AB269" s="192" t="str">
        <f t="shared" si="76"/>
        <v>1381.90263844297-3949.09341082771i</v>
      </c>
      <c r="AC269" s="192" t="str">
        <f t="shared" si="77"/>
        <v>15232.8082318782-12082.5906327246i</v>
      </c>
      <c r="AD269" s="192" t="str">
        <f t="shared" si="78"/>
        <v>2158.14817331219-2720.82852587961i</v>
      </c>
      <c r="AE269" s="192" t="str">
        <f t="shared" si="79"/>
        <v>-5.46077257330402-1.10754354108687i</v>
      </c>
      <c r="AF269" s="296"/>
      <c r="AG269" s="296"/>
      <c r="AH269" s="296"/>
      <c r="AI269" s="296"/>
      <c r="AJ269" s="296"/>
      <c r="AK269" s="296"/>
      <c r="AL269" s="296"/>
      <c r="AM269" s="296"/>
      <c r="AN269" s="296"/>
      <c r="AO269" s="296"/>
      <c r="AP269" s="296"/>
      <c r="AQ269" s="296"/>
      <c r="AR269" s="296"/>
      <c r="AS269" s="296"/>
    </row>
    <row r="270" spans="1:45" s="192" customFormat="1" x14ac:dyDescent="0.2">
      <c r="A270" s="301">
        <f t="shared" si="80"/>
        <v>0.499</v>
      </c>
      <c r="B270" s="301">
        <f t="shared" si="81"/>
        <v>4.7999999999999865</v>
      </c>
      <c r="C270" s="320">
        <f t="shared" si="82"/>
        <v>63095.734448017327</v>
      </c>
      <c r="D270" s="302">
        <f t="shared" si="56"/>
        <v>-0.49879353813867056</v>
      </c>
      <c r="E270" s="301">
        <f t="shared" si="57"/>
        <v>59.154791426694175</v>
      </c>
      <c r="G270" s="320"/>
      <c r="H270" s="315" t="str">
        <f t="shared" si="58"/>
        <v>1E+47-2.52243585852889E+50i</v>
      </c>
      <c r="I270" s="301" t="str">
        <f t="shared" si="59"/>
        <v>0.002-0.00233342817625244i</v>
      </c>
      <c r="J270" s="301" t="str">
        <f t="shared" si="60"/>
        <v>0.002-0.00233342817625244i</v>
      </c>
      <c r="K270" s="301"/>
      <c r="L270" s="301" t="str">
        <f t="shared" si="61"/>
        <v>0.00202361194341976-0.00199465670020311i</v>
      </c>
      <c r="M270" s="301" t="str">
        <f t="shared" si="62"/>
        <v>0.003+0.118932657488846i</v>
      </c>
      <c r="N270" s="301" t="str">
        <f t="shared" si="63"/>
        <v>-0.0162839181209452-0.0180045495457306i</v>
      </c>
      <c r="O270" s="316">
        <f t="shared" si="64"/>
        <v>-32.296416024842777</v>
      </c>
      <c r="P270" s="316">
        <f t="shared" si="65"/>
        <v>-132.12724714473762</v>
      </c>
      <c r="Q270" s="301">
        <f t="shared" si="66"/>
        <v>396442.19162948732</v>
      </c>
      <c r="R270" s="301">
        <f t="shared" si="83"/>
        <v>4.7999999999999856</v>
      </c>
      <c r="S270" s="308">
        <f t="shared" si="67"/>
        <v>-15.646237770718052</v>
      </c>
      <c r="T270" s="301" t="str">
        <f t="shared" si="68"/>
        <v>1+3.01798766045179i</v>
      </c>
      <c r="U270" s="303">
        <f t="shared" si="69"/>
        <v>15.147444232579382</v>
      </c>
      <c r="V270" s="301">
        <f t="shared" si="70"/>
        <v>191.2820385714318</v>
      </c>
      <c r="W270" s="301">
        <f t="shared" si="71"/>
        <v>47.282885565712192</v>
      </c>
      <c r="X270" s="303">
        <f t="shared" si="72"/>
        <v>-76.988599159261611</v>
      </c>
      <c r="Y270" s="192" t="str">
        <f t="shared" si="73"/>
        <v>52.0722632529676-225.345168553924i</v>
      </c>
      <c r="Z270" s="192" t="str">
        <f t="shared" si="74"/>
        <v>-53110.69034318i</v>
      </c>
      <c r="AA270" s="192" t="str">
        <f t="shared" si="75"/>
        <v>22150.1592153998-7339.3803114768i</v>
      </c>
      <c r="AB270" s="192" t="str">
        <f t="shared" si="76"/>
        <v>1381.90263844297-3771.35492884657i</v>
      </c>
      <c r="AC270" s="192" t="str">
        <f t="shared" si="77"/>
        <v>15074.152772363-11971.7715983021i</v>
      </c>
      <c r="AD270" s="192" t="str">
        <f t="shared" si="78"/>
        <v>2083.30161187087-2623.17122494265i</v>
      </c>
      <c r="AE270" s="192" t="str">
        <f t="shared" si="79"/>
        <v>-5.60915930959161-1.11899214197415i</v>
      </c>
      <c r="AF270" s="296"/>
      <c r="AG270" s="296"/>
      <c r="AH270" s="296"/>
      <c r="AI270" s="296"/>
      <c r="AJ270" s="296"/>
      <c r="AK270" s="296"/>
      <c r="AL270" s="296"/>
      <c r="AM270" s="296"/>
      <c r="AN270" s="296"/>
      <c r="AO270" s="296"/>
      <c r="AP270" s="296"/>
      <c r="AQ270" s="296"/>
      <c r="AR270" s="296"/>
      <c r="AS270" s="296"/>
    </row>
    <row r="271" spans="1:45" s="192" customFormat="1" x14ac:dyDescent="0.2">
      <c r="A271" s="301">
        <f t="shared" si="80"/>
        <v>0.90900000000000003</v>
      </c>
      <c r="B271" s="301">
        <f t="shared" si="81"/>
        <v>4.8199999999999852</v>
      </c>
      <c r="C271" s="320">
        <f t="shared" si="82"/>
        <v>66069.344800757375</v>
      </c>
      <c r="D271" s="302">
        <f t="shared" si="56"/>
        <v>-0.90858738134355832</v>
      </c>
      <c r="E271" s="301">
        <f t="shared" si="57"/>
        <v>59.817579252284332</v>
      </c>
      <c r="G271" s="320"/>
      <c r="H271" s="315" t="str">
        <f t="shared" si="58"/>
        <v>1E+47-2.40890754360971E+50i</v>
      </c>
      <c r="I271" s="301" t="str">
        <f t="shared" si="59"/>
        <v>0.002-0.00222840660833461i</v>
      </c>
      <c r="J271" s="301" t="str">
        <f t="shared" si="60"/>
        <v>0.002-0.00222840660833461i</v>
      </c>
      <c r="K271" s="301"/>
      <c r="L271" s="301" t="str">
        <f t="shared" si="61"/>
        <v>0.00200892980471308-0.00190606289862221i</v>
      </c>
      <c r="M271" s="301" t="str">
        <f t="shared" si="62"/>
        <v>0.003+0.12453778095213i</v>
      </c>
      <c r="N271" s="301" t="str">
        <f t="shared" si="63"/>
        <v>-0.014849091121395-0.0169883280840518i</v>
      </c>
      <c r="O271" s="316">
        <f t="shared" si="64"/>
        <v>-32.931979281557275</v>
      </c>
      <c r="P271" s="316">
        <f t="shared" si="65"/>
        <v>-131.1559293934462</v>
      </c>
      <c r="Q271" s="301">
        <f t="shared" si="66"/>
        <v>415125.93650710071</v>
      </c>
      <c r="R271" s="301">
        <f t="shared" si="83"/>
        <v>4.8199999999999852</v>
      </c>
      <c r="S271" s="308">
        <f t="shared" si="67"/>
        <v>-16.28180102743255</v>
      </c>
      <c r="T271" s="301" t="str">
        <f t="shared" si="68"/>
        <v>1+3.16022103692441i</v>
      </c>
      <c r="U271" s="303">
        <f t="shared" si="69"/>
        <v>15.373213646088992</v>
      </c>
      <c r="V271" s="301">
        <f t="shared" si="70"/>
        <v>190.97350864573053</v>
      </c>
      <c r="W271" s="301">
        <f t="shared" si="71"/>
        <v>46.903358955292589</v>
      </c>
      <c r="X271" s="303">
        <f t="shared" si="72"/>
        <v>-77.587274609746231</v>
      </c>
      <c r="Y271" s="192" t="str">
        <f t="shared" si="73"/>
        <v>47.5893665975413-216.219864128355i</v>
      </c>
      <c r="Z271" s="192" t="str">
        <f t="shared" si="74"/>
        <v>-50720.3155162172i</v>
      </c>
      <c r="AA271" s="192" t="str">
        <f t="shared" si="75"/>
        <v>22150.1592153998-7009.05378345208i</v>
      </c>
      <c r="AB271" s="192" t="str">
        <f t="shared" si="76"/>
        <v>1381.90263844297-3601.61599630387i</v>
      </c>
      <c r="AC271" s="192" t="str">
        <f t="shared" si="77"/>
        <v>14903.9462020197-11876.557963422i</v>
      </c>
      <c r="AD271" s="192" t="str">
        <f t="shared" si="78"/>
        <v>2013.78409222997-2527.1067480591i</v>
      </c>
      <c r="AE271" s="192" t="str">
        <f t="shared" si="79"/>
        <v>-5.76296845482151-1.11744258672514i</v>
      </c>
      <c r="AF271" s="296"/>
      <c r="AG271" s="296"/>
      <c r="AH271" s="296"/>
      <c r="AI271" s="296"/>
      <c r="AJ271" s="296"/>
      <c r="AK271" s="296"/>
      <c r="AL271" s="296"/>
      <c r="AM271" s="296"/>
      <c r="AN271" s="296"/>
      <c r="AO271" s="296"/>
      <c r="AP271" s="296"/>
      <c r="AQ271" s="296"/>
      <c r="AR271" s="296"/>
      <c r="AS271" s="296"/>
    </row>
    <row r="272" spans="1:45" s="192" customFormat="1" x14ac:dyDescent="0.2">
      <c r="A272" s="301">
        <f t="shared" si="80"/>
        <v>1.3109999999999999</v>
      </c>
      <c r="B272" s="301">
        <f t="shared" si="81"/>
        <v>4.8399999999999856</v>
      </c>
      <c r="C272" s="320">
        <f t="shared" si="82"/>
        <v>69183.097091891308</v>
      </c>
      <c r="D272" s="302">
        <f t="shared" ref="D272:D330" si="84">S272+U272</f>
        <v>-1.311096649833182</v>
      </c>
      <c r="E272" s="301">
        <f t="shared" ref="E272:E330" si="85">P272+V272</f>
        <v>60.377951008135284</v>
      </c>
      <c r="G272" s="320"/>
      <c r="H272" s="315" t="str">
        <f t="shared" ref="H272:H330" si="86">IMSUM(IMDIV(1,COMPLEX(0,Q272*COUT_1*10^-6)),ESR_1*10^-3)</f>
        <v>1E+47-2.30048884455838E+50i</v>
      </c>
      <c r="I272" s="301" t="str">
        <f t="shared" ref="I272:I330" si="87">IMSUM(IMDIV(1,COMPLEX(0,Q272*MLCC*10^-6)),MLCC_ESR*10^-3)</f>
        <v>0.002-0.00212811178960072i</v>
      </c>
      <c r="J272" s="301" t="str">
        <f t="shared" ref="J272:J330" si="88">IMDIV(IMPRODUCT(H272,I272),IMSUM(H272,I272))</f>
        <v>0.002-0.00212811178960072i</v>
      </c>
      <c r="K272" s="301"/>
      <c r="L272" s="301" t="str">
        <f t="shared" ref="L272:L330" si="89">IMDIV(IMPRODUCT(J272,VOUT_1/IOUT_max),IMSUM(J272,VOUT_1/IOUT_max))</f>
        <v>0.00199552365921276-0.0018213053615925i</v>
      </c>
      <c r="M272" s="301" t="str">
        <f t="shared" ref="M272:M330" si="90">COMPLEX(DCR_1*10^-3,Q272*LOUT_1*10^-6)</f>
        <v>0.003+0.130407065745885i</v>
      </c>
      <c r="N272" s="301" t="str">
        <f t="shared" ref="N272:N330" si="91">IMDIV(L272,IMSUM(M272,L272))</f>
        <v>-0.0135407828330673-0.016045065597105i</v>
      </c>
      <c r="O272" s="316">
        <f t="shared" ref="O272:O330" si="92">20*LOG(IMABS(N272))</f>
        <v>-33.557614391069947</v>
      </c>
      <c r="P272" s="316">
        <f t="shared" ref="P272:P330" si="93">180/PI()*IMARGUMENT(N272)</f>
        <v>-130.16175365910851</v>
      </c>
      <c r="Q272" s="301">
        <f t="shared" ref="Q272:Q330" si="94">2*PI()*C272</f>
        <v>434690.21915295022</v>
      </c>
      <c r="R272" s="301">
        <f t="shared" si="83"/>
        <v>4.8399999999999848</v>
      </c>
      <c r="S272" s="308">
        <f t="shared" ref="S272:S330" si="95">20*LOG(IMABS(N272)*$F$62)</f>
        <v>-16.907436136945222</v>
      </c>
      <c r="T272" s="301" t="str">
        <f t="shared" ref="T272:T330" si="96">COMPLEX(1,Q272*(R_1+R_2)*C_1*10^-12)</f>
        <v>1+3.30915766591456i</v>
      </c>
      <c r="U272" s="303">
        <f t="shared" ref="U272:U330" si="97">20*LOG(IMABS(AE272))</f>
        <v>15.59633948711204</v>
      </c>
      <c r="V272" s="301">
        <f t="shared" ref="V272:V330" si="98">IF(180/PI()*IMARGUMENT(AE272)&lt;0,180/PI()*IMARGUMENT(AE272)+360,180/PI()*IMARGUMENT(AE272))</f>
        <v>190.5397046672438</v>
      </c>
      <c r="W272" s="301">
        <f t="shared" ref="W272:W330" si="99">20*LOG(IMABS(Y272))</f>
        <v>46.522112495263492</v>
      </c>
      <c r="X272" s="303">
        <f t="shared" ref="X272:X330" si="100">180/PI()*IMARGUMENT(Y272)</f>
        <v>-78.163090566916381</v>
      </c>
      <c r="Y272" s="192" t="str">
        <f t="shared" ref="Y272:Y330" si="101">IMDIV(10^(DCGAIN/20),IMPRODUCT(COMPLEX(1,2*PI()*C272/(2*PI()*(GBWP*10^6/10^(DCGAIN/20)))),COMPLEX(1,2*PI()*C272/(2*PI()*EAP*10^6))))</f>
        <v>43.463788525992-207.381945365592i</v>
      </c>
      <c r="Z272" s="192" t="str">
        <f t="shared" ref="Z272:Z330" si="102">IMDIV(1,COMPLEX(0,2*PI()*C272*C_3*10^-12))</f>
        <v>-48437.5252786555i</v>
      </c>
      <c r="AA272" s="192" t="str">
        <f t="shared" ref="AA272:AA330" si="103">IMSUM(R_3,IMDIV(1,COMPLEX(0,2*PI()*C272*C_2*10^-12)))</f>
        <v>22150.1592153998-6693.59439822221i</v>
      </c>
      <c r="AB272" s="192" t="str">
        <f t="shared" ref="AB272:AB330" si="104">IMSUM(R_2,IMDIV(1,COMPLEX(0,2*PI()*C272*C_1*10^-12)))</f>
        <v>1381.90263844297-3439.51657416642i</v>
      </c>
      <c r="AC272" s="192" t="str">
        <f t="shared" ref="AC272:AC330" si="105">IMDIV(IMPRODUCT(Z272,AA272),IMSUM(Z272,AA272))</f>
        <v>14721.6822229248-11795.6746903873i</v>
      </c>
      <c r="AD272" s="192" t="str">
        <f t="shared" ref="AD272:AD330" si="106">IMDIV(IMPRODUCT(AB272,R_1),IMSUM(AB272,R_1))</f>
        <v>1949.31029381994-2432.85165560556i</v>
      </c>
      <c r="AE272" s="192" t="str">
        <f t="shared" ref="AE272:AE330" si="107">IMDIV(IMPRODUCT(-1,Y272),IMSUM(1,IMDIV(AD272,R_4),IMPRODUCT(IMDIV(AD272,AC272),IMSUM(1,Y272))))</f>
        <v>-5.92143832561185-1.1017186461888i</v>
      </c>
      <c r="AF272" s="296"/>
      <c r="AG272" s="296"/>
      <c r="AH272" s="296"/>
      <c r="AI272" s="296"/>
      <c r="AJ272" s="296"/>
      <c r="AK272" s="296"/>
      <c r="AL272" s="296"/>
      <c r="AM272" s="296"/>
      <c r="AN272" s="296"/>
      <c r="AO272" s="296"/>
      <c r="AP272" s="296"/>
      <c r="AQ272" s="296"/>
      <c r="AR272" s="296"/>
      <c r="AS272" s="296"/>
    </row>
    <row r="273" spans="1:45" s="192" customFormat="1" x14ac:dyDescent="0.2">
      <c r="A273" s="301">
        <f t="shared" ref="A273:A330" si="108">ROUND(ABS(D273),3)</f>
        <v>1.7070000000000001</v>
      </c>
      <c r="B273" s="301">
        <f t="shared" ref="B273:B330" si="109">LOG(C273)</f>
        <v>4.8599999999999843</v>
      </c>
      <c r="C273" s="320">
        <f t="shared" ref="C273:C330" si="110">10^R273</f>
        <v>72443.59600749641</v>
      </c>
      <c r="D273" s="302">
        <f t="shared" si="84"/>
        <v>-1.7074528405209861</v>
      </c>
      <c r="E273" s="301">
        <f t="shared" si="85"/>
        <v>60.832838952401573</v>
      </c>
      <c r="G273" s="320"/>
      <c r="H273" s="315" t="str">
        <f t="shared" si="86"/>
        <v>1E+47-2.19694979077828E+50i</v>
      </c>
      <c r="I273" s="301" t="str">
        <f t="shared" si="87"/>
        <v>0.002-0.0020323309812935i</v>
      </c>
      <c r="J273" s="301" t="str">
        <f t="shared" si="88"/>
        <v>0.002-0.0020323309812935i</v>
      </c>
      <c r="K273" s="301"/>
      <c r="L273" s="301" t="str">
        <f t="shared" si="89"/>
        <v>0.00198328388176306-0.00174023067881227i</v>
      </c>
      <c r="M273" s="301" t="str">
        <f t="shared" si="90"/>
        <v>0.003+0.136552961410067i</v>
      </c>
      <c r="N273" s="301" t="str">
        <f t="shared" si="91"/>
        <v>-0.0123478329154662-0.0151678304223485i</v>
      </c>
      <c r="O273" s="316">
        <f t="shared" si="92"/>
        <v>-34.173321636965007</v>
      </c>
      <c r="P273" s="316">
        <f t="shared" si="93"/>
        <v>-129.14835869334459</v>
      </c>
      <c r="Q273" s="301">
        <f t="shared" si="94"/>
        <v>455176.5380335552</v>
      </c>
      <c r="R273" s="301">
        <f t="shared" ref="R273:R330" si="111">R272+0.02</f>
        <v>4.8599999999999843</v>
      </c>
      <c r="S273" s="308">
        <f t="shared" si="95"/>
        <v>-17.523143382840281</v>
      </c>
      <c r="T273" s="301" t="str">
        <f t="shared" si="96"/>
        <v>1+3.46511346198061i</v>
      </c>
      <c r="U273" s="303">
        <f t="shared" si="97"/>
        <v>15.815690542319295</v>
      </c>
      <c r="V273" s="301">
        <f t="shared" si="98"/>
        <v>189.98119764574616</v>
      </c>
      <c r="W273" s="301">
        <f t="shared" si="99"/>
        <v>46.139283586380415</v>
      </c>
      <c r="X273" s="303">
        <f t="shared" si="100"/>
        <v>-78.716844285064056</v>
      </c>
      <c r="Y273" s="192" t="str">
        <f t="shared" si="101"/>
        <v>39.6699313328604-198.832811372829i</v>
      </c>
      <c r="Z273" s="192" t="str">
        <f t="shared" si="102"/>
        <v>-46257.4775263417i</v>
      </c>
      <c r="AA273" s="192" t="str">
        <f t="shared" si="103"/>
        <v>22150.1592153998-6392.33302413684i</v>
      </c>
      <c r="AB273" s="192" t="str">
        <f t="shared" si="104"/>
        <v>1381.90263844297-3284.71282782678i</v>
      </c>
      <c r="AC273" s="192" t="str">
        <f t="shared" si="105"/>
        <v>14526.8897311705-11727.7937982869i</v>
      </c>
      <c r="AD273" s="192" t="str">
        <f t="shared" si="106"/>
        <v>1889.5951138771-2340.58854785294i</v>
      </c>
      <c r="AE273" s="192" t="str">
        <f t="shared" si="107"/>
        <v>-6.08360617423086-1.07064554224057i</v>
      </c>
      <c r="AF273" s="296"/>
      <c r="AG273" s="296"/>
      <c r="AH273" s="296"/>
      <c r="AI273" s="296"/>
      <c r="AJ273" s="296"/>
      <c r="AK273" s="296"/>
      <c r="AL273" s="296"/>
      <c r="AM273" s="296"/>
      <c r="AN273" s="296"/>
      <c r="AO273" s="296"/>
      <c r="AP273" s="296"/>
      <c r="AQ273" s="296"/>
      <c r="AR273" s="296"/>
      <c r="AS273" s="296"/>
    </row>
    <row r="274" spans="1:45" s="192" customFormat="1" x14ac:dyDescent="0.2">
      <c r="A274" s="301">
        <f t="shared" si="108"/>
        <v>2.0990000000000002</v>
      </c>
      <c r="B274" s="301">
        <f t="shared" si="109"/>
        <v>4.8799999999999839</v>
      </c>
      <c r="C274" s="320">
        <f t="shared" si="110"/>
        <v>75857.757502915643</v>
      </c>
      <c r="D274" s="302">
        <f t="shared" si="84"/>
        <v>-2.0988275809765895</v>
      </c>
      <c r="E274" s="301">
        <f t="shared" si="85"/>
        <v>61.179597889744997</v>
      </c>
      <c r="G274" s="320"/>
      <c r="H274" s="315" t="str">
        <f t="shared" si="86"/>
        <v>1E+47-2.0980707620546E+50i</v>
      </c>
      <c r="I274" s="301" t="str">
        <f t="shared" si="87"/>
        <v>0.002-0.00194086101947697i</v>
      </c>
      <c r="J274" s="301" t="str">
        <f t="shared" si="88"/>
        <v>0.002-0.00194086101947697i</v>
      </c>
      <c r="K274" s="301"/>
      <c r="L274" s="301" t="str">
        <f t="shared" si="89"/>
        <v>0.00197211005286397-0.00166268991140102i</v>
      </c>
      <c r="M274" s="301" t="str">
        <f t="shared" si="90"/>
        <v>0.003+0.142988504213373i</v>
      </c>
      <c r="N274" s="301" t="str">
        <f t="shared" si="91"/>
        <v>-0.0112600634630994-0.0143505016236544i</v>
      </c>
      <c r="O274" s="316">
        <f t="shared" si="92"/>
        <v>-34.779133575352638</v>
      </c>
      <c r="P274" s="316">
        <f t="shared" si="93"/>
        <v>-128.11936150758521</v>
      </c>
      <c r="Q274" s="301">
        <f t="shared" si="94"/>
        <v>476628.34737791156</v>
      </c>
      <c r="R274" s="301">
        <f t="shared" si="111"/>
        <v>4.8799999999999839</v>
      </c>
      <c r="S274" s="308">
        <f t="shared" si="95"/>
        <v>-18.12895532122791</v>
      </c>
      <c r="T274" s="301" t="str">
        <f t="shared" si="96"/>
        <v>1+3.62841922827538i</v>
      </c>
      <c r="U274" s="303">
        <f t="shared" si="97"/>
        <v>16.03012774025132</v>
      </c>
      <c r="V274" s="301">
        <f t="shared" si="98"/>
        <v>189.29895939733021</v>
      </c>
      <c r="W274" s="301">
        <f t="shared" si="99"/>
        <v>45.754999661995427</v>
      </c>
      <c r="X274" s="303">
        <f t="shared" si="100"/>
        <v>-79.249336315998079</v>
      </c>
      <c r="Y274" s="192" t="str">
        <f t="shared" si="101"/>
        <v>36.183559157795-190.572249671871i</v>
      </c>
      <c r="Z274" s="192" t="str">
        <f t="shared" si="102"/>
        <v>-44175.5480857097i</v>
      </c>
      <c r="AA274" s="192" t="str">
        <f t="shared" si="103"/>
        <v>22150.1592153998-6104.63064543069i</v>
      </c>
      <c r="AB274" s="192" t="str">
        <f t="shared" si="104"/>
        <v>1381.90263844297-3136.87639778408i</v>
      </c>
      <c r="AC274" s="192" t="str">
        <f t="shared" si="105"/>
        <v>14319.1441310125-11671.5322372044i</v>
      </c>
      <c r="AD274" s="192" t="str">
        <f t="shared" si="106"/>
        <v>1834.35658959307-2250.4685640441i</v>
      </c>
      <c r="AE274" s="192" t="str">
        <f t="shared" si="107"/>
        <v>-6.24829232501986-1.02308058414934i</v>
      </c>
      <c r="AF274" s="296"/>
      <c r="AG274" s="296"/>
      <c r="AH274" s="296"/>
      <c r="AI274" s="296"/>
      <c r="AJ274" s="296"/>
      <c r="AK274" s="296"/>
      <c r="AL274" s="296"/>
      <c r="AM274" s="296"/>
      <c r="AN274" s="296"/>
      <c r="AO274" s="296"/>
      <c r="AP274" s="296"/>
      <c r="AQ274" s="296"/>
      <c r="AR274" s="296"/>
      <c r="AS274" s="296"/>
    </row>
    <row r="275" spans="1:45" s="192" customFormat="1" x14ac:dyDescent="0.2">
      <c r="A275" s="301">
        <f t="shared" si="108"/>
        <v>2.4860000000000002</v>
      </c>
      <c r="B275" s="301">
        <f t="shared" si="109"/>
        <v>4.8999999999999844</v>
      </c>
      <c r="C275" s="320">
        <f t="shared" si="110"/>
        <v>79432.823472425283</v>
      </c>
      <c r="D275" s="302">
        <f t="shared" si="84"/>
        <v>-2.4864314065396336</v>
      </c>
      <c r="E275" s="301">
        <f t="shared" si="85"/>
        <v>61.416053095322113</v>
      </c>
      <c r="G275" s="320"/>
      <c r="H275" s="315" t="str">
        <f t="shared" si="86"/>
        <v>1E+47-2.00364202271049E+50i</v>
      </c>
      <c r="I275" s="301" t="str">
        <f t="shared" si="87"/>
        <v>0.002-0.00185350788409851i</v>
      </c>
      <c r="J275" s="301" t="str">
        <f t="shared" si="88"/>
        <v>0.002-0.00185350788409851i</v>
      </c>
      <c r="K275" s="301"/>
      <c r="L275" s="301" t="str">
        <f t="shared" si="89"/>
        <v>0.00196191022143599-0.00158853869430132i</v>
      </c>
      <c r="M275" s="301" t="str">
        <f t="shared" si="90"/>
        <v>0.003+0.14972734480492i</v>
      </c>
      <c r="N275" s="301" t="str">
        <f t="shared" si="91"/>
        <v>-0.0102681935518335-0.0135876623338888i</v>
      </c>
      <c r="O275" s="316">
        <f t="shared" si="92"/>
        <v>-35.375116085932824</v>
      </c>
      <c r="P275" s="316">
        <f t="shared" si="93"/>
        <v>-127.07833371175631</v>
      </c>
      <c r="Q275" s="301">
        <f t="shared" si="94"/>
        <v>499091.14934973232</v>
      </c>
      <c r="R275" s="301">
        <f t="shared" si="111"/>
        <v>4.8999999999999835</v>
      </c>
      <c r="S275" s="308">
        <f t="shared" si="95"/>
        <v>-18.724937831808099</v>
      </c>
      <c r="T275" s="301" t="str">
        <f t="shared" si="96"/>
        <v>1+3.79942135822397i</v>
      </c>
      <c r="U275" s="303">
        <f t="shared" si="97"/>
        <v>16.238506425268465</v>
      </c>
      <c r="V275" s="301">
        <f t="shared" si="98"/>
        <v>188.49438680707843</v>
      </c>
      <c r="W275" s="301">
        <f t="shared" si="99"/>
        <v>45.369378733025641</v>
      </c>
      <c r="X275" s="303">
        <f t="shared" si="100"/>
        <v>-79.761366635660281</v>
      </c>
      <c r="Y275" s="192" t="str">
        <f t="shared" si="101"/>
        <v>32.9818071725506-182.598652320882i</v>
      </c>
      <c r="Z275" s="192" t="str">
        <f t="shared" si="102"/>
        <v>-42187.3209052862i</v>
      </c>
      <c r="AA275" s="192" t="str">
        <f t="shared" si="103"/>
        <v>22150.1592153998-5829.87700678553i</v>
      </c>
      <c r="AB275" s="192" t="str">
        <f t="shared" si="104"/>
        <v>1381.90263844297-2995.69370314943i</v>
      </c>
      <c r="AC275" s="192" t="str">
        <f t="shared" si="105"/>
        <v>14098.0795570053-11625.4513635897i</v>
      </c>
      <c r="AD275" s="192" t="str">
        <f t="shared" si="106"/>
        <v>1783.31831372695-2162.61396448903i</v>
      </c>
      <c r="AE275" s="192" t="str">
        <f t="shared" si="107"/>
        <v>-6.41408831510356-0.957949515713608i</v>
      </c>
      <c r="AF275" s="296"/>
      <c r="AG275" s="296"/>
      <c r="AH275" s="296"/>
      <c r="AI275" s="296"/>
      <c r="AJ275" s="296"/>
      <c r="AK275" s="296"/>
      <c r="AL275" s="296"/>
      <c r="AM275" s="296"/>
      <c r="AN275" s="296"/>
      <c r="AO275" s="296"/>
      <c r="AP275" s="296"/>
      <c r="AQ275" s="296"/>
      <c r="AR275" s="296"/>
      <c r="AS275" s="296"/>
    </row>
    <row r="276" spans="1:45" s="192" customFormat="1" x14ac:dyDescent="0.2">
      <c r="A276" s="301">
        <f t="shared" si="108"/>
        <v>2.8719999999999999</v>
      </c>
      <c r="B276" s="301">
        <f t="shared" si="109"/>
        <v>4.9199999999999831</v>
      </c>
      <c r="C276" s="320">
        <f t="shared" si="110"/>
        <v>83176.377110263929</v>
      </c>
      <c r="D276" s="302">
        <f t="shared" si="84"/>
        <v>-2.8715109736234936</v>
      </c>
      <c r="E276" s="301">
        <f t="shared" si="85"/>
        <v>61.540551602870764</v>
      </c>
      <c r="G276" s="320"/>
      <c r="H276" s="315" t="str">
        <f t="shared" si="86"/>
        <v>1E+47-1.91346327672951E+50i</v>
      </c>
      <c r="I276" s="301" t="str">
        <f t="shared" si="87"/>
        <v>0.002-0.00177008628744636i</v>
      </c>
      <c r="J276" s="301" t="str">
        <f t="shared" si="88"/>
        <v>0.002-0.00177008628744636i</v>
      </c>
      <c r="K276" s="301"/>
      <c r="L276" s="301" t="str">
        <f t="shared" si="89"/>
        <v>0.00195260022052008-0.00151763729697883i</v>
      </c>
      <c r="M276" s="301" t="str">
        <f t="shared" si="90"/>
        <v>0.003+0.156783777169092i</v>
      </c>
      <c r="N276" s="301" t="str">
        <f t="shared" si="91"/>
        <v>-0.00936376087037841-0.0128745081594615i</v>
      </c>
      <c r="O276" s="316">
        <f t="shared" si="92"/>
        <v>-35.96136873172685</v>
      </c>
      <c r="P276" s="316">
        <f t="shared" si="93"/>
        <v>-126.02877695213509</v>
      </c>
      <c r="Q276" s="301">
        <f t="shared" si="94"/>
        <v>522612.59056363878</v>
      </c>
      <c r="R276" s="301">
        <f t="shared" si="111"/>
        <v>4.9199999999999831</v>
      </c>
      <c r="S276" s="308">
        <f t="shared" si="95"/>
        <v>-19.311190477602125</v>
      </c>
      <c r="T276" s="301" t="str">
        <f t="shared" si="96"/>
        <v>1+3.97848257027063i</v>
      </c>
      <c r="U276" s="303">
        <f t="shared" si="97"/>
        <v>16.439679503978631</v>
      </c>
      <c r="V276" s="301">
        <f t="shared" si="98"/>
        <v>187.56932855500585</v>
      </c>
      <c r="W276" s="301">
        <f t="shared" si="99"/>
        <v>44.982529932747752</v>
      </c>
      <c r="X276" s="303">
        <f t="shared" si="100"/>
        <v>-80.253731320120991</v>
      </c>
      <c r="Y276" s="192" t="str">
        <f t="shared" si="101"/>
        <v>30.0431728356429-174.909213868648i</v>
      </c>
      <c r="Z276" s="192" t="str">
        <f t="shared" si="102"/>
        <v>-40288.5786886556i</v>
      </c>
      <c r="AA276" s="192" t="str">
        <f t="shared" si="103"/>
        <v>22150.1592153998-5567.48931889706i</v>
      </c>
      <c r="AB276" s="192" t="str">
        <f t="shared" si="104"/>
        <v>1381.90263844297-2860.86527649881i</v>
      </c>
      <c r="AC276" s="192" t="str">
        <f t="shared" si="105"/>
        <v>13863.401814377-11588.0582890497i</v>
      </c>
      <c r="AD276" s="192" t="str">
        <f t="shared" si="106"/>
        <v>1736.21138566866-2077.12072841108i</v>
      </c>
      <c r="AE276" s="192" t="str">
        <f t="shared" si="107"/>
        <v>-6.57935067072754-0.874288317604944i</v>
      </c>
      <c r="AF276" s="296"/>
      <c r="AG276" s="296"/>
      <c r="AH276" s="296"/>
      <c r="AI276" s="296"/>
      <c r="AJ276" s="296"/>
      <c r="AK276" s="296"/>
      <c r="AL276" s="296"/>
      <c r="AM276" s="296"/>
      <c r="AN276" s="296"/>
      <c r="AO276" s="296"/>
      <c r="AP276" s="296"/>
      <c r="AQ276" s="296"/>
      <c r="AR276" s="296"/>
      <c r="AS276" s="296"/>
    </row>
    <row r="277" spans="1:45" s="192" customFormat="1" x14ac:dyDescent="0.2">
      <c r="A277" s="301">
        <f t="shared" si="108"/>
        <v>3.2549999999999999</v>
      </c>
      <c r="B277" s="301">
        <f t="shared" si="109"/>
        <v>4.9399999999999835</v>
      </c>
      <c r="C277" s="320">
        <f t="shared" si="110"/>
        <v>87096.358995604722</v>
      </c>
      <c r="D277" s="302">
        <f t="shared" si="84"/>
        <v>-3.2553445538981727</v>
      </c>
      <c r="E277" s="301">
        <f t="shared" si="85"/>
        <v>61.552014884751102</v>
      </c>
      <c r="G277" s="320"/>
      <c r="H277" s="315" t="str">
        <f t="shared" si="86"/>
        <v>1E+47-1.82734324290097E+50i</v>
      </c>
      <c r="I277" s="301" t="str">
        <f t="shared" si="87"/>
        <v>0.002-0.00169041928112948i</v>
      </c>
      <c r="J277" s="301" t="str">
        <f t="shared" si="88"/>
        <v>0.002-0.00169041928112948i</v>
      </c>
      <c r="K277" s="301"/>
      <c r="L277" s="301" t="str">
        <f t="shared" si="89"/>
        <v>0.00194410303318974-0.00144985064866321i</v>
      </c>
      <c r="M277" s="301" t="str">
        <f t="shared" si="90"/>
        <v>0.003+0.164172768945007i</v>
      </c>
      <c r="N277" s="301" t="str">
        <f t="shared" si="91"/>
        <v>-0.0085390499541843-0.0122067683935669i</v>
      </c>
      <c r="O277" s="316">
        <f t="shared" si="92"/>
        <v>-36.538024432668919</v>
      </c>
      <c r="P277" s="316">
        <f t="shared" si="93"/>
        <v>-124.97409828795888</v>
      </c>
      <c r="Q277" s="301">
        <f t="shared" si="94"/>
        <v>547242.56315002218</v>
      </c>
      <c r="R277" s="301">
        <f t="shared" si="111"/>
        <v>4.9399999999999826</v>
      </c>
      <c r="S277" s="308">
        <f t="shared" si="95"/>
        <v>-19.887846178544198</v>
      </c>
      <c r="T277" s="301" t="str">
        <f t="shared" si="96"/>
        <v>1+4.16598267725329i</v>
      </c>
      <c r="U277" s="303">
        <f t="shared" si="97"/>
        <v>16.632501624646025</v>
      </c>
      <c r="V277" s="301">
        <f t="shared" si="98"/>
        <v>186.52611317270998</v>
      </c>
      <c r="W277" s="301">
        <f t="shared" si="99"/>
        <v>44.594554054952205</v>
      </c>
      <c r="X277" s="303">
        <f t="shared" si="100"/>
        <v>-80.72721972345461</v>
      </c>
      <c r="Y277" s="192" t="str">
        <f t="shared" si="101"/>
        <v>27.3474926943378-167.500111345275i</v>
      </c>
      <c r="Z277" s="192" t="str">
        <f t="shared" si="102"/>
        <v>-38475.2939490072i</v>
      </c>
      <c r="AA277" s="192" t="str">
        <f t="shared" si="103"/>
        <v>22150.1592153998-5316.91102230022i</v>
      </c>
      <c r="AB277" s="192" t="str">
        <f t="shared" si="104"/>
        <v>1381.90263844297-2732.10512866253i</v>
      </c>
      <c r="AC277" s="192" t="str">
        <f t="shared" si="105"/>
        <v>13614.9017774517-11557.8093610022i</v>
      </c>
      <c r="AD277" s="192" t="str">
        <f t="shared" si="106"/>
        <v>1692.77594367064-1994.06111352495i</v>
      </c>
      <c r="AE277" s="192" t="str">
        <f t="shared" si="107"/>
        <v>-6.74220207278638-0.771289777428349i</v>
      </c>
      <c r="AF277" s="296"/>
      <c r="AG277" s="296"/>
      <c r="AH277" s="296"/>
      <c r="AI277" s="296"/>
      <c r="AJ277" s="296"/>
      <c r="AK277" s="296"/>
      <c r="AL277" s="296"/>
      <c r="AM277" s="296"/>
      <c r="AN277" s="296"/>
      <c r="AO277" s="296"/>
      <c r="AP277" s="296"/>
      <c r="AQ277" s="296"/>
      <c r="AR277" s="296"/>
      <c r="AS277" s="296"/>
    </row>
    <row r="278" spans="1:45" s="192" customFormat="1" x14ac:dyDescent="0.2">
      <c r="A278" s="301">
        <f t="shared" si="108"/>
        <v>3.6389999999999998</v>
      </c>
      <c r="B278" s="301">
        <f t="shared" si="109"/>
        <v>4.9599999999999822</v>
      </c>
      <c r="C278" s="320">
        <f t="shared" si="110"/>
        <v>91201.083935587303</v>
      </c>
      <c r="D278" s="302">
        <f t="shared" si="84"/>
        <v>-3.6392357047666941</v>
      </c>
      <c r="E278" s="301">
        <f t="shared" si="85"/>
        <v>61.449990678182274</v>
      </c>
      <c r="G278" s="320"/>
      <c r="H278" s="315" t="str">
        <f t="shared" si="86"/>
        <v>1E+47-1.7450992490868E+50i</v>
      </c>
      <c r="I278" s="301" t="str">
        <f t="shared" si="87"/>
        <v>0.002-0.00161433788074634i</v>
      </c>
      <c r="J278" s="301" t="str">
        <f t="shared" si="88"/>
        <v>0.002-0.00161433788074634i</v>
      </c>
      <c r="K278" s="301"/>
      <c r="L278" s="301" t="str">
        <f t="shared" si="89"/>
        <v>0.00193634820588303-0.00138504833361256i</v>
      </c>
      <c r="M278" s="301" t="str">
        <f t="shared" si="90"/>
        <v>0.003+0.17190999317488i</v>
      </c>
      <c r="N278" s="301" t="str">
        <f t="shared" si="91"/>
        <v>-0.00778702654050897-0.0115806381419074i</v>
      </c>
      <c r="O278" s="316">
        <f t="shared" si="92"/>
        <v>-37.105248481525742</v>
      </c>
      <c r="P278" s="316">
        <f t="shared" si="93"/>
        <v>-123.91758631134516</v>
      </c>
      <c r="Q278" s="301">
        <f t="shared" si="94"/>
        <v>573033.3105829343</v>
      </c>
      <c r="R278" s="301">
        <f t="shared" si="111"/>
        <v>4.9599999999999822</v>
      </c>
      <c r="S278" s="308">
        <f t="shared" si="95"/>
        <v>-20.455070227401016</v>
      </c>
      <c r="T278" s="301" t="str">
        <f t="shared" si="96"/>
        <v>1+4.36231939203743i</v>
      </c>
      <c r="U278" s="303">
        <f t="shared" si="97"/>
        <v>16.815834522634322</v>
      </c>
      <c r="V278" s="301">
        <f t="shared" si="98"/>
        <v>185.36757698952744</v>
      </c>
      <c r="W278" s="301">
        <f t="shared" si="99"/>
        <v>44.205544080292739</v>
      </c>
      <c r="X278" s="303">
        <f t="shared" si="100"/>
        <v>-81.182612110994583</v>
      </c>
      <c r="Y278" s="192" t="str">
        <f t="shared" si="101"/>
        <v>24.8759077879384-160.366666821854i</v>
      </c>
      <c r="Z278" s="192" t="str">
        <f t="shared" si="102"/>
        <v>-36743.6204662975i</v>
      </c>
      <c r="AA278" s="192" t="str">
        <f t="shared" si="103"/>
        <v>22150.1592153998-5077.61060683236i</v>
      </c>
      <c r="AB278" s="192" t="str">
        <f t="shared" si="104"/>
        <v>1381.90263844297-2609.14014210386i</v>
      </c>
      <c r="AC278" s="192" t="str">
        <f t="shared" si="105"/>
        <v>13352.4689121635-11533.1160025581i</v>
      </c>
      <c r="AD278" s="192" t="str">
        <f t="shared" si="106"/>
        <v>1652.7623253434-1913.48613535562i</v>
      </c>
      <c r="AE278" s="192" t="str">
        <f t="shared" si="107"/>
        <v>-6.90054167983285-0.648353620974946i</v>
      </c>
      <c r="AF278" s="296"/>
      <c r="AG278" s="296"/>
      <c r="AH278" s="296"/>
      <c r="AI278" s="296"/>
      <c r="AJ278" s="296"/>
      <c r="AK278" s="296"/>
      <c r="AL278" s="296"/>
      <c r="AM278" s="296"/>
      <c r="AN278" s="296"/>
      <c r="AO278" s="296"/>
      <c r="AP278" s="296"/>
      <c r="AQ278" s="296"/>
      <c r="AR278" s="296"/>
      <c r="AS278" s="296"/>
    </row>
    <row r="279" spans="1:45" s="192" customFormat="1" x14ac:dyDescent="0.2">
      <c r="A279" s="301">
        <f t="shared" si="108"/>
        <v>4.0250000000000004</v>
      </c>
      <c r="B279" s="301">
        <f t="shared" si="109"/>
        <v>4.9799999999999827</v>
      </c>
      <c r="C279" s="320">
        <f t="shared" si="110"/>
        <v>95499.258602139729</v>
      </c>
      <c r="D279" s="302">
        <f t="shared" si="84"/>
        <v>-4.0245050736678252</v>
      </c>
      <c r="E279" s="301">
        <f t="shared" si="85"/>
        <v>61.234701484472396</v>
      </c>
      <c r="G279" s="320"/>
      <c r="H279" s="315" t="str">
        <f t="shared" si="86"/>
        <v>1E+47-1.66655684474947E+50i</v>
      </c>
      <c r="I279" s="301" t="str">
        <f t="shared" si="87"/>
        <v>0.002-0.00154168070744632i</v>
      </c>
      <c r="J279" s="301" t="str">
        <f t="shared" si="88"/>
        <v>0.002-0.00154168070744632i</v>
      </c>
      <c r="K279" s="301"/>
      <c r="L279" s="301" t="str">
        <f t="shared" si="89"/>
        <v>0.00192927130634837-0.00132310456120283i</v>
      </c>
      <c r="M279" s="301" t="str">
        <f t="shared" si="90"/>
        <v>0.003+0.180011861548652i</v>
      </c>
      <c r="N279" s="301" t="str">
        <f t="shared" si="91"/>
        <v>-0.00710127757613488-0.0109927197617744i</v>
      </c>
      <c r="O279" s="316">
        <f t="shared" si="92"/>
        <v>-37.663236952201487</v>
      </c>
      <c r="P279" s="316">
        <f t="shared" si="93"/>
        <v>-122.86238874764504</v>
      </c>
      <c r="Q279" s="301">
        <f t="shared" si="94"/>
        <v>600039.53849550802</v>
      </c>
      <c r="R279" s="301">
        <f t="shared" si="111"/>
        <v>4.9799999999999818</v>
      </c>
      <c r="S279" s="308">
        <f t="shared" si="95"/>
        <v>-21.013058698076755</v>
      </c>
      <c r="T279" s="301" t="str">
        <f t="shared" si="96"/>
        <v>1+4.56790917111844i</v>
      </c>
      <c r="U279" s="303">
        <f t="shared" si="97"/>
        <v>16.988553624408929</v>
      </c>
      <c r="V279" s="301">
        <f t="shared" si="98"/>
        <v>184.09709023211744</v>
      </c>
      <c r="W279" s="301">
        <f t="shared" si="99"/>
        <v>43.815585686805953</v>
      </c>
      <c r="X279" s="303">
        <f t="shared" si="100"/>
        <v>-81.620677703212266</v>
      </c>
      <c r="Y279" s="192" t="str">
        <f t="shared" si="101"/>
        <v>22.6108202998059-153.503493310561i</v>
      </c>
      <c r="Z279" s="192" t="str">
        <f t="shared" si="102"/>
        <v>-35089.8851288995i</v>
      </c>
      <c r="AA279" s="192" t="str">
        <f t="shared" si="103"/>
        <v>22150.1592153998-4849.08048422871i</v>
      </c>
      <c r="AB279" s="192" t="str">
        <f t="shared" si="104"/>
        <v>1381.90263844297-2491.7094916001i</v>
      </c>
      <c r="AC279" s="192" t="str">
        <f t="shared" si="105"/>
        <v>13076.1045157651-11512.3530881491i</v>
      </c>
      <c r="AD279" s="192" t="str">
        <f t="shared" si="106"/>
        <v>1615.93190306714-1835.42793493856i</v>
      </c>
      <c r="AE279" s="192" t="str">
        <f t="shared" si="107"/>
        <v>-7.05206624239886-0.505138415454205i</v>
      </c>
      <c r="AF279" s="296"/>
      <c r="AG279" s="296"/>
      <c r="AH279" s="296"/>
      <c r="AI279" s="296"/>
      <c r="AJ279" s="296"/>
      <c r="AK279" s="296"/>
      <c r="AL279" s="296"/>
      <c r="AM279" s="296"/>
      <c r="AN279" s="296"/>
      <c r="AO279" s="296"/>
      <c r="AP279" s="296"/>
      <c r="AQ279" s="296"/>
      <c r="AR279" s="296"/>
      <c r="AS279" s="296"/>
    </row>
    <row r="280" spans="1:45" s="192" customFormat="1" x14ac:dyDescent="0.2">
      <c r="A280" s="301">
        <f t="shared" si="108"/>
        <v>4.4119999999999999</v>
      </c>
      <c r="B280" s="301">
        <f t="shared" si="109"/>
        <v>4.9999999999999813</v>
      </c>
      <c r="C280" s="301">
        <f t="shared" si="110"/>
        <v>99999.999999995751</v>
      </c>
      <c r="D280" s="302">
        <f t="shared" si="84"/>
        <v>-4.4124803671027024</v>
      </c>
      <c r="E280" s="301">
        <f t="shared" si="85"/>
        <v>60.907087107361306</v>
      </c>
      <c r="G280" s="301"/>
      <c r="H280" s="315" t="str">
        <f t="shared" si="86"/>
        <v>1E+47-1.59154943091902E+50i</v>
      </c>
      <c r="I280" s="301" t="str">
        <f t="shared" si="87"/>
        <v>0.002-0.00147229364562352i</v>
      </c>
      <c r="J280" s="301" t="str">
        <f t="shared" si="88"/>
        <v>0.002-0.00147229364562352i</v>
      </c>
      <c r="K280" s="301"/>
      <c r="L280" s="301" t="str">
        <f t="shared" si="89"/>
        <v>0.00192281342342466-0.00126389811503629i</v>
      </c>
      <c r="M280" s="301" t="str">
        <f t="shared" si="90"/>
        <v>0.003+0.18849555921538i</v>
      </c>
      <c r="N280" s="301" t="str">
        <f t="shared" si="91"/>
        <v>-0.006475956429129-0.0104399722631094i</v>
      </c>
      <c r="O280" s="316">
        <f t="shared" si="92"/>
        <v>-38.21221456914936</v>
      </c>
      <c r="P280" s="316">
        <f t="shared" si="93"/>
        <v>-121.81149217759129</v>
      </c>
      <c r="Q280" s="301">
        <f t="shared" si="94"/>
        <v>628318.53071793192</v>
      </c>
      <c r="R280" s="301">
        <f t="shared" si="111"/>
        <v>4.9999999999999813</v>
      </c>
      <c r="S280" s="308">
        <f t="shared" si="95"/>
        <v>-21.562036315024638</v>
      </c>
      <c r="T280" s="301" t="str">
        <f t="shared" si="96"/>
        <v>1+4.78318809798163i</v>
      </c>
      <c r="U280" s="303">
        <f t="shared" si="97"/>
        <v>17.149555947921936</v>
      </c>
      <c r="V280" s="301">
        <f t="shared" si="98"/>
        <v>182.7185792849526</v>
      </c>
      <c r="W280" s="301">
        <f t="shared" si="99"/>
        <v>43.424757741551574</v>
      </c>
      <c r="X280" s="303">
        <f t="shared" si="100"/>
        <v>-82.042173087734966</v>
      </c>
      <c r="Y280" s="192" t="str">
        <f t="shared" si="101"/>
        <v>20.5358437261427-146.904624940935i</v>
      </c>
      <c r="Z280" s="192" t="str">
        <f t="shared" si="102"/>
        <v>-33510.580142443i</v>
      </c>
      <c r="AA280" s="192" t="str">
        <f t="shared" si="103"/>
        <v>22150.1592153998-4630.83591145967i</v>
      </c>
      <c r="AB280" s="192" t="str">
        <f t="shared" si="104"/>
        <v>1381.90263844297-2379.56409099734i</v>
      </c>
      <c r="AC280" s="192" t="str">
        <f t="shared" si="105"/>
        <v>12785.9341999427-11493.8699592138i</v>
      </c>
      <c r="AD280" s="192" t="str">
        <f t="shared" si="106"/>
        <v>1582.0576391802-1759.90201271238i</v>
      </c>
      <c r="AE280" s="192" t="str">
        <f t="shared" si="107"/>
        <v>-7.19430332009157-0.341612850740942i</v>
      </c>
      <c r="AF280" s="296"/>
      <c r="AG280" s="296"/>
      <c r="AH280" s="296"/>
      <c r="AI280" s="296"/>
      <c r="AJ280" s="296"/>
      <c r="AK280" s="296"/>
      <c r="AL280" s="296"/>
      <c r="AM280" s="296"/>
      <c r="AN280" s="296"/>
      <c r="AO280" s="296"/>
      <c r="AP280" s="296"/>
      <c r="AQ280" s="296"/>
      <c r="AR280" s="296"/>
      <c r="AS280" s="296"/>
    </row>
    <row r="281" spans="1:45" s="192" customFormat="1" x14ac:dyDescent="0.2">
      <c r="A281" s="301">
        <f t="shared" si="108"/>
        <v>4.8040000000000003</v>
      </c>
      <c r="B281" s="301">
        <f t="shared" si="109"/>
        <v>5.0199999999999818</v>
      </c>
      <c r="C281" s="320">
        <f t="shared" si="110"/>
        <v>104712.85480508549</v>
      </c>
      <c r="D281" s="302">
        <f t="shared" si="84"/>
        <v>-4.8044845988929232</v>
      </c>
      <c r="E281" s="301">
        <f t="shared" si="85"/>
        <v>60.468838527073828</v>
      </c>
      <c r="G281" s="320"/>
      <c r="H281" s="315" t="str">
        <f t="shared" si="86"/>
        <v>1E+47-1.5199179068143E+50i</v>
      </c>
      <c r="I281" s="301" t="str">
        <f t="shared" si="87"/>
        <v>0.002-0.00140602951601693i</v>
      </c>
      <c r="J281" s="301" t="str">
        <f t="shared" si="88"/>
        <v>0.002-0.00140602951601693i</v>
      </c>
      <c r="K281" s="301"/>
      <c r="L281" s="301" t="str">
        <f t="shared" si="89"/>
        <v>0.00191692070593602-0.00120731228472256i</v>
      </c>
      <c r="M281" s="301" t="str">
        <f t="shared" si="90"/>
        <v>0.003+0.197379081235243i</v>
      </c>
      <c r="N281" s="301" t="str">
        <f t="shared" si="91"/>
        <v>-0.00590573288021947-0.00991966752723387i</v>
      </c>
      <c r="O281" s="316">
        <f t="shared" si="92"/>
        <v>-38.752432121389504</v>
      </c>
      <c r="P281" s="316">
        <f t="shared" si="93"/>
        <v>-120.76770440455034</v>
      </c>
      <c r="Q281" s="301">
        <f t="shared" si="94"/>
        <v>657930.27078414243</v>
      </c>
      <c r="R281" s="301">
        <f t="shared" si="111"/>
        <v>5.0199999999999809</v>
      </c>
      <c r="S281" s="308">
        <f t="shared" si="95"/>
        <v>-22.102253867264775</v>
      </c>
      <c r="T281" s="301" t="str">
        <f t="shared" si="96"/>
        <v>1+5.00861280809385i</v>
      </c>
      <c r="U281" s="303">
        <f t="shared" si="97"/>
        <v>17.297769268371852</v>
      </c>
      <c r="V281" s="301">
        <f t="shared" si="98"/>
        <v>181.23654293162417</v>
      </c>
      <c r="W281" s="301">
        <f t="shared" si="99"/>
        <v>43.033132771159963</v>
      </c>
      <c r="X281" s="303">
        <f t="shared" si="100"/>
        <v>-82.447840959640942</v>
      </c>
      <c r="Y281" s="192" t="str">
        <f t="shared" si="101"/>
        <v>18.6357484820471-140.563632451745i</v>
      </c>
      <c r="Z281" s="192" t="str">
        <f t="shared" si="102"/>
        <v>-32002.3555893103i</v>
      </c>
      <c r="AA281" s="192" t="str">
        <f t="shared" si="103"/>
        <v>22150.1592153998-4422.41396252579i</v>
      </c>
      <c r="AB281" s="192" t="str">
        <f t="shared" si="104"/>
        <v>1381.90263844297-2272.4660648653i</v>
      </c>
      <c r="AC281" s="192" t="str">
        <f t="shared" si="105"/>
        <v>12482.2190889224-11476.0040905171i</v>
      </c>
      <c r="AD281" s="192" t="str">
        <f t="shared" si="106"/>
        <v>1550.92440307052-1686.909314147i</v>
      </c>
      <c r="AE281" s="192" t="str">
        <f t="shared" si="107"/>
        <v>-7.3246573746689-0.158103438795024i</v>
      </c>
      <c r="AF281" s="296"/>
      <c r="AG281" s="296"/>
      <c r="AH281" s="296"/>
      <c r="AI281" s="296"/>
      <c r="AJ281" s="296"/>
      <c r="AK281" s="296"/>
      <c r="AL281" s="296"/>
      <c r="AM281" s="296"/>
      <c r="AN281" s="296"/>
      <c r="AO281" s="296"/>
      <c r="AP281" s="296"/>
      <c r="AQ281" s="296"/>
      <c r="AR281" s="296"/>
      <c r="AS281" s="296"/>
    </row>
    <row r="282" spans="1:45" s="192" customFormat="1" x14ac:dyDescent="0.2">
      <c r="A282" s="301">
        <f t="shared" si="108"/>
        <v>5.202</v>
      </c>
      <c r="B282" s="301">
        <f t="shared" si="109"/>
        <v>5.0399999999999805</v>
      </c>
      <c r="C282" s="320">
        <f t="shared" si="110"/>
        <v>109647.81961431362</v>
      </c>
      <c r="D282" s="302">
        <f t="shared" si="84"/>
        <v>-5.2018228238295059</v>
      </c>
      <c r="E282" s="301">
        <f t="shared" si="85"/>
        <v>59.922420454711002</v>
      </c>
      <c r="G282" s="320"/>
      <c r="H282" s="315" t="str">
        <f t="shared" si="86"/>
        <v>1E+47-1.45151033236888E+50i</v>
      </c>
      <c r="I282" s="301" t="str">
        <f t="shared" si="87"/>
        <v>0.002-0.00134274776352348i</v>
      </c>
      <c r="J282" s="301" t="str">
        <f t="shared" si="88"/>
        <v>0.002-0.00134274776352348i</v>
      </c>
      <c r="K282" s="301"/>
      <c r="L282" s="301" t="str">
        <f t="shared" si="89"/>
        <v>0.00191154393806492-0.00115323478350635i</v>
      </c>
      <c r="M282" s="301" t="str">
        <f t="shared" si="90"/>
        <v>0.003+0.20668127074948i</v>
      </c>
      <c r="N282" s="301" t="str">
        <f t="shared" si="91"/>
        <v>-0.00538574749580675-0.00942935237239722i</v>
      </c>
      <c r="O282" s="316">
        <f t="shared" si="92"/>
        <v>-39.284163514869256</v>
      </c>
      <c r="P282" s="316">
        <f t="shared" si="93"/>
        <v>-119.73363985745057</v>
      </c>
      <c r="Q282" s="301">
        <f t="shared" si="94"/>
        <v>688937.56916493294</v>
      </c>
      <c r="R282" s="301">
        <f t="shared" si="111"/>
        <v>5.0399999999999805</v>
      </c>
      <c r="S282" s="308">
        <f t="shared" si="95"/>
        <v>-22.633985260744531</v>
      </c>
      <c r="T282" s="301" t="str">
        <f t="shared" si="96"/>
        <v>1+5.24466145748844i</v>
      </c>
      <c r="U282" s="303">
        <f t="shared" si="97"/>
        <v>17.432162436915025</v>
      </c>
      <c r="V282" s="301">
        <f t="shared" si="98"/>
        <v>179.65606031216157</v>
      </c>
      <c r="W282" s="301">
        <f t="shared" si="99"/>
        <v>42.640777409773833</v>
      </c>
      <c r="X282" s="303">
        <f t="shared" si="100"/>
        <v>-82.838409152998253</v>
      </c>
      <c r="Y282" s="192" t="str">
        <f t="shared" si="101"/>
        <v>16.8964045519895-134.473725092964i</v>
      </c>
      <c r="Z282" s="192" t="str">
        <f t="shared" si="102"/>
        <v>-30562.012323013i</v>
      </c>
      <c r="AA282" s="192" t="str">
        <f t="shared" si="103"/>
        <v>22150.1592153998-4223.37254652983i</v>
      </c>
      <c r="AB282" s="192" t="str">
        <f t="shared" si="104"/>
        <v>1381.90263844297-2170.18824393168i</v>
      </c>
      <c r="AC282" s="192" t="str">
        <f t="shared" si="105"/>
        <v>12165.3651685613-11457.09730404i</v>
      </c>
      <c r="AD282" s="192" t="str">
        <f t="shared" si="106"/>
        <v>1522.32908895754-1616.43815902318i</v>
      </c>
      <c r="AE282" s="192" t="str">
        <f t="shared" si="107"/>
        <v>-7.44046875007243+0.0446647774028014i</v>
      </c>
      <c r="AF282" s="296"/>
      <c r="AG282" s="296"/>
      <c r="AH282" s="296"/>
      <c r="AI282" s="296"/>
      <c r="AJ282" s="296"/>
      <c r="AK282" s="296"/>
      <c r="AL282" s="296"/>
      <c r="AM282" s="296"/>
      <c r="AN282" s="296"/>
      <c r="AO282" s="296"/>
      <c r="AP282" s="296"/>
      <c r="AQ282" s="296"/>
      <c r="AR282" s="296"/>
      <c r="AS282" s="296"/>
    </row>
    <row r="283" spans="1:45" s="192" customFormat="1" x14ac:dyDescent="0.2">
      <c r="A283" s="301">
        <f t="shared" si="108"/>
        <v>5.6059999999999999</v>
      </c>
      <c r="B283" s="301">
        <f t="shared" si="109"/>
        <v>5.059999999999981</v>
      </c>
      <c r="C283" s="320">
        <f t="shared" si="110"/>
        <v>114815.36214968313</v>
      </c>
      <c r="D283" s="302">
        <f t="shared" si="84"/>
        <v>-5.6057676587448739</v>
      </c>
      <c r="E283" s="301">
        <f t="shared" si="85"/>
        <v>59.271080103162362</v>
      </c>
      <c r="G283" s="320"/>
      <c r="H283" s="315" t="str">
        <f t="shared" si="86"/>
        <v>1E+47-1.38618160594579E+50i</v>
      </c>
      <c r="I283" s="301" t="str">
        <f t="shared" si="87"/>
        <v>0.002-0.00128231415906179i</v>
      </c>
      <c r="J283" s="301" t="str">
        <f t="shared" si="88"/>
        <v>0.002-0.00128231415906179i</v>
      </c>
      <c r="K283" s="301"/>
      <c r="L283" s="301" t="str">
        <f t="shared" si="89"/>
        <v>0.00190663814866827-0.0011015576544918i</v>
      </c>
      <c r="M283" s="301" t="str">
        <f t="shared" si="90"/>
        <v>0.003+0.216421858949218i</v>
      </c>
      <c r="N283" s="301" t="str">
        <f t="shared" si="91"/>
        <v>-0.00491157001191628-0.00896681564092668i</v>
      </c>
      <c r="O283" s="316">
        <f t="shared" si="92"/>
        <v>-39.807702562318518</v>
      </c>
      <c r="P283" s="316">
        <f t="shared" si="93"/>
        <v>-118.71170828067925</v>
      </c>
      <c r="Q283" s="301">
        <f t="shared" si="94"/>
        <v>721406.19649739226</v>
      </c>
      <c r="R283" s="301">
        <f t="shared" si="111"/>
        <v>5.0599999999999801</v>
      </c>
      <c r="S283" s="308">
        <f t="shared" si="95"/>
        <v>-23.157524308193796</v>
      </c>
      <c r="T283" s="301" t="str">
        <f t="shared" si="96"/>
        <v>1+5.49183473699838i</v>
      </c>
      <c r="U283" s="303">
        <f t="shared" si="97"/>
        <v>17.551756649448922</v>
      </c>
      <c r="V283" s="301">
        <f t="shared" si="98"/>
        <v>177.98278838384161</v>
      </c>
      <c r="W283" s="301">
        <f t="shared" si="99"/>
        <v>42.247752823454348</v>
      </c>
      <c r="X283" s="303">
        <f t="shared" si="100"/>
        <v>-83.214589929537169</v>
      </c>
      <c r="Y283" s="192" t="str">
        <f t="shared" si="101"/>
        <v>15.3047225131375-128.627840049639i</v>
      </c>
      <c r="Z283" s="192" t="str">
        <f t="shared" si="102"/>
        <v>-29186.4951823731i</v>
      </c>
      <c r="AA283" s="192" t="str">
        <f t="shared" si="103"/>
        <v>22150.1592153998-4033.28946994246i</v>
      </c>
      <c r="AB283" s="192" t="str">
        <f t="shared" si="104"/>
        <v>1381.90263844297-2072.51368322563i</v>
      </c>
      <c r="AC283" s="192" t="str">
        <f t="shared" si="105"/>
        <v>11835.9302126966-11435.5142976733i</v>
      </c>
      <c r="AD283" s="192" t="str">
        <f t="shared" si="106"/>
        <v>1496.08056947983-1548.46601140952i</v>
      </c>
      <c r="AE283" s="192" t="str">
        <f t="shared" si="107"/>
        <v>-7.53908458549015+0.265538156870786i</v>
      </c>
      <c r="AF283" s="296"/>
      <c r="AG283" s="296"/>
      <c r="AH283" s="296"/>
      <c r="AI283" s="296"/>
      <c r="AJ283" s="296"/>
      <c r="AK283" s="296"/>
      <c r="AL283" s="296"/>
      <c r="AM283" s="296"/>
      <c r="AN283" s="296"/>
      <c r="AO283" s="296"/>
      <c r="AP283" s="296"/>
      <c r="AQ283" s="296"/>
      <c r="AR283" s="296"/>
      <c r="AS283" s="296"/>
    </row>
    <row r="284" spans="1:45" s="192" customFormat="1" x14ac:dyDescent="0.2">
      <c r="A284" s="301">
        <f t="shared" si="108"/>
        <v>6.0179999999999998</v>
      </c>
      <c r="B284" s="301">
        <f t="shared" si="109"/>
        <v>5.0799999999999805</v>
      </c>
      <c r="C284" s="320">
        <f t="shared" si="110"/>
        <v>120226.44346173588</v>
      </c>
      <c r="D284" s="302">
        <f t="shared" si="84"/>
        <v>-6.017543987619284</v>
      </c>
      <c r="E284" s="301">
        <f t="shared" si="85"/>
        <v>58.518840066875697</v>
      </c>
      <c r="G284" s="320"/>
      <c r="H284" s="315" t="str">
        <f t="shared" si="86"/>
        <v>1E+47-1.32379315655752E+50i</v>
      </c>
      <c r="I284" s="301" t="str">
        <f t="shared" si="87"/>
        <v>0.002-0.00122460051485432i</v>
      </c>
      <c r="J284" s="301" t="str">
        <f t="shared" si="88"/>
        <v>0.002-0.00122460051485432i</v>
      </c>
      <c r="K284" s="301"/>
      <c r="L284" s="301" t="str">
        <f t="shared" si="89"/>
        <v>0.00190216225211432-0.00105217716783942i</v>
      </c>
      <c r="M284" s="301" t="str">
        <f t="shared" si="90"/>
        <v>0.003+0.226621506927971i</v>
      </c>
      <c r="N284" s="301" t="str">
        <f t="shared" si="91"/>
        <v>-0.00447916138558587-0.00853005960529278i</v>
      </c>
      <c r="O284" s="316">
        <f t="shared" si="92"/>
        <v>-40.323359610433663</v>
      </c>
      <c r="P284" s="316">
        <f t="shared" si="93"/>
        <v>-117.7041068245353</v>
      </c>
      <c r="Q284" s="301">
        <f t="shared" si="94"/>
        <v>755405.02309323614</v>
      </c>
      <c r="R284" s="301">
        <f t="shared" si="111"/>
        <v>5.0799999999999796</v>
      </c>
      <c r="S284" s="308">
        <f t="shared" si="95"/>
        <v>-23.673181356308937</v>
      </c>
      <c r="T284" s="301" t="str">
        <f t="shared" si="96"/>
        <v>1+5.75065693428861i</v>
      </c>
      <c r="U284" s="303">
        <f t="shared" si="97"/>
        <v>17.655637368689653</v>
      </c>
      <c r="V284" s="301">
        <f t="shared" si="98"/>
        <v>176.222946891411</v>
      </c>
      <c r="W284" s="301">
        <f t="shared" si="99"/>
        <v>41.85411511060061</v>
      </c>
      <c r="X284" s="303">
        <f t="shared" si="100"/>
        <v>-83.577079493273914</v>
      </c>
      <c r="Y284" s="192" t="str">
        <f t="shared" si="101"/>
        <v>13.8485940150116-123.018720487852i</v>
      </c>
      <c r="Z284" s="192" t="str">
        <f t="shared" si="102"/>
        <v>-27872.8865111167i</v>
      </c>
      <c r="AA284" s="192" t="str">
        <f t="shared" si="103"/>
        <v>22150.1592153998-3851.76154107338i</v>
      </c>
      <c r="AB284" s="192" t="str">
        <f t="shared" si="104"/>
        <v>1381.90263844297-1979.23520190845i</v>
      </c>
      <c r="AC284" s="192" t="str">
        <f t="shared" si="105"/>
        <v>11494.6277352791-11409.6631163546i</v>
      </c>
      <c r="AD284" s="192" t="str">
        <f t="shared" si="106"/>
        <v>1471.99951640938-1482.96109140886i</v>
      </c>
      <c r="AE284" s="192" t="str">
        <f t="shared" si="107"/>
        <v>-7.61793959779433+0.502918635720689i</v>
      </c>
      <c r="AF284" s="296"/>
      <c r="AG284" s="296"/>
      <c r="AH284" s="296"/>
      <c r="AI284" s="296"/>
      <c r="AJ284" s="296"/>
      <c r="AK284" s="296"/>
      <c r="AL284" s="296"/>
      <c r="AM284" s="296"/>
      <c r="AN284" s="296"/>
      <c r="AO284" s="296"/>
      <c r="AP284" s="296"/>
      <c r="AQ284" s="296"/>
      <c r="AR284" s="296"/>
      <c r="AS284" s="296"/>
    </row>
    <row r="285" spans="1:45" s="192" customFormat="1" x14ac:dyDescent="0.2">
      <c r="A285" s="301">
        <f t="shared" si="108"/>
        <v>6.4379999999999997</v>
      </c>
      <c r="B285" s="301">
        <f t="shared" si="109"/>
        <v>5.0999999999999792</v>
      </c>
      <c r="C285" s="320">
        <f t="shared" si="110"/>
        <v>125892.54117941081</v>
      </c>
      <c r="D285" s="302">
        <f t="shared" si="84"/>
        <v>-6.4383133333225757</v>
      </c>
      <c r="E285" s="301">
        <f t="shared" si="85"/>
        <v>57.670473734721043</v>
      </c>
      <c r="G285" s="320"/>
      <c r="H285" s="315" t="str">
        <f t="shared" si="86"/>
        <v>1E+47-1.26421264993835E+50i</v>
      </c>
      <c r="I285" s="301" t="str">
        <f t="shared" si="87"/>
        <v>0.002-0.00116948441252391i</v>
      </c>
      <c r="J285" s="301" t="str">
        <f t="shared" si="88"/>
        <v>0.002-0.00116948441252391i</v>
      </c>
      <c r="K285" s="301"/>
      <c r="L285" s="301" t="str">
        <f t="shared" si="89"/>
        <v>0.00189807871833888-0.00100499371098154i</v>
      </c>
      <c r="M285" s="301" t="str">
        <f t="shared" si="90"/>
        <v>0.003+0.237301849506592i</v>
      </c>
      <c r="N285" s="301" t="str">
        <f t="shared" si="91"/>
        <v>-0.00408483919662881-0.00811727509372708i</v>
      </c>
      <c r="O285" s="316">
        <f t="shared" si="92"/>
        <v>-40.831458100563147</v>
      </c>
      <c r="P285" s="316">
        <f t="shared" si="93"/>
        <v>-116.71281552089164</v>
      </c>
      <c r="Q285" s="301">
        <f t="shared" si="94"/>
        <v>791006.16502197506</v>
      </c>
      <c r="R285" s="301">
        <f t="shared" si="111"/>
        <v>5.0999999999999792</v>
      </c>
      <c r="S285" s="308">
        <f t="shared" si="95"/>
        <v>-24.181279846438422</v>
      </c>
      <c r="T285" s="301" t="str">
        <f t="shared" si="96"/>
        <v>1+6.02167704594046i</v>
      </c>
      <c r="U285" s="303">
        <f t="shared" si="97"/>
        <v>17.742966513115846</v>
      </c>
      <c r="V285" s="301">
        <f t="shared" si="98"/>
        <v>174.38328925561268</v>
      </c>
      <c r="W285" s="301">
        <f t="shared" si="99"/>
        <v>41.459915678317074</v>
      </c>
      <c r="X285" s="303">
        <f t="shared" si="100"/>
        <v>-83.926557702771603</v>
      </c>
      <c r="Y285" s="192" t="str">
        <f t="shared" si="101"/>
        <v>12.5168325860364-117.638983290029i</v>
      </c>
      <c r="Z285" s="192" t="str">
        <f t="shared" si="102"/>
        <v>-26618.3999691334i</v>
      </c>
      <c r="AA285" s="192" t="str">
        <f t="shared" si="103"/>
        <v>22150.1592153998-3678.40371484759i</v>
      </c>
      <c r="AB285" s="192" t="str">
        <f t="shared" si="104"/>
        <v>1381.90263844297-1890.15494381522i</v>
      </c>
      <c r="AC285" s="192" t="str">
        <f t="shared" si="105"/>
        <v>11142.3274756467-11378.0170522649i</v>
      </c>
      <c r="AD285" s="192" t="str">
        <f t="shared" si="106"/>
        <v>1449.91811605582-1419.8838328117i</v>
      </c>
      <c r="AE285" s="192" t="str">
        <f t="shared" si="107"/>
        <v>-7.67464351224722+0.75476532742078i</v>
      </c>
      <c r="AF285" s="296"/>
      <c r="AG285" s="296"/>
      <c r="AH285" s="296"/>
      <c r="AI285" s="296"/>
      <c r="AJ285" s="296"/>
      <c r="AK285" s="296"/>
      <c r="AL285" s="296"/>
      <c r="AM285" s="296"/>
      <c r="AN285" s="296"/>
      <c r="AO285" s="296"/>
      <c r="AP285" s="296"/>
      <c r="AQ285" s="296"/>
      <c r="AR285" s="296"/>
      <c r="AS285" s="296"/>
    </row>
    <row r="286" spans="1:45" s="192" customFormat="1" x14ac:dyDescent="0.2">
      <c r="A286" s="301">
        <f t="shared" si="108"/>
        <v>6.8689999999999998</v>
      </c>
      <c r="B286" s="301">
        <f t="shared" si="109"/>
        <v>5.1199999999999797</v>
      </c>
      <c r="C286" s="320">
        <f t="shared" si="110"/>
        <v>131825.67385563449</v>
      </c>
      <c r="D286" s="302">
        <f t="shared" si="84"/>
        <v>-6.8691584475313903</v>
      </c>
      <c r="E286" s="301">
        <f t="shared" si="85"/>
        <v>56.731462363287463</v>
      </c>
      <c r="G286" s="320"/>
      <c r="H286" s="315" t="str">
        <f t="shared" si="86"/>
        <v>1E+47-1.20731370784563E+50i</v>
      </c>
      <c r="I286" s="301" t="str">
        <f t="shared" si="87"/>
        <v>0.002-0.00111684894342797i</v>
      </c>
      <c r="J286" s="301" t="str">
        <f t="shared" si="88"/>
        <v>0.002-0.00111684894342797i</v>
      </c>
      <c r="K286" s="301"/>
      <c r="L286" s="301" t="str">
        <f t="shared" si="89"/>
        <v>0.00189435326994439-0.000959911673612976i</v>
      </c>
      <c r="M286" s="301" t="str">
        <f t="shared" si="90"/>
        <v>0.003+0.248485541123631i</v>
      </c>
      <c r="N286" s="301" t="str">
        <f t="shared" si="91"/>
        <v>-0.00372524610802223-0.00772681982332152i</v>
      </c>
      <c r="O286" s="316">
        <f t="shared" si="92"/>
        <v>-41.332331151728887</v>
      </c>
      <c r="P286" s="316">
        <f t="shared" si="93"/>
        <v>-115.73959601451917</v>
      </c>
      <c r="Q286" s="301">
        <f t="shared" si="94"/>
        <v>828285.13707877079</v>
      </c>
      <c r="R286" s="301">
        <f t="shared" si="111"/>
        <v>5.1199999999999788</v>
      </c>
      <c r="S286" s="308">
        <f t="shared" si="95"/>
        <v>-24.682152897604162</v>
      </c>
      <c r="T286" s="301" t="str">
        <f t="shared" si="96"/>
        <v>1+6.30546994194706i</v>
      </c>
      <c r="U286" s="303">
        <f t="shared" si="97"/>
        <v>17.812994450072772</v>
      </c>
      <c r="V286" s="301">
        <f t="shared" si="98"/>
        <v>172.47105837780663</v>
      </c>
      <c r="W286" s="301">
        <f t="shared" si="99"/>
        <v>41.065201594972862</v>
      </c>
      <c r="X286" s="303">
        <f t="shared" si="100"/>
        <v>-84.263687955485835</v>
      </c>
      <c r="Y286" s="192" t="str">
        <f t="shared" si="101"/>
        <v>11.2991154543545-112.481177498808i</v>
      </c>
      <c r="Z286" s="192" t="str">
        <f t="shared" si="102"/>
        <v>-25420.3746222756i</v>
      </c>
      <c r="AA286" s="192" t="str">
        <f t="shared" si="103"/>
        <v>22150.1592153998-3512.84827607316i</v>
      </c>
      <c r="AB286" s="192" t="str">
        <f t="shared" si="104"/>
        <v>1381.90263844297-1805.0839577753i</v>
      </c>
      <c r="AC286" s="192" t="str">
        <f t="shared" si="105"/>
        <v>10780.0520218683-11339.1373286103i</v>
      </c>
      <c r="AD286" s="192" t="str">
        <f t="shared" si="106"/>
        <v>1429.67970331506-1359.18819304347i</v>
      </c>
      <c r="AE286" s="192" t="str">
        <f t="shared" si="107"/>
        <v>-7.70707084659616+1.01861591201097i</v>
      </c>
      <c r="AF286" s="296"/>
      <c r="AG286" s="296"/>
      <c r="AH286" s="296"/>
      <c r="AI286" s="296"/>
      <c r="AJ286" s="296"/>
      <c r="AK286" s="296"/>
      <c r="AL286" s="296"/>
      <c r="AM286" s="296"/>
      <c r="AN286" s="296"/>
      <c r="AO286" s="296"/>
      <c r="AP286" s="296"/>
      <c r="AQ286" s="296"/>
      <c r="AR286" s="296"/>
      <c r="AS286" s="296"/>
    </row>
    <row r="287" spans="1:45" s="192" customFormat="1" x14ac:dyDescent="0.2">
      <c r="A287" s="301">
        <f t="shared" si="108"/>
        <v>7.3109999999999999</v>
      </c>
      <c r="B287" s="301">
        <f t="shared" si="109"/>
        <v>5.1399999999999784</v>
      </c>
      <c r="C287" s="320">
        <f t="shared" si="110"/>
        <v>138038.42646028171</v>
      </c>
      <c r="D287" s="302">
        <f t="shared" si="84"/>
        <v>-7.3110687133519114</v>
      </c>
      <c r="E287" s="301">
        <f t="shared" si="85"/>
        <v>55.707933787651754</v>
      </c>
      <c r="G287" s="320"/>
      <c r="H287" s="315" t="str">
        <f t="shared" si="86"/>
        <v>1E+47-1.15297563999463E+50i</v>
      </c>
      <c r="I287" s="301" t="str">
        <f t="shared" si="87"/>
        <v>0.002-0.00106658246067959i</v>
      </c>
      <c r="J287" s="301" t="str">
        <f t="shared" si="88"/>
        <v>0.002-0.00106658246067959i</v>
      </c>
      <c r="K287" s="301"/>
      <c r="L287" s="301" t="str">
        <f t="shared" si="89"/>
        <v>0.0018909546042923-0.000916839328959639i</v>
      </c>
      <c r="M287" s="301" t="str">
        <f t="shared" si="90"/>
        <v>0.003+0.26019630388843i</v>
      </c>
      <c r="N287" s="301" t="str">
        <f t="shared" si="91"/>
        <v>-0.00339732111710065-0.00735719950244926i</v>
      </c>
      <c r="O287" s="316">
        <f t="shared" si="92"/>
        <v>-41.82631824460907</v>
      </c>
      <c r="P287" s="316">
        <f t="shared" si="93"/>
        <v>-114.7859933252541</v>
      </c>
      <c r="Q287" s="301">
        <f t="shared" si="94"/>
        <v>867321.01296143187</v>
      </c>
      <c r="R287" s="301">
        <f t="shared" si="111"/>
        <v>5.1399999999999784</v>
      </c>
      <c r="S287" s="308">
        <f t="shared" si="95"/>
        <v>-25.176139990484344</v>
      </c>
      <c r="T287" s="301" t="str">
        <f t="shared" si="96"/>
        <v>1+6.6026375850896i</v>
      </c>
      <c r="U287" s="303">
        <f t="shared" si="97"/>
        <v>17.865071277132433</v>
      </c>
      <c r="V287" s="301">
        <f t="shared" si="98"/>
        <v>170.49392711290585</v>
      </c>
      <c r="W287" s="301">
        <f t="shared" si="99"/>
        <v>40.67001591943432</v>
      </c>
      <c r="X287" s="303">
        <f t="shared" si="100"/>
        <v>-84.589117221261247</v>
      </c>
      <c r="Y287" s="192" t="str">
        <f t="shared" si="101"/>
        <v>10.1859269141569-107.537834430438i</v>
      </c>
      <c r="Z287" s="192" t="str">
        <f t="shared" si="102"/>
        <v>-24276.2692981607i</v>
      </c>
      <c r="AA287" s="192" t="str">
        <f t="shared" si="103"/>
        <v>22150.1592153998-3354.74405946805i</v>
      </c>
      <c r="AB287" s="192" t="str">
        <f t="shared" si="104"/>
        <v>1381.90263844297-1723.84179682164i</v>
      </c>
      <c r="AC287" s="192" t="str">
        <f t="shared" si="105"/>
        <v>10408.9693124072-11291.6958098441i</v>
      </c>
      <c r="AD287" s="192" t="str">
        <f t="shared" si="106"/>
        <v>1411.13833493448-1300.82282336097i</v>
      </c>
      <c r="AE287" s="192" t="str">
        <f t="shared" si="107"/>
        <v>-7.71344791560301+1.29162897158765i</v>
      </c>
      <c r="AF287" s="296"/>
      <c r="AG287" s="296"/>
      <c r="AH287" s="296"/>
      <c r="AI287" s="296"/>
      <c r="AJ287" s="296"/>
      <c r="AK287" s="296"/>
      <c r="AL287" s="296"/>
      <c r="AM287" s="296"/>
      <c r="AN287" s="296"/>
      <c r="AO287" s="296"/>
      <c r="AP287" s="296"/>
      <c r="AQ287" s="296"/>
      <c r="AR287" s="296"/>
      <c r="AS287" s="296"/>
    </row>
    <row r="288" spans="1:45" s="192" customFormat="1" x14ac:dyDescent="0.2">
      <c r="A288" s="301">
        <f t="shared" si="108"/>
        <v>7.7649999999999997</v>
      </c>
      <c r="B288" s="301">
        <f t="shared" si="109"/>
        <v>5.1599999999999788</v>
      </c>
      <c r="C288" s="320">
        <f t="shared" si="110"/>
        <v>144543.97707458562</v>
      </c>
      <c r="D288" s="302">
        <f t="shared" si="84"/>
        <v>-7.7649269642115044</v>
      </c>
      <c r="E288" s="301">
        <f t="shared" si="85"/>
        <v>54.606583695902557</v>
      </c>
      <c r="G288" s="320"/>
      <c r="H288" s="315" t="str">
        <f t="shared" si="86"/>
        <v>1E+47-1.1010831880582E+50i</v>
      </c>
      <c r="I288" s="301" t="str">
        <f t="shared" si="87"/>
        <v>0.002-0.0010185783423295i</v>
      </c>
      <c r="J288" s="301" t="str">
        <f t="shared" si="88"/>
        <v>0.002-0.0010185783423295i</v>
      </c>
      <c r="K288" s="301"/>
      <c r="L288" s="301" t="str">
        <f t="shared" si="89"/>
        <v>0.00188785413866483-0.000875688712605477i</v>
      </c>
      <c r="M288" s="301" t="str">
        <f t="shared" si="90"/>
        <v>0.003+0.272458977898902i</v>
      </c>
      <c r="N288" s="301" t="str">
        <f t="shared" si="91"/>
        <v>-0.00309827335215614-0.00700705132702951i</v>
      </c>
      <c r="O288" s="316">
        <f t="shared" si="92"/>
        <v>-42.313762072947341</v>
      </c>
      <c r="P288" s="316">
        <f t="shared" si="93"/>
        <v>-113.85334034232945</v>
      </c>
      <c r="Q288" s="301">
        <f t="shared" si="94"/>
        <v>908196.59299633931</v>
      </c>
      <c r="R288" s="301">
        <f t="shared" si="111"/>
        <v>5.1599999999999779</v>
      </c>
      <c r="S288" s="308">
        <f t="shared" si="95"/>
        <v>-25.663583818822616</v>
      </c>
      <c r="T288" s="301" t="str">
        <f t="shared" si="96"/>
        <v>1+6.91381030778117i</v>
      </c>
      <c r="U288" s="303">
        <f t="shared" si="97"/>
        <v>17.898656854611112</v>
      </c>
      <c r="V288" s="301">
        <f t="shared" si="98"/>
        <v>168.459924038232</v>
      </c>
      <c r="W288" s="301">
        <f t="shared" si="99"/>
        <v>40.27439800763598</v>
      </c>
      <c r="X288" s="303">
        <f t="shared" si="100"/>
        <v>-84.903476204502894</v>
      </c>
      <c r="Y288" s="192" t="str">
        <f t="shared" si="101"/>
        <v>9.16850363700932-102.801510354306i</v>
      </c>
      <c r="Z288" s="192" t="str">
        <f t="shared" si="102"/>
        <v>-23183.6571960033i</v>
      </c>
      <c r="AA288" s="192" t="str">
        <f t="shared" si="103"/>
        <v>22150.1592153998-3203.75570479144i</v>
      </c>
      <c r="AB288" s="192" t="str">
        <f t="shared" si="104"/>
        <v>1381.90263844297-1646.25613543854i</v>
      </c>
      <c r="AC288" s="192" t="str">
        <f t="shared" si="105"/>
        <v>10030.3809247233-11234.4969015294i</v>
      </c>
      <c r="AD288" s="192" t="str">
        <f t="shared" si="106"/>
        <v>1394.15831945718-1244.73210826414i</v>
      </c>
      <c r="AE288" s="192" t="str">
        <f t="shared" si="107"/>
        <v>-7.69243147086715+1.57064691342791i</v>
      </c>
      <c r="AF288" s="296"/>
      <c r="AG288" s="296"/>
      <c r="AH288" s="296"/>
      <c r="AI288" s="296"/>
      <c r="AJ288" s="296"/>
      <c r="AK288" s="296"/>
      <c r="AL288" s="296"/>
      <c r="AM288" s="296"/>
      <c r="AN288" s="296"/>
      <c r="AO288" s="296"/>
      <c r="AP288" s="296"/>
      <c r="AQ288" s="296"/>
      <c r="AR288" s="296"/>
      <c r="AS288" s="296"/>
    </row>
    <row r="289" spans="1:45" s="192" customFormat="1" x14ac:dyDescent="0.2">
      <c r="A289" s="301">
        <f t="shared" si="108"/>
        <v>8.2309999999999999</v>
      </c>
      <c r="B289" s="301">
        <f t="shared" si="109"/>
        <v>5.1799999999999775</v>
      </c>
      <c r="C289" s="320">
        <f t="shared" si="110"/>
        <v>151356.12484361307</v>
      </c>
      <c r="D289" s="302">
        <f t="shared" si="84"/>
        <v>-8.2314982919000066</v>
      </c>
      <c r="E289" s="301">
        <f t="shared" si="85"/>
        <v>53.434581374535611</v>
      </c>
      <c r="G289" s="320"/>
      <c r="H289" s="315" t="str">
        <f t="shared" si="86"/>
        <v>1E+47-1.05152628118842E+50i</v>
      </c>
      <c r="I289" s="301" t="str">
        <f t="shared" si="87"/>
        <v>0.002-0.000972734765206683i</v>
      </c>
      <c r="J289" s="301" t="str">
        <f t="shared" si="88"/>
        <v>0.002-0.000972734765206679i</v>
      </c>
      <c r="K289" s="301"/>
      <c r="L289" s="301" t="str">
        <f t="shared" si="89"/>
        <v>0.00188502577669627-0.000836375499964331i</v>
      </c>
      <c r="M289" s="301" t="str">
        <f t="shared" si="90"/>
        <v>0.003+0.285299573930709i</v>
      </c>
      <c r="N289" s="301" t="str">
        <f t="shared" si="91"/>
        <v>-0.00282555818992213-0.0066751295484357i</v>
      </c>
      <c r="O289" s="316">
        <f t="shared" si="92"/>
        <v>-42.79500561561305</v>
      </c>
      <c r="P289" s="316">
        <f t="shared" si="93"/>
        <v>-112.94276470047424</v>
      </c>
      <c r="Q289" s="301">
        <f t="shared" si="94"/>
        <v>950998.57976902882</v>
      </c>
      <c r="R289" s="301">
        <f t="shared" si="111"/>
        <v>5.1799999999999775</v>
      </c>
      <c r="S289" s="308">
        <f t="shared" si="95"/>
        <v>-26.144827361488325</v>
      </c>
      <c r="T289" s="301" t="str">
        <f t="shared" si="96"/>
        <v>1+7.23964814908622i</v>
      </c>
      <c r="U289" s="303">
        <f t="shared" si="97"/>
        <v>17.913329069588318</v>
      </c>
      <c r="V289" s="301">
        <f t="shared" si="98"/>
        <v>166.37734607500985</v>
      </c>
      <c r="W289" s="301">
        <f t="shared" si="99"/>
        <v>39.878383797286645</v>
      </c>
      <c r="X289" s="303">
        <f t="shared" si="100"/>
        <v>-85.207379616830337</v>
      </c>
      <c r="Y289" s="192" t="str">
        <f t="shared" si="101"/>
        <v>8.23878221745998-98.2648225676838i</v>
      </c>
      <c r="Z289" s="192" t="str">
        <f t="shared" si="102"/>
        <v>-22140.2207390458i</v>
      </c>
      <c r="AA289" s="192" t="str">
        <f t="shared" si="103"/>
        <v>22150.1592153998-3059.56294549972i</v>
      </c>
      <c r="AB289" s="192" t="str">
        <f t="shared" si="104"/>
        <v>1381.90263844297-1572.16240403611i</v>
      </c>
      <c r="AC289" s="192" t="str">
        <f t="shared" si="105"/>
        <v>9645.70625231671-11166.4977658016i</v>
      </c>
      <c r="AD289" s="192" t="str">
        <f t="shared" si="106"/>
        <v>1378.61371849494-1190.85708365443i</v>
      </c>
      <c r="AE289" s="192" t="str">
        <f t="shared" si="107"/>
        <v>-7.64317344490327+1.85227743705101i</v>
      </c>
      <c r="AF289" s="296"/>
      <c r="AG289" s="296"/>
      <c r="AH289" s="296"/>
      <c r="AI289" s="296"/>
      <c r="AJ289" s="296"/>
      <c r="AK289" s="296"/>
      <c r="AL289" s="296"/>
      <c r="AM289" s="296"/>
      <c r="AN289" s="296"/>
      <c r="AO289" s="296"/>
      <c r="AP289" s="296"/>
      <c r="AQ289" s="296"/>
      <c r="AR289" s="296"/>
      <c r="AS289" s="296"/>
    </row>
    <row r="290" spans="1:45" s="192" customFormat="1" x14ac:dyDescent="0.2">
      <c r="A290" s="301">
        <f t="shared" si="108"/>
        <v>8.7110000000000003</v>
      </c>
      <c r="B290" s="301">
        <f t="shared" si="109"/>
        <v>5.199999999999978</v>
      </c>
      <c r="C290" s="320">
        <f t="shared" si="110"/>
        <v>158489.3192461032</v>
      </c>
      <c r="D290" s="302">
        <f t="shared" si="84"/>
        <v>-8.7114213441426962</v>
      </c>
      <c r="E290" s="301">
        <f t="shared" si="85"/>
        <v>52.199462761024222</v>
      </c>
      <c r="G290" s="320"/>
      <c r="H290" s="315" t="str">
        <f t="shared" si="86"/>
        <v>1E+47-1.00419980254164E+50i</v>
      </c>
      <c r="I290" s="301" t="str">
        <f t="shared" si="87"/>
        <v>0.002-0.000928954488937688i</v>
      </c>
      <c r="J290" s="301" t="str">
        <f t="shared" si="88"/>
        <v>0.002-0.000928954488937688i</v>
      </c>
      <c r="K290" s="301"/>
      <c r="L290" s="301" t="str">
        <f t="shared" si="89"/>
        <v>0.00188244569439442-0.000798818883313713i</v>
      </c>
      <c r="M290" s="301" t="str">
        <f t="shared" si="90"/>
        <v>0.003+0.298745328609603i</v>
      </c>
      <c r="N290" s="301" t="str">
        <f t="shared" si="91"/>
        <v>-0.00257685548874485-0.00636029283619198i</v>
      </c>
      <c r="O290" s="316">
        <f t="shared" si="92"/>
        <v>-43.270389469059978</v>
      </c>
      <c r="P290" s="316">
        <f t="shared" si="93"/>
        <v>-112.05519765704989</v>
      </c>
      <c r="Q290" s="301">
        <f t="shared" si="94"/>
        <v>995817.76203201048</v>
      </c>
      <c r="R290" s="301">
        <f t="shared" si="111"/>
        <v>5.1999999999999771</v>
      </c>
      <c r="S290" s="308">
        <f t="shared" si="95"/>
        <v>-26.620211214935257</v>
      </c>
      <c r="T290" s="301" t="str">
        <f t="shared" si="96"/>
        <v>1+7.58084225475204i</v>
      </c>
      <c r="U290" s="303">
        <f t="shared" si="97"/>
        <v>17.90878987079256</v>
      </c>
      <c r="V290" s="301">
        <f t="shared" si="98"/>
        <v>164.25466041807411</v>
      </c>
      <c r="W290" s="301">
        <f t="shared" si="99"/>
        <v>39.482006071602648</v>
      </c>
      <c r="X290" s="303">
        <f t="shared" si="100"/>
        <v>-85.501426544125451</v>
      </c>
      <c r="Y290" s="192" t="str">
        <f t="shared" si="101"/>
        <v>7.38934915097069-93.9204796265947i</v>
      </c>
      <c r="Z290" s="192" t="str">
        <f t="shared" si="102"/>
        <v>-21143.7466586667i</v>
      </c>
      <c r="AA290" s="192" t="str">
        <f t="shared" si="103"/>
        <v>22150.1592153998-2921.85992941814i</v>
      </c>
      <c r="AB290" s="192" t="str">
        <f t="shared" si="104"/>
        <v>1381.90263844297-1501.40343987612i</v>
      </c>
      <c r="AC290" s="192" t="str">
        <f t="shared" si="105"/>
        <v>9256.46287709339-11086.8259913667i</v>
      </c>
      <c r="AD290" s="192" t="str">
        <f t="shared" si="106"/>
        <v>1364.38783147152-1139.13624348472i</v>
      </c>
      <c r="AE290" s="192" t="str">
        <f t="shared" si="107"/>
        <v>-7.56536689142259+2.13298983695941i</v>
      </c>
      <c r="AF290" s="296"/>
      <c r="AG290" s="296"/>
      <c r="AH290" s="296"/>
      <c r="AI290" s="296"/>
      <c r="AJ290" s="296"/>
      <c r="AK290" s="296"/>
      <c r="AL290" s="296"/>
      <c r="AM290" s="296"/>
      <c r="AN290" s="296"/>
      <c r="AO290" s="296"/>
      <c r="AP290" s="296"/>
      <c r="AQ290" s="296"/>
      <c r="AR290" s="296"/>
      <c r="AS290" s="296"/>
    </row>
    <row r="291" spans="1:45" s="192" customFormat="1" x14ac:dyDescent="0.2">
      <c r="A291" s="301">
        <f t="shared" si="108"/>
        <v>9.2050000000000001</v>
      </c>
      <c r="B291" s="301">
        <f t="shared" si="109"/>
        <v>5.2199999999999767</v>
      </c>
      <c r="C291" s="320">
        <f t="shared" si="110"/>
        <v>165958.6907437472</v>
      </c>
      <c r="D291" s="302">
        <f t="shared" si="84"/>
        <v>-9.2052025002502909</v>
      </c>
      <c r="E291" s="301">
        <f t="shared" si="85"/>
        <v>50.909014428695713</v>
      </c>
      <c r="G291" s="320"/>
      <c r="H291" s="315" t="str">
        <f t="shared" si="86"/>
        <v>1E+47-9.59003366311458E+49i</v>
      </c>
      <c r="I291" s="301" t="str">
        <f t="shared" si="87"/>
        <v>0.002-0.000887144649686825i</v>
      </c>
      <c r="J291" s="301" t="str">
        <f t="shared" si="88"/>
        <v>0.002-0.000887144649686825i</v>
      </c>
      <c r="K291" s="301"/>
      <c r="L291" s="301" t="str">
        <f t="shared" si="89"/>
        <v>0.0018800921441883-0.000762941449160743i</v>
      </c>
      <c r="M291" s="301" t="str">
        <f t="shared" si="90"/>
        <v>0.003+0.312824762183962i</v>
      </c>
      <c r="N291" s="301" t="str">
        <f t="shared" si="91"/>
        <v>-0.00235004975007795-0.00606149319727135i</v>
      </c>
      <c r="O291" s="316">
        <f t="shared" si="92"/>
        <v>-43.740249466904856</v>
      </c>
      <c r="P291" s="316">
        <f t="shared" si="93"/>
        <v>-111.19138457864713</v>
      </c>
      <c r="Q291" s="301">
        <f t="shared" si="94"/>
        <v>1042749.2072798732</v>
      </c>
      <c r="R291" s="301">
        <f t="shared" si="111"/>
        <v>5.2199999999999767</v>
      </c>
      <c r="S291" s="308">
        <f t="shared" si="95"/>
        <v>-27.090071212780128</v>
      </c>
      <c r="T291" s="301" t="str">
        <f t="shared" si="96"/>
        <v>1+7.93811634322139i</v>
      </c>
      <c r="U291" s="303">
        <f t="shared" si="97"/>
        <v>17.884868712529837</v>
      </c>
      <c r="V291" s="301">
        <f t="shared" si="98"/>
        <v>162.10039900734284</v>
      </c>
      <c r="W291" s="301">
        <f t="shared" si="99"/>
        <v>39.085294703016721</v>
      </c>
      <c r="X291" s="303">
        <f t="shared" si="100"/>
        <v>-85.786200893810161</v>
      </c>
      <c r="Y291" s="192" t="str">
        <f t="shared" si="101"/>
        <v>6.61339336742549-89.7613064264784i</v>
      </c>
      <c r="Z291" s="192" t="str">
        <f t="shared" si="102"/>
        <v>-20192.1212997422i</v>
      </c>
      <c r="AA291" s="192" t="str">
        <f t="shared" si="103"/>
        <v>22150.1592153998-2790.35456998744i</v>
      </c>
      <c r="AB291" s="192" t="str">
        <f t="shared" si="104"/>
        <v>1381.90263844297-1433.82915370878i</v>
      </c>
      <c r="AC291" s="192" t="str">
        <f t="shared" si="105"/>
        <v>8864.24364717242-10994.7939241942i</v>
      </c>
      <c r="AD291" s="192" t="str">
        <f t="shared" si="106"/>
        <v>1351.37267376737-1089.50624459138i</v>
      </c>
      <c r="AE291" s="192" t="str">
        <f t="shared" si="107"/>
        <v>-7.45926938941079+2.4092210009578i</v>
      </c>
      <c r="AF291" s="296"/>
      <c r="AG291" s="296"/>
      <c r="AH291" s="296"/>
      <c r="AI291" s="296"/>
      <c r="AJ291" s="296"/>
      <c r="AK291" s="296"/>
      <c r="AL291" s="296"/>
      <c r="AM291" s="296"/>
      <c r="AN291" s="296"/>
      <c r="AO291" s="296"/>
      <c r="AP291" s="296"/>
      <c r="AQ291" s="296"/>
      <c r="AR291" s="296"/>
      <c r="AS291" s="296"/>
    </row>
    <row r="292" spans="1:45" s="192" customFormat="1" x14ac:dyDescent="0.2">
      <c r="A292" s="301">
        <f t="shared" si="108"/>
        <v>9.7129999999999992</v>
      </c>
      <c r="B292" s="301">
        <f t="shared" si="109"/>
        <v>5.2399999999999771</v>
      </c>
      <c r="C292" s="320">
        <f t="shared" si="110"/>
        <v>173780.08287492822</v>
      </c>
      <c r="D292" s="302">
        <f t="shared" si="84"/>
        <v>-9.7132131695741002</v>
      </c>
      <c r="E292" s="301">
        <f t="shared" si="85"/>
        <v>49.571152695788228</v>
      </c>
      <c r="G292" s="320"/>
      <c r="H292" s="315" t="str">
        <f t="shared" si="86"/>
        <v>1E+47-9.15841104797039E+49i</v>
      </c>
      <c r="I292" s="301" t="str">
        <f t="shared" si="87"/>
        <v>0.002-0.000847216563179497i</v>
      </c>
      <c r="J292" s="301" t="str">
        <f t="shared" si="88"/>
        <v>0.002-0.000847216563179497i</v>
      </c>
      <c r="K292" s="301"/>
      <c r="L292" s="301" t="str">
        <f t="shared" si="89"/>
        <v>0.00187794527554995-0.000728669056582348i</v>
      </c>
      <c r="M292" s="301" t="str">
        <f t="shared" si="90"/>
        <v>0.003+0.32756773902006i</v>
      </c>
      <c r="N292" s="301" t="str">
        <f t="shared" si="91"/>
        <v>-0.00214321203732969-0.00577776624683506i</v>
      </c>
      <c r="O292" s="316">
        <f t="shared" si="92"/>
        <v>-44.204914601324212</v>
      </c>
      <c r="P292" s="316">
        <f t="shared" si="93"/>
        <v>-110.35189665141131</v>
      </c>
      <c r="Q292" s="301">
        <f t="shared" si="94"/>
        <v>1091892.4634001998</v>
      </c>
      <c r="R292" s="301">
        <f t="shared" si="111"/>
        <v>5.2399999999999762</v>
      </c>
      <c r="S292" s="308">
        <f t="shared" si="95"/>
        <v>-27.554736347199484</v>
      </c>
      <c r="T292" s="301" t="str">
        <f t="shared" si="96"/>
        <v>1+8.31222824073653i</v>
      </c>
      <c r="U292" s="303">
        <f t="shared" si="97"/>
        <v>17.841523177625383</v>
      </c>
      <c r="V292" s="301">
        <f t="shared" si="98"/>
        <v>159.92304934719954</v>
      </c>
      <c r="W292" s="301">
        <f t="shared" si="99"/>
        <v>38.688276877845574</v>
      </c>
      <c r="X292" s="303">
        <f t="shared" si="100"/>
        <v>-86.06227190994143</v>
      </c>
      <c r="Y292" s="192" t="str">
        <f t="shared" si="101"/>
        <v>5.90466138286302-85.7802647614597i</v>
      </c>
      <c r="Z292" s="192" t="str">
        <f t="shared" si="102"/>
        <v>-19283.3261372994i</v>
      </c>
      <c r="AA292" s="192" t="str">
        <f t="shared" si="103"/>
        <v>22150.1592153998-2664.76792670903i</v>
      </c>
      <c r="AB292" s="192" t="str">
        <f t="shared" si="104"/>
        <v>1381.90263844297-1369.29621141328i</v>
      </c>
      <c r="AC292" s="192" t="str">
        <f t="shared" si="105"/>
        <v>8470.69115545422-10889.9089857957i</v>
      </c>
      <c r="AD292" s="192" t="str">
        <f t="shared" si="106"/>
        <v>1339.46845627225-1041.90251914454i</v>
      </c>
      <c r="AE292" s="192" t="str">
        <f t="shared" si="107"/>
        <v>-7.32570180451235+2.67748496373356i</v>
      </c>
      <c r="AF292" s="296"/>
      <c r="AG292" s="296"/>
      <c r="AH292" s="296"/>
      <c r="AI292" s="296"/>
      <c r="AJ292" s="296"/>
      <c r="AK292" s="296"/>
      <c r="AL292" s="296"/>
      <c r="AM292" s="296"/>
      <c r="AN292" s="296"/>
      <c r="AO292" s="296"/>
      <c r="AP292" s="296"/>
      <c r="AQ292" s="296"/>
      <c r="AR292" s="296"/>
      <c r="AS292" s="296"/>
    </row>
    <row r="293" spans="1:45" s="192" customFormat="1" x14ac:dyDescent="0.2">
      <c r="A293" s="301">
        <f t="shared" si="108"/>
        <v>10.236000000000001</v>
      </c>
      <c r="B293" s="301">
        <f t="shared" si="109"/>
        <v>5.2599999999999767</v>
      </c>
      <c r="C293" s="320">
        <f t="shared" si="110"/>
        <v>181970.08586098856</v>
      </c>
      <c r="D293" s="302">
        <f t="shared" si="84"/>
        <v>-10.235690293364048</v>
      </c>
      <c r="E293" s="301">
        <f t="shared" si="85"/>
        <v>48.193802333232654</v>
      </c>
      <c r="G293" s="320"/>
      <c r="H293" s="315" t="str">
        <f t="shared" si="86"/>
        <v>1E+47-8.74621465054854E+49i</v>
      </c>
      <c r="I293" s="301" t="str">
        <f t="shared" si="87"/>
        <v>0.002-0.000809085536590982i</v>
      </c>
      <c r="J293" s="301" t="str">
        <f t="shared" si="88"/>
        <v>0.002-0.000809085536590982i</v>
      </c>
      <c r="K293" s="301"/>
      <c r="L293" s="301" t="str">
        <f t="shared" si="89"/>
        <v>0.0018759869708431-0.000695930717071036i</v>
      </c>
      <c r="M293" s="301" t="str">
        <f t="shared" si="90"/>
        <v>0.003+0.343005530948391i</v>
      </c>
      <c r="N293" s="301" t="str">
        <f t="shared" si="91"/>
        <v>-0.00195458349613317-0.00550822265349703i</v>
      </c>
      <c r="O293" s="316">
        <f t="shared" si="92"/>
        <v>-44.664705250345122</v>
      </c>
      <c r="P293" s="316">
        <f t="shared" si="93"/>
        <v>-109.53714344873829</v>
      </c>
      <c r="Q293" s="301">
        <f t="shared" si="94"/>
        <v>1143351.769827971</v>
      </c>
      <c r="R293" s="301">
        <f t="shared" si="111"/>
        <v>5.2599999999999758</v>
      </c>
      <c r="S293" s="308">
        <f t="shared" si="95"/>
        <v>-28.014526996220393</v>
      </c>
      <c r="T293" s="301" t="str">
        <f t="shared" si="96"/>
        <v>1+8.70397148879013i</v>
      </c>
      <c r="U293" s="303">
        <f t="shared" si="97"/>
        <v>17.778836702856346</v>
      </c>
      <c r="V293" s="301">
        <f t="shared" si="98"/>
        <v>157.73094578197095</v>
      </c>
      <c r="W293" s="301">
        <f t="shared" si="99"/>
        <v>38.290977302908047</v>
      </c>
      <c r="X293" s="303">
        <f t="shared" si="100"/>
        <v>-86.330194745293781</v>
      </c>
      <c r="Y293" s="192" t="str">
        <f t="shared" si="101"/>
        <v>5.25741508358393-81.9704699292813i</v>
      </c>
      <c r="Z293" s="192" t="str">
        <f t="shared" si="102"/>
        <v>-18415.4334949543i</v>
      </c>
      <c r="AA293" s="192" t="str">
        <f t="shared" si="103"/>
        <v>22150.1592153998-2544.83361347485i</v>
      </c>
      <c r="AB293" s="192" t="str">
        <f t="shared" si="104"/>
        <v>1381.90263844297-1307.66772996692i</v>
      </c>
      <c r="AC293" s="192" t="str">
        <f t="shared" si="105"/>
        <v>8077.47046595245-10771.8794743989i</v>
      </c>
      <c r="AD293" s="192" t="str">
        <f t="shared" si="106"/>
        <v>1328.58307269192-996.259803754644i</v>
      </c>
      <c r="AE293" s="192" t="str">
        <f t="shared" si="107"/>
        <v>-7.16602219906617+2.93447945499645i</v>
      </c>
      <c r="AF293" s="296"/>
      <c r="AG293" s="296"/>
      <c r="AH293" s="296"/>
      <c r="AI293" s="296"/>
      <c r="AJ293" s="296"/>
      <c r="AK293" s="296"/>
      <c r="AL293" s="296"/>
      <c r="AM293" s="296"/>
      <c r="AN293" s="296"/>
      <c r="AO293" s="296"/>
      <c r="AP293" s="296"/>
      <c r="AQ293" s="296"/>
      <c r="AR293" s="296"/>
      <c r="AS293" s="296"/>
    </row>
    <row r="294" spans="1:45" s="192" customFormat="1" x14ac:dyDescent="0.2">
      <c r="A294" s="301">
        <f t="shared" si="108"/>
        <v>10.773</v>
      </c>
      <c r="B294" s="301">
        <f t="shared" si="109"/>
        <v>5.2799999999999754</v>
      </c>
      <c r="C294" s="320">
        <f t="shared" si="110"/>
        <v>190546.07179631409</v>
      </c>
      <c r="D294" s="302">
        <f t="shared" si="84"/>
        <v>-10.772739960732238</v>
      </c>
      <c r="E294" s="301">
        <f t="shared" si="85"/>
        <v>46.784779312572397</v>
      </c>
      <c r="G294" s="320"/>
      <c r="H294" s="315" t="str">
        <f t="shared" si="86"/>
        <v>1E+47-8.35257014702591E+49i</v>
      </c>
      <c r="I294" s="301" t="str">
        <f t="shared" si="87"/>
        <v>0.002-0.000772670688901566i</v>
      </c>
      <c r="J294" s="301" t="str">
        <f t="shared" si="88"/>
        <v>0.002-0.000772670688901565i</v>
      </c>
      <c r="K294" s="301"/>
      <c r="L294" s="301" t="str">
        <f t="shared" si="89"/>
        <v>0.001874200695152-0.000664658476321863i</v>
      </c>
      <c r="M294" s="301" t="str">
        <f t="shared" si="90"/>
        <v>0.003+0.359170883595416i</v>
      </c>
      <c r="N294" s="301" t="str">
        <f t="shared" si="91"/>
        <v>-0.0017825603338824-0.00525204060639414i</v>
      </c>
      <c r="O294" s="316">
        <f t="shared" si="92"/>
        <v>-45.119931706104296</v>
      </c>
      <c r="P294" s="316">
        <f t="shared" si="93"/>
        <v>-108.74738601949343</v>
      </c>
      <c r="Q294" s="301">
        <f t="shared" si="94"/>
        <v>1197236.2786513872</v>
      </c>
      <c r="R294" s="301">
        <f t="shared" si="111"/>
        <v>5.2799999999999754</v>
      </c>
      <c r="S294" s="308">
        <f t="shared" si="95"/>
        <v>-28.469753451979571</v>
      </c>
      <c r="T294" s="301" t="str">
        <f t="shared" si="96"/>
        <v>1+9.11417702733321i</v>
      </c>
      <c r="U294" s="303">
        <f t="shared" si="97"/>
        <v>17.697013491247333</v>
      </c>
      <c r="V294" s="301">
        <f t="shared" si="98"/>
        <v>155.53216533206583</v>
      </c>
      <c r="W294" s="301">
        <f t="shared" si="99"/>
        <v>37.89341839507825</v>
      </c>
      <c r="X294" s="303">
        <f t="shared" si="100"/>
        <v>-86.59051108102463</v>
      </c>
      <c r="Y294" s="192" t="str">
        <f t="shared" si="101"/>
        <v>4.66639211854976-78.3252038909593i</v>
      </c>
      <c r="Z294" s="192" t="str">
        <f t="shared" si="102"/>
        <v>-17586.6024560522i</v>
      </c>
      <c r="AA294" s="192" t="str">
        <f t="shared" si="103"/>
        <v>22150.1592153998-2430.29723352662i</v>
      </c>
      <c r="AB294" s="192" t="str">
        <f t="shared" si="104"/>
        <v>1381.90263844297-1248.81298709789i</v>
      </c>
      <c r="AC294" s="192" t="str">
        <f t="shared" si="105"/>
        <v>7686.24103975766-10640.6155497465i</v>
      </c>
      <c r="AD294" s="192" t="str">
        <f t="shared" si="106"/>
        <v>1318.63159953789-952.512593778554i</v>
      </c>
      <c r="AE294" s="192" t="str">
        <f t="shared" si="107"/>
        <v>-6.98207662478165+3.17718310851203i</v>
      </c>
      <c r="AF294" s="296"/>
      <c r="AG294" s="296"/>
      <c r="AH294" s="296"/>
      <c r="AI294" s="296"/>
      <c r="AJ294" s="296"/>
      <c r="AK294" s="296"/>
      <c r="AL294" s="296"/>
      <c r="AM294" s="296"/>
      <c r="AN294" s="296"/>
      <c r="AO294" s="296"/>
      <c r="AP294" s="296"/>
      <c r="AQ294" s="296"/>
      <c r="AR294" s="296"/>
      <c r="AS294" s="296"/>
    </row>
    <row r="295" spans="1:45" s="192" customFormat="1" x14ac:dyDescent="0.2">
      <c r="A295" s="301">
        <f t="shared" si="108"/>
        <v>11.324</v>
      </c>
      <c r="B295" s="301">
        <f t="shared" si="109"/>
        <v>5.2999999999999758</v>
      </c>
      <c r="C295" s="320">
        <f t="shared" si="110"/>
        <v>199526.2314968768</v>
      </c>
      <c r="D295" s="302">
        <f t="shared" si="84"/>
        <v>-11.324343889255172</v>
      </c>
      <c r="E295" s="301">
        <f t="shared" si="85"/>
        <v>45.351681690720454</v>
      </c>
      <c r="G295" s="320"/>
      <c r="H295" s="315" t="str">
        <f t="shared" si="86"/>
        <v>1E+47-7.97664256463374E+49i</v>
      </c>
      <c r="I295" s="301" t="str">
        <f t="shared" si="87"/>
        <v>0.002-0.000737894779337074i</v>
      </c>
      <c r="J295" s="301" t="str">
        <f t="shared" si="88"/>
        <v>0.00200000000000001-0.000737894779337074i</v>
      </c>
      <c r="K295" s="301"/>
      <c r="L295" s="301" t="str">
        <f t="shared" si="89"/>
        <v>0.00187257135893766-0.0006347872983134i</v>
      </c>
      <c r="M295" s="301" t="str">
        <f t="shared" si="90"/>
        <v>0.003+0.376098085841427i</v>
      </c>
      <c r="N295" s="301" t="str">
        <f t="shared" si="91"/>
        <v>-0.00162568012896993-0.00500845917209386i</v>
      </c>
      <c r="O295" s="316">
        <f t="shared" si="92"/>
        <v>-45.570892991880186</v>
      </c>
      <c r="P295" s="316">
        <f t="shared" si="93"/>
        <v>-107.98275019633289</v>
      </c>
      <c r="Q295" s="301">
        <f t="shared" si="94"/>
        <v>1253660.2861380891</v>
      </c>
      <c r="R295" s="301">
        <f t="shared" si="111"/>
        <v>5.299999999999975</v>
      </c>
      <c r="S295" s="308">
        <f t="shared" si="95"/>
        <v>-28.920714737755464</v>
      </c>
      <c r="T295" s="301" t="str">
        <f t="shared" si="96"/>
        <v>1+9.54371495731029i</v>
      </c>
      <c r="U295" s="303">
        <f t="shared" si="97"/>
        <v>17.596370848500293</v>
      </c>
      <c r="V295" s="301">
        <f t="shared" si="98"/>
        <v>153.33443188705334</v>
      </c>
      <c r="W295" s="301">
        <f t="shared" si="99"/>
        <v>37.495620454735537</v>
      </c>
      <c r="X295" s="303">
        <f t="shared" si="100"/>
        <v>-86.843749785794913</v>
      </c>
      <c r="Y295" s="192" t="str">
        <f t="shared" si="101"/>
        <v>4.12676884638803-74.8379254402611i</v>
      </c>
      <c r="Z295" s="192" t="str">
        <f t="shared" si="102"/>
        <v>-16795.0749588362i</v>
      </c>
      <c r="AA295" s="192" t="str">
        <f t="shared" si="103"/>
        <v>22150.1592153998-2320.91583984633i</v>
      </c>
      <c r="AB295" s="192" t="str">
        <f t="shared" si="104"/>
        <v>1381.90263844297-1192.60714400577i</v>
      </c>
      <c r="AC295" s="192" t="str">
        <f t="shared" si="105"/>
        <v>7298.62886107464-10496.2253300579i</v>
      </c>
      <c r="AD295" s="192" t="str">
        <f t="shared" si="106"/>
        <v>1309.53581253043-910.595530811912i</v>
      </c>
      <c r="AE295" s="192" t="str">
        <f t="shared" si="107"/>
        <v>-6.77613028244528+3.40293784523479i</v>
      </c>
      <c r="AF295" s="296"/>
      <c r="AG295" s="296"/>
      <c r="AH295" s="296"/>
      <c r="AI295" s="296"/>
      <c r="AJ295" s="296"/>
      <c r="AK295" s="296"/>
      <c r="AL295" s="296"/>
      <c r="AM295" s="296"/>
      <c r="AN295" s="296"/>
      <c r="AO295" s="296"/>
      <c r="AP295" s="296"/>
      <c r="AQ295" s="296"/>
      <c r="AR295" s="296"/>
      <c r="AS295" s="296"/>
    </row>
    <row r="296" spans="1:45" s="192" customFormat="1" x14ac:dyDescent="0.2">
      <c r="A296" s="301">
        <f t="shared" si="108"/>
        <v>11.89</v>
      </c>
      <c r="B296" s="301">
        <f t="shared" si="109"/>
        <v>5.3199999999999745</v>
      </c>
      <c r="C296" s="320">
        <f t="shared" si="110"/>
        <v>208929.61308539184</v>
      </c>
      <c r="D296" s="302">
        <f t="shared" si="84"/>
        <v>-11.89036838447403</v>
      </c>
      <c r="E296" s="301">
        <f t="shared" si="85"/>
        <v>43.901792111911135</v>
      </c>
      <c r="G296" s="320"/>
      <c r="H296" s="315" t="str">
        <f t="shared" si="86"/>
        <v>1E+47-7.61763451056825E+49i</v>
      </c>
      <c r="I296" s="301" t="str">
        <f t="shared" si="87"/>
        <v>0.002-0.000704684043530829i</v>
      </c>
      <c r="J296" s="301" t="str">
        <f t="shared" si="88"/>
        <v>0.002-0.000704684043530829i</v>
      </c>
      <c r="K296" s="301"/>
      <c r="L296" s="301" t="str">
        <f t="shared" si="89"/>
        <v>0.00187108519245735-0.000606254951964272i</v>
      </c>
      <c r="M296" s="301" t="str">
        <f t="shared" si="90"/>
        <v>0.003+0.393823042551855i</v>
      </c>
      <c r="N296" s="301" t="str">
        <f t="shared" si="91"/>
        <v>-0.00148260935166288-0.00477677242719267i</v>
      </c>
      <c r="O296" s="316">
        <f t="shared" si="92"/>
        <v>-46.017875950138929</v>
      </c>
      <c r="P296" s="316">
        <f t="shared" si="93"/>
        <v>-107.2432398640907</v>
      </c>
      <c r="Q296" s="301">
        <f t="shared" si="94"/>
        <v>1312743.4751728498</v>
      </c>
      <c r="R296" s="301">
        <f t="shared" si="111"/>
        <v>5.3199999999999745</v>
      </c>
      <c r="S296" s="308">
        <f t="shared" si="95"/>
        <v>-29.367697696014208</v>
      </c>
      <c r="T296" s="301" t="str">
        <f t="shared" si="96"/>
        <v>1+9.99349638625996i</v>
      </c>
      <c r="U296" s="303">
        <f t="shared" si="97"/>
        <v>17.477329311540178</v>
      </c>
      <c r="V296" s="301">
        <f t="shared" si="98"/>
        <v>151.14503197600183</v>
      </c>
      <c r="W296" s="301">
        <f t="shared" si="99"/>
        <v>37.097601824042485</v>
      </c>
      <c r="X296" s="303">
        <f t="shared" si="100"/>
        <v>-87.090427607356574</v>
      </c>
      <c r="Y296" s="192" t="str">
        <f t="shared" si="101"/>
        <v>3.6341257609226-71.5022777883613i</v>
      </c>
      <c r="Z296" s="192" t="str">
        <f t="shared" si="102"/>
        <v>-16039.1720673629i</v>
      </c>
      <c r="AA296" s="192" t="str">
        <f t="shared" si="103"/>
        <v>22150.1592153998-2216.45741983296i</v>
      </c>
      <c r="AB296" s="192" t="str">
        <f t="shared" si="104"/>
        <v>1381.90263844297-1138.93098056171i</v>
      </c>
      <c r="AC296" s="192" t="str">
        <f t="shared" si="105"/>
        <v>6916.1997515956-10339.0062628307i</v>
      </c>
      <c r="AD296" s="192" t="str">
        <f t="shared" si="106"/>
        <v>1301.2237221405-870.443730766681i</v>
      </c>
      <c r="AE296" s="192" t="str">
        <f t="shared" si="107"/>
        <v>-6.55078388574765+3.60951229256092i</v>
      </c>
      <c r="AF296" s="296"/>
      <c r="AG296" s="296"/>
      <c r="AH296" s="296"/>
      <c r="AI296" s="296"/>
      <c r="AJ296" s="296"/>
      <c r="AK296" s="296"/>
      <c r="AL296" s="296"/>
      <c r="AM296" s="296"/>
      <c r="AN296" s="296"/>
      <c r="AO296" s="296"/>
      <c r="AP296" s="296"/>
      <c r="AQ296" s="296"/>
      <c r="AR296" s="296"/>
      <c r="AS296" s="296"/>
    </row>
    <row r="297" spans="1:45" s="192" customFormat="1" x14ac:dyDescent="0.2">
      <c r="A297" s="301">
        <f t="shared" si="108"/>
        <v>12.471</v>
      </c>
      <c r="B297" s="301">
        <f t="shared" si="109"/>
        <v>5.339999999999975</v>
      </c>
      <c r="C297" s="320">
        <f t="shared" si="110"/>
        <v>218776.16239494254</v>
      </c>
      <c r="D297" s="302">
        <f t="shared" si="84"/>
        <v>-12.470575291113427</v>
      </c>
      <c r="E297" s="301">
        <f t="shared" si="85"/>
        <v>42.441994588132431</v>
      </c>
      <c r="G297" s="320"/>
      <c r="H297" s="315" t="str">
        <f t="shared" si="86"/>
        <v>1E+47-7.2747844806137E+49i</v>
      </c>
      <c r="I297" s="301" t="str">
        <f t="shared" si="87"/>
        <v>0.002-0.000672968037059549i</v>
      </c>
      <c r="J297" s="301" t="str">
        <f t="shared" si="88"/>
        <v>0.002-0.000672968037059549i</v>
      </c>
      <c r="K297" s="301"/>
      <c r="L297" s="301" t="str">
        <f t="shared" si="89"/>
        <v>0.00186972963096617-0.00057900190058575i</v>
      </c>
      <c r="M297" s="301" t="str">
        <f t="shared" si="90"/>
        <v>0.003+0.412383350736311i</v>
      </c>
      <c r="N297" s="301" t="str">
        <f t="shared" si="91"/>
        <v>-0.00135213198904989-0.00455632426778162i</v>
      </c>
      <c r="O297" s="316">
        <f t="shared" si="92"/>
        <v>-46.461154579877984</v>
      </c>
      <c r="P297" s="316">
        <f t="shared" si="93"/>
        <v>-106.52874997002986</v>
      </c>
      <c r="Q297" s="301">
        <f t="shared" si="94"/>
        <v>1374611.1691210382</v>
      </c>
      <c r="R297" s="301">
        <f t="shared" si="111"/>
        <v>5.3399999999999741</v>
      </c>
      <c r="S297" s="308">
        <f t="shared" si="95"/>
        <v>-29.810976325753259</v>
      </c>
      <c r="T297" s="301" t="str">
        <f t="shared" si="96"/>
        <v>1+10.4644753608963i</v>
      </c>
      <c r="U297" s="303">
        <f t="shared" si="97"/>
        <v>17.340401034639832</v>
      </c>
      <c r="V297" s="301">
        <f t="shared" si="98"/>
        <v>148.97074455816229</v>
      </c>
      <c r="W297" s="301">
        <f t="shared" si="99"/>
        <v>36.6993790309375</v>
      </c>
      <c r="X297" s="303">
        <f t="shared" si="100"/>
        <v>-87.331049890632244</v>
      </c>
      <c r="Y297" s="192" t="str">
        <f t="shared" si="101"/>
        <v>3.18441530271262-68.312093923435i</v>
      </c>
      <c r="Z297" s="192" t="str">
        <f t="shared" si="102"/>
        <v>-15317.2904102537i</v>
      </c>
      <c r="AA297" s="192" t="str">
        <f t="shared" si="103"/>
        <v>22150.1592153998-2116.70040317268i</v>
      </c>
      <c r="AB297" s="192" t="str">
        <f t="shared" si="104"/>
        <v>1381.90263844297-1087.67064242656i</v>
      </c>
      <c r="AC297" s="192" t="str">
        <f t="shared" si="105"/>
        <v>6540.43478965535-10169.4321519984i</v>
      </c>
      <c r="AD297" s="192" t="str">
        <f t="shared" si="106"/>
        <v>1293.62913016308-831.993059333955i</v>
      </c>
      <c r="AE297" s="192" t="str">
        <f t="shared" si="107"/>
        <v>-6.30888088180625+3.79514376742845i</v>
      </c>
      <c r="AF297" s="296"/>
      <c r="AG297" s="296"/>
      <c r="AH297" s="296"/>
      <c r="AI297" s="296"/>
      <c r="AJ297" s="296"/>
      <c r="AK297" s="296"/>
      <c r="AL297" s="296"/>
      <c r="AM297" s="296"/>
      <c r="AN297" s="296"/>
      <c r="AO297" s="296"/>
      <c r="AP297" s="296"/>
      <c r="AQ297" s="296"/>
      <c r="AR297" s="296"/>
      <c r="AS297" s="296"/>
    </row>
    <row r="298" spans="1:45" s="192" customFormat="1" x14ac:dyDescent="0.2">
      <c r="A298" s="301">
        <f t="shared" si="108"/>
        <v>13.065</v>
      </c>
      <c r="B298" s="301">
        <f t="shared" si="109"/>
        <v>5.3599999999999737</v>
      </c>
      <c r="C298" s="320">
        <f t="shared" si="110"/>
        <v>229086.76527676353</v>
      </c>
      <c r="D298" s="302">
        <f t="shared" si="84"/>
        <v>-13.064634388583727</v>
      </c>
      <c r="E298" s="301">
        <f t="shared" si="85"/>
        <v>40.97870728473859</v>
      </c>
      <c r="G298" s="320"/>
      <c r="H298" s="315" t="str">
        <f t="shared" si="86"/>
        <v>1E+47-6.94736524388991E+49i</v>
      </c>
      <c r="I298" s="301" t="str">
        <f t="shared" si="87"/>
        <v>0.002-0.000642679486021267i</v>
      </c>
      <c r="J298" s="301" t="str">
        <f t="shared" si="88"/>
        <v>0.002-0.000642679486021267i</v>
      </c>
      <c r="K298" s="301"/>
      <c r="L298" s="301" t="str">
        <f t="shared" si="89"/>
        <v>0.00186849320979667-0.000552971194298371i</v>
      </c>
      <c r="M298" s="301" t="str">
        <f t="shared" si="90"/>
        <v>0.003+0.431818379296878i</v>
      </c>
      <c r="N298" s="301" t="str">
        <f t="shared" si="91"/>
        <v>-0.00123313917606353-0.00434650381014608i</v>
      </c>
      <c r="O298" s="316">
        <f t="shared" si="92"/>
        <v>-46.900989599034361</v>
      </c>
      <c r="P298" s="316">
        <f t="shared" si="93"/>
        <v>-105.8390790990008</v>
      </c>
      <c r="Q298" s="301">
        <f t="shared" si="94"/>
        <v>1439394.5976562593</v>
      </c>
      <c r="R298" s="301">
        <f t="shared" si="111"/>
        <v>5.3599999999999737</v>
      </c>
      <c r="S298" s="308">
        <f t="shared" si="95"/>
        <v>-30.250811344909629</v>
      </c>
      <c r="T298" s="301" t="str">
        <f t="shared" si="96"/>
        <v>1+10.9576508907697i</v>
      </c>
      <c r="U298" s="303">
        <f t="shared" si="97"/>
        <v>17.186176956325902</v>
      </c>
      <c r="V298" s="301">
        <f t="shared" si="98"/>
        <v>146.81778638373939</v>
      </c>
      <c r="W298" s="301">
        <f t="shared" si="99"/>
        <v>36.300966919686452</v>
      </c>
      <c r="X298" s="303">
        <f t="shared" si="100"/>
        <v>-87.566111317207586</v>
      </c>
      <c r="Y298" s="192" t="str">
        <f t="shared" si="101"/>
        <v>2.77393195255572-65.2614000635172i</v>
      </c>
      <c r="Z298" s="192" t="str">
        <f t="shared" si="102"/>
        <v>-14627.8987797295i</v>
      </c>
      <c r="AA298" s="192" t="str">
        <f t="shared" si="103"/>
        <v>22150.1592153998-2021.4331918585i</v>
      </c>
      <c r="AB298" s="192" t="str">
        <f t="shared" si="104"/>
        <v>1381.90263844297-1038.71739955054i</v>
      </c>
      <c r="AC298" s="192" t="str">
        <f t="shared" si="105"/>
        <v>6172.70862573691-9988.13641620089i</v>
      </c>
      <c r="AD298" s="192" t="str">
        <f t="shared" si="106"/>
        <v>1286.69120852944-795.180361039818i</v>
      </c>
      <c r="AE298" s="192" t="str">
        <f t="shared" si="107"/>
        <v>-6.05341140520996+3.95855811669055i</v>
      </c>
      <c r="AF298" s="296"/>
      <c r="AG298" s="296"/>
      <c r="AH298" s="296"/>
      <c r="AI298" s="296"/>
      <c r="AJ298" s="296"/>
      <c r="AK298" s="296"/>
      <c r="AL298" s="296"/>
      <c r="AM298" s="296"/>
      <c r="AN298" s="296"/>
      <c r="AO298" s="296"/>
      <c r="AP298" s="296"/>
      <c r="AQ298" s="296"/>
      <c r="AR298" s="296"/>
      <c r="AS298" s="296"/>
    </row>
    <row r="299" spans="1:45" s="192" customFormat="1" x14ac:dyDescent="0.2">
      <c r="A299" s="301">
        <f t="shared" si="108"/>
        <v>13.672000000000001</v>
      </c>
      <c r="B299" s="301">
        <f t="shared" si="109"/>
        <v>5.3799999999999741</v>
      </c>
      <c r="C299" s="320">
        <f t="shared" si="110"/>
        <v>239883.2919019346</v>
      </c>
      <c r="D299" s="302">
        <f t="shared" si="84"/>
        <v>-13.672136665550401</v>
      </c>
      <c r="E299" s="301">
        <f t="shared" si="85"/>
        <v>39.517832079712122</v>
      </c>
      <c r="G299" s="320"/>
      <c r="H299" s="315" t="str">
        <f t="shared" si="86"/>
        <v>1E+47-6.63468230029786E+49i</v>
      </c>
      <c r="I299" s="301" t="str">
        <f t="shared" si="87"/>
        <v>0.002-0.000613754144338379i</v>
      </c>
      <c r="J299" s="301" t="str">
        <f t="shared" si="88"/>
        <v>0.002-0.000613754144338379i</v>
      </c>
      <c r="K299" s="301"/>
      <c r="L299" s="301" t="str">
        <f t="shared" si="89"/>
        <v>0.0018673654684848-0.000528108365535925i</v>
      </c>
      <c r="M299" s="301" t="str">
        <f t="shared" si="90"/>
        <v>0.003+0.452169352534832i</v>
      </c>
      <c r="N299" s="301" t="str">
        <f t="shared" si="91"/>
        <v>-0.00112461974330699-0.00414674130843223i</v>
      </c>
      <c r="O299" s="316">
        <f t="shared" si="92"/>
        <v>-47.33762820645218</v>
      </c>
      <c r="P299" s="316">
        <f t="shared" si="93"/>
        <v>-105.17394147565327</v>
      </c>
      <c r="Q299" s="301">
        <f t="shared" si="94"/>
        <v>1507231.1751161073</v>
      </c>
      <c r="R299" s="301">
        <f t="shared" si="111"/>
        <v>5.3799999999999732</v>
      </c>
      <c r="S299" s="308">
        <f t="shared" si="95"/>
        <v>-30.687449952327452</v>
      </c>
      <c r="T299" s="301" t="str">
        <f t="shared" si="96"/>
        <v>1+11.4740690673004i</v>
      </c>
      <c r="U299" s="303">
        <f t="shared" si="97"/>
        <v>17.015313286777051</v>
      </c>
      <c r="V299" s="301">
        <f t="shared" si="98"/>
        <v>144.69177355536539</v>
      </c>
      <c r="W299" s="301">
        <f t="shared" si="99"/>
        <v>35.90237876878038</v>
      </c>
      <c r="X299" s="303">
        <f t="shared" si="100"/>
        <v>-87.796096661951125</v>
      </c>
      <c r="Y299" s="192" t="str">
        <f t="shared" si="101"/>
        <v>2.39928449536177-62.3444174833718i</v>
      </c>
      <c r="Z299" s="192" t="str">
        <f t="shared" si="102"/>
        <v>-13969.5348837137i</v>
      </c>
      <c r="AA299" s="192" t="str">
        <f t="shared" si="103"/>
        <v>22150.1592153998-1930.45371136251i</v>
      </c>
      <c r="AB299" s="192" t="str">
        <f t="shared" si="104"/>
        <v>1381.90263844297-991.967415542227i</v>
      </c>
      <c r="AC299" s="192" t="str">
        <f t="shared" si="105"/>
        <v>5814.27131911805-9795.89230337584i</v>
      </c>
      <c r="AD299" s="192" t="str">
        <f t="shared" si="106"/>
        <v>1280.35410100987-759.943647527796i</v>
      </c>
      <c r="AE299" s="192" t="str">
        <f t="shared" si="107"/>
        <v>-5.78741850815105+4.09896836385023i</v>
      </c>
      <c r="AF299" s="296"/>
      <c r="AG299" s="296"/>
      <c r="AH299" s="296"/>
      <c r="AI299" s="296"/>
      <c r="AJ299" s="296"/>
      <c r="AK299" s="296"/>
      <c r="AL299" s="296"/>
      <c r="AM299" s="296"/>
      <c r="AN299" s="296"/>
      <c r="AO299" s="296"/>
      <c r="AP299" s="296"/>
      <c r="AQ299" s="296"/>
      <c r="AR299" s="296"/>
      <c r="AS299" s="296"/>
    </row>
    <row r="300" spans="1:45" s="192" customFormat="1" x14ac:dyDescent="0.2">
      <c r="A300" s="301">
        <f t="shared" si="108"/>
        <v>14.292999999999999</v>
      </c>
      <c r="B300" s="301">
        <f t="shared" si="109"/>
        <v>5.3999999999999728</v>
      </c>
      <c r="C300" s="320">
        <f t="shared" si="110"/>
        <v>251188.64315094237</v>
      </c>
      <c r="D300" s="302">
        <f t="shared" si="84"/>
        <v>-14.292607929628364</v>
      </c>
      <c r="E300" s="301">
        <f t="shared" si="85"/>
        <v>38.064720767306156</v>
      </c>
      <c r="G300" s="320"/>
      <c r="H300" s="315" t="str">
        <f t="shared" si="86"/>
        <v>1E+47-6.33607240739212E+49i</v>
      </c>
      <c r="I300" s="301" t="str">
        <f t="shared" si="87"/>
        <v>0.002-0.000586130657483084i</v>
      </c>
      <c r="J300" s="301" t="str">
        <f t="shared" si="88"/>
        <v>0.002-0.000586130657483084i</v>
      </c>
      <c r="K300" s="301"/>
      <c r="L300" s="301" t="str">
        <f t="shared" si="89"/>
        <v>0.00186633686317725-0.000504361327721971i</v>
      </c>
      <c r="M300" s="301" t="str">
        <f t="shared" si="90"/>
        <v>0.003+0.473479437592913i</v>
      </c>
      <c r="N300" s="301" t="str">
        <f t="shared" si="91"/>
        <v>-0.00102565160036368-0.00395650452481696i</v>
      </c>
      <c r="O300" s="316">
        <f t="shared" si="92"/>
        <v>-47.771304017660476</v>
      </c>
      <c r="P300" s="316">
        <f t="shared" si="93"/>
        <v>-104.5329782917252</v>
      </c>
      <c r="Q300" s="301">
        <f t="shared" si="94"/>
        <v>1578264.7919763774</v>
      </c>
      <c r="R300" s="301">
        <f t="shared" si="111"/>
        <v>5.3999999999999728</v>
      </c>
      <c r="S300" s="308">
        <f t="shared" si="95"/>
        <v>-31.121125763535748</v>
      </c>
      <c r="T300" s="301" t="str">
        <f t="shared" si="96"/>
        <v>1+12.0148252826779i</v>
      </c>
      <c r="U300" s="303">
        <f t="shared" si="97"/>
        <v>16.828517833907384</v>
      </c>
      <c r="V300" s="301">
        <f t="shared" si="98"/>
        <v>142.59769905903136</v>
      </c>
      <c r="W300" s="301">
        <f t="shared" si="99"/>
        <v>35.503626396916495</v>
      </c>
      <c r="X300" s="303">
        <f t="shared" si="100"/>
        <v>-88.021481563169118</v>
      </c>
      <c r="Y300" s="192" t="str">
        <f t="shared" si="101"/>
        <v>2.05737033848068-59.5555629623279i</v>
      </c>
      <c r="Z300" s="192" t="str">
        <f t="shared" si="102"/>
        <v>-13340.8022441144i</v>
      </c>
      <c r="AA300" s="192" t="str">
        <f t="shared" si="103"/>
        <v>22150.1592153998-1843.56898200877i</v>
      </c>
      <c r="AB300" s="192" t="str">
        <f t="shared" si="104"/>
        <v>1381.90263844297-947.321527417674i</v>
      </c>
      <c r="AC300" s="192" t="str">
        <f t="shared" si="105"/>
        <v>5466.23412615154-9593.59088670431i</v>
      </c>
      <c r="AD300" s="192" t="str">
        <f t="shared" si="106"/>
        <v>1274.56654801208-726.222250153529i</v>
      </c>
      <c r="AE300" s="192" t="str">
        <f t="shared" si="107"/>
        <v>-5.51391142054653+4.21605448678171i</v>
      </c>
      <c r="AF300" s="296"/>
      <c r="AG300" s="296"/>
      <c r="AH300" s="296"/>
      <c r="AI300" s="296"/>
      <c r="AJ300" s="296"/>
      <c r="AK300" s="296"/>
      <c r="AL300" s="296"/>
      <c r="AM300" s="296"/>
      <c r="AN300" s="296"/>
      <c r="AO300" s="296"/>
      <c r="AP300" s="296"/>
      <c r="AQ300" s="296"/>
      <c r="AR300" s="296"/>
      <c r="AS300" s="296"/>
    </row>
    <row r="301" spans="1:45" s="192" customFormat="1" x14ac:dyDescent="0.2">
      <c r="A301" s="301">
        <f t="shared" si="108"/>
        <v>14.926</v>
      </c>
      <c r="B301" s="301">
        <f t="shared" si="109"/>
        <v>5.4199999999999733</v>
      </c>
      <c r="C301" s="320">
        <f t="shared" si="110"/>
        <v>263026.79918952176</v>
      </c>
      <c r="D301" s="302">
        <f t="shared" si="84"/>
        <v>-14.92552226155885</v>
      </c>
      <c r="E301" s="301">
        <f t="shared" si="85"/>
        <v>36.624157006022926</v>
      </c>
      <c r="G301" s="320"/>
      <c r="H301" s="315" t="str">
        <f t="shared" si="86"/>
        <v>1E+47-6.05090217355447E+49i</v>
      </c>
      <c r="I301" s="301" t="str">
        <f t="shared" si="87"/>
        <v>0.002-0.000559750432336213i</v>
      </c>
      <c r="J301" s="301" t="str">
        <f t="shared" si="88"/>
        <v>0.002-0.000559750432336212i</v>
      </c>
      <c r="K301" s="301"/>
      <c r="L301" s="301" t="str">
        <f t="shared" si="89"/>
        <v>0.00186539868661734-0.000481680277171773i</v>
      </c>
      <c r="M301" s="301" t="str">
        <f t="shared" si="90"/>
        <v>0.003+0.495793836018624i</v>
      </c>
      <c r="N301" s="301" t="str">
        <f t="shared" si="91"/>
        <v>-0.000935393880510575-0.00377529549618229i</v>
      </c>
      <c r="O301" s="316">
        <f t="shared" si="92"/>
        <v>-48.202237149284642</v>
      </c>
      <c r="P301" s="316">
        <f t="shared" si="93"/>
        <v>-103.91576828841113</v>
      </c>
      <c r="Q301" s="301">
        <f t="shared" si="94"/>
        <v>1652646.1200620786</v>
      </c>
      <c r="R301" s="301">
        <f t="shared" si="111"/>
        <v>5.4199999999999724</v>
      </c>
      <c r="S301" s="308">
        <f t="shared" si="95"/>
        <v>-31.55205889515992</v>
      </c>
      <c r="T301" s="301" t="str">
        <f t="shared" si="96"/>
        <v>1+12.5810665533358i</v>
      </c>
      <c r="U301" s="303">
        <f t="shared" si="97"/>
        <v>16.62653663360107</v>
      </c>
      <c r="V301" s="301">
        <f t="shared" si="98"/>
        <v>140.53992529443406</v>
      </c>
      <c r="W301" s="301">
        <f t="shared" si="99"/>
        <v>35.104720257739082</v>
      </c>
      <c r="X301" s="303">
        <f t="shared" si="100"/>
        <v>-88.242733303314367</v>
      </c>
      <c r="Y301" s="192" t="str">
        <f t="shared" si="101"/>
        <v>1.74535176680007-56.8894480696632i</v>
      </c>
      <c r="Z301" s="192" t="str">
        <f t="shared" si="102"/>
        <v>-12740.3672347074i</v>
      </c>
      <c r="AA301" s="192" t="str">
        <f t="shared" si="103"/>
        <v>22150.1592153998-1760.59470963746i</v>
      </c>
      <c r="AB301" s="192" t="str">
        <f t="shared" si="104"/>
        <v>1381.90263844297-904.685035262382i</v>
      </c>
      <c r="AC301" s="192" t="str">
        <f t="shared" si="105"/>
        <v>5129.55946471331-9382.21771236235i</v>
      </c>
      <c r="AD301" s="192" t="str">
        <f t="shared" si="106"/>
        <v>1269.28153432723-693.956941461203i</v>
      </c>
      <c r="AE301" s="192" t="str">
        <f t="shared" si="107"/>
        <v>-5.23578949995446+4.30992763741624i</v>
      </c>
      <c r="AF301" s="296"/>
      <c r="AG301" s="296"/>
      <c r="AH301" s="296"/>
      <c r="AI301" s="296"/>
      <c r="AJ301" s="296"/>
      <c r="AK301" s="296"/>
      <c r="AL301" s="296"/>
      <c r="AM301" s="296"/>
      <c r="AN301" s="296"/>
      <c r="AO301" s="296"/>
      <c r="AP301" s="296"/>
      <c r="AQ301" s="296"/>
      <c r="AR301" s="296"/>
      <c r="AS301" s="296"/>
    </row>
    <row r="302" spans="1:45" s="192" customFormat="1" x14ac:dyDescent="0.2">
      <c r="A302" s="301">
        <f t="shared" si="108"/>
        <v>15.57</v>
      </c>
      <c r="B302" s="301">
        <f t="shared" si="109"/>
        <v>5.4399999999999729</v>
      </c>
      <c r="C302" s="320">
        <f t="shared" si="110"/>
        <v>275422.87033379939</v>
      </c>
      <c r="D302" s="302">
        <f t="shared" si="84"/>
        <v>-15.570314899322071</v>
      </c>
      <c r="E302" s="301">
        <f t="shared" si="85"/>
        <v>35.200352510194605</v>
      </c>
      <c r="G302" s="320"/>
      <c r="H302" s="315" t="str">
        <f t="shared" si="86"/>
        <v>1E+47-5.77856671448551E+49i</v>
      </c>
      <c r="I302" s="301" t="str">
        <f t="shared" si="87"/>
        <v>0.002-0.000534557512903379i</v>
      </c>
      <c r="J302" s="301" t="str">
        <f t="shared" si="88"/>
        <v>0.00200000000000001-0.000534557512903378i</v>
      </c>
      <c r="K302" s="301"/>
      <c r="L302" s="301" t="str">
        <f t="shared" si="89"/>
        <v>0.00186454299506428-0.000460017598245397i</v>
      </c>
      <c r="M302" s="301" t="str">
        <f t="shared" si="90"/>
        <v>0.003+0.519159879642767i</v>
      </c>
      <c r="N302" s="301" t="str">
        <f t="shared" si="91"/>
        <v>-0.000853079779351637-0.00360264764861025i</v>
      </c>
      <c r="O302" s="316">
        <f t="shared" si="92"/>
        <v>-48.630634428104564</v>
      </c>
      <c r="P302" s="316">
        <f t="shared" si="93"/>
        <v>-103.32183755154163</v>
      </c>
      <c r="Q302" s="301">
        <f t="shared" si="94"/>
        <v>1730532.9321425566</v>
      </c>
      <c r="R302" s="301">
        <f t="shared" si="111"/>
        <v>5.439999999999972</v>
      </c>
      <c r="S302" s="308">
        <f t="shared" si="95"/>
        <v>-31.980456173979835</v>
      </c>
      <c r="T302" s="301" t="str">
        <f t="shared" si="96"/>
        <v>1+13.1739939529262i</v>
      </c>
      <c r="U302" s="303">
        <f t="shared" si="97"/>
        <v>16.410141274657764</v>
      </c>
      <c r="V302" s="301">
        <f t="shared" si="98"/>
        <v>138.52219006173624</v>
      </c>
      <c r="W302" s="301">
        <f t="shared" si="99"/>
        <v>34.70566952396149</v>
      </c>
      <c r="X302" s="303">
        <f t="shared" si="100"/>
        <v>-88.460311597797087</v>
      </c>
      <c r="Y302" s="192" t="str">
        <f t="shared" si="101"/>
        <v>1.46063401718461-54.3408774770014i</v>
      </c>
      <c r="Z302" s="192" t="str">
        <f t="shared" si="102"/>
        <v>-12166.956252336i</v>
      </c>
      <c r="AA302" s="192" t="str">
        <f t="shared" si="103"/>
        <v>22150.1592153998-1681.35489469234i</v>
      </c>
      <c r="AB302" s="192" t="str">
        <f t="shared" si="104"/>
        <v>1381.90263844297-863.967501360121i</v>
      </c>
      <c r="AC302" s="192" t="str">
        <f t="shared" si="105"/>
        <v>4805.05507731465-9162.82896177463i</v>
      </c>
      <c r="AD302" s="192" t="str">
        <f t="shared" si="106"/>
        <v>1264.45595940146-663.090029630551i</v>
      </c>
      <c r="AE302" s="192" t="str">
        <f t="shared" si="107"/>
        <v>-4.95577929518188+4.38108267011222i</v>
      </c>
      <c r="AF302" s="296"/>
      <c r="AG302" s="296"/>
      <c r="AH302" s="296"/>
      <c r="AI302" s="296"/>
      <c r="AJ302" s="296"/>
      <c r="AK302" s="296"/>
      <c r="AL302" s="296"/>
      <c r="AM302" s="296"/>
      <c r="AN302" s="296"/>
      <c r="AO302" s="296"/>
      <c r="AP302" s="296"/>
      <c r="AQ302" s="296"/>
      <c r="AR302" s="296"/>
      <c r="AS302" s="296"/>
    </row>
    <row r="303" spans="1:45" s="192" customFormat="1" x14ac:dyDescent="0.2">
      <c r="A303" s="301">
        <f t="shared" si="108"/>
        <v>16.225999999999999</v>
      </c>
      <c r="B303" s="301">
        <f t="shared" si="109"/>
        <v>5.4599999999999715</v>
      </c>
      <c r="C303" s="320">
        <f t="shared" si="110"/>
        <v>288403.15031264198</v>
      </c>
      <c r="D303" s="302">
        <f t="shared" si="84"/>
        <v>-16.226394226646455</v>
      </c>
      <c r="E303" s="301">
        <f t="shared" si="85"/>
        <v>33.796955572587066</v>
      </c>
      <c r="G303" s="320"/>
      <c r="H303" s="315" t="str">
        <f t="shared" si="86"/>
        <v>1E+47-5.51848837016392E+49i</v>
      </c>
      <c r="I303" s="301" t="str">
        <f t="shared" si="87"/>
        <v>0.002-0.000510498461624786i</v>
      </c>
      <c r="J303" s="301" t="str">
        <f t="shared" si="88"/>
        <v>0.002-0.000510498461624785i</v>
      </c>
      <c r="K303" s="301"/>
      <c r="L303" s="301" t="str">
        <f t="shared" si="89"/>
        <v>0.00186376254155365-0.000439327771754545i</v>
      </c>
      <c r="M303" s="301" t="str">
        <f t="shared" si="90"/>
        <v>0.003+0.543627130976609i</v>
      </c>
      <c r="N303" s="301" t="str">
        <f t="shared" si="91"/>
        <v>-0.00077801002589416-0.00343812321734005i</v>
      </c>
      <c r="O303" s="316">
        <f t="shared" si="92"/>
        <v>-49.056689702400163</v>
      </c>
      <c r="P303" s="316">
        <f t="shared" si="93"/>
        <v>-102.75066850072939</v>
      </c>
      <c r="Q303" s="301">
        <f t="shared" si="94"/>
        <v>1812090.4365886978</v>
      </c>
      <c r="R303" s="301">
        <f t="shared" si="111"/>
        <v>5.4599999999999715</v>
      </c>
      <c r="S303" s="308">
        <f t="shared" si="95"/>
        <v>-32.406511448275445</v>
      </c>
      <c r="T303" s="301" t="str">
        <f t="shared" si="96"/>
        <v>1+13.7948651599589i</v>
      </c>
      <c r="U303" s="303">
        <f t="shared" si="97"/>
        <v>16.18011722162899</v>
      </c>
      <c r="V303" s="301">
        <f t="shared" si="98"/>
        <v>136.54762407331646</v>
      </c>
      <c r="W303" s="301">
        <f t="shared" si="99"/>
        <v>34.306482161429948</v>
      </c>
      <c r="X303" s="303">
        <f t="shared" si="100"/>
        <v>-88.67466938990647</v>
      </c>
      <c r="Y303" s="192" t="str">
        <f t="shared" si="101"/>
        <v>1.20084505664337-51.9048464630024i</v>
      </c>
      <c r="Z303" s="192" t="str">
        <f t="shared" si="102"/>
        <v>-11619.3530154281i</v>
      </c>
      <c r="AA303" s="192" t="str">
        <f t="shared" si="103"/>
        <v>22150.1592153998-1605.68145890204i</v>
      </c>
      <c r="AB303" s="192" t="str">
        <f t="shared" si="104"/>
        <v>1381.90263844297-825.082558362378i</v>
      </c>
      <c r="AC303" s="192" t="str">
        <f t="shared" si="105"/>
        <v>4493.37223098892-8936.52793580017i</v>
      </c>
      <c r="AD303" s="192" t="str">
        <f t="shared" si="106"/>
        <v>1260.05032950145-633.56542953875i</v>
      </c>
      <c r="AE303" s="192" t="str">
        <f t="shared" si="107"/>
        <v>-4.67638592094369+4.43034299021248i</v>
      </c>
      <c r="AF303" s="296"/>
      <c r="AG303" s="296"/>
      <c r="AH303" s="296"/>
      <c r="AI303" s="296"/>
      <c r="AJ303" s="296"/>
      <c r="AK303" s="296"/>
      <c r="AL303" s="296"/>
      <c r="AM303" s="296"/>
      <c r="AN303" s="296"/>
      <c r="AO303" s="296"/>
      <c r="AP303" s="296"/>
      <c r="AQ303" s="296"/>
      <c r="AR303" s="296"/>
      <c r="AS303" s="296"/>
    </row>
    <row r="304" spans="1:45" s="192" customFormat="1" x14ac:dyDescent="0.2">
      <c r="A304" s="301">
        <f t="shared" si="108"/>
        <v>16.893000000000001</v>
      </c>
      <c r="B304" s="301">
        <f t="shared" si="109"/>
        <v>5.479999999999972</v>
      </c>
      <c r="C304" s="320">
        <f t="shared" si="110"/>
        <v>301995.17204018205</v>
      </c>
      <c r="D304" s="302">
        <f t="shared" si="84"/>
        <v>-16.893152633051166</v>
      </c>
      <c r="E304" s="301">
        <f t="shared" si="85"/>
        <v>32.417069779190044</v>
      </c>
      <c r="G304" s="320"/>
      <c r="H304" s="315" t="str">
        <f t="shared" si="86"/>
        <v>1E+47-5.27011547955208E+49i</v>
      </c>
      <c r="I304" s="301" t="str">
        <f t="shared" si="87"/>
        <v>0.002-0.000487522246027018i</v>
      </c>
      <c r="J304" s="301" t="str">
        <f t="shared" si="88"/>
        <v>0.00199999999999999-0.000487522246027017i</v>
      </c>
      <c r="K304" s="301"/>
      <c r="L304" s="301" t="str">
        <f t="shared" si="89"/>
        <v>0.00186305071495609-0.000419567286606905i</v>
      </c>
      <c r="M304" s="301" t="str">
        <f t="shared" si="90"/>
        <v>0.003+0.569247488340613i</v>
      </c>
      <c r="N304" s="301" t="str">
        <f t="shared" si="91"/>
        <v>-0.000709546930061217-0.00328131093530553i</v>
      </c>
      <c r="O304" s="316">
        <f t="shared" si="92"/>
        <v>-49.480584235134224</v>
      </c>
      <c r="P304" s="316">
        <f t="shared" si="93"/>
        <v>-102.20170807290187</v>
      </c>
      <c r="Q304" s="301">
        <f t="shared" si="94"/>
        <v>1897491.6278020432</v>
      </c>
      <c r="R304" s="301">
        <f t="shared" si="111"/>
        <v>5.4799999999999711</v>
      </c>
      <c r="S304" s="308">
        <f t="shared" si="95"/>
        <v>-32.830405981009491</v>
      </c>
      <c r="T304" s="301" t="str">
        <f t="shared" si="96"/>
        <v>1+14.4449971255057i</v>
      </c>
      <c r="U304" s="303">
        <f t="shared" si="97"/>
        <v>15.937253347958327</v>
      </c>
      <c r="V304" s="301">
        <f t="shared" si="98"/>
        <v>134.61877785209191</v>
      </c>
      <c r="W304" s="301">
        <f t="shared" si="99"/>
        <v>33.907164993632236</v>
      </c>
      <c r="X304" s="303">
        <f t="shared" si="100"/>
        <v>-88.886253650248179</v>
      </c>
      <c r="Y304" s="192" t="str">
        <f t="shared" si="101"/>
        <v>0.963816951614149-49.5765377541586i</v>
      </c>
      <c r="Z304" s="192" t="str">
        <f t="shared" si="102"/>
        <v>-11096.3959840996i</v>
      </c>
      <c r="AA304" s="192" t="str">
        <f t="shared" si="103"/>
        <v>22150.1592153998-1533.41388876353i</v>
      </c>
      <c r="AB304" s="192" t="str">
        <f t="shared" si="104"/>
        <v>1381.90263844297-787.947726091668i</v>
      </c>
      <c r="AC304" s="192" t="str">
        <f t="shared" si="105"/>
        <v>4195.00763603589-8704.44257450484i</v>
      </c>
      <c r="AD304" s="192" t="str">
        <f t="shared" si="106"/>
        <v>1256.02847098883-605.328713674283i</v>
      </c>
      <c r="AE304" s="192" t="str">
        <f t="shared" si="107"/>
        <v>-4.39985884328109+4.45880153332047i</v>
      </c>
      <c r="AF304" s="296"/>
      <c r="AG304" s="296"/>
      <c r="AH304" s="296"/>
      <c r="AI304" s="296"/>
      <c r="AJ304" s="296"/>
      <c r="AK304" s="296"/>
      <c r="AL304" s="296"/>
      <c r="AM304" s="296"/>
      <c r="AN304" s="296"/>
      <c r="AO304" s="296"/>
      <c r="AP304" s="296"/>
      <c r="AQ304" s="296"/>
      <c r="AR304" s="296"/>
      <c r="AS304" s="296"/>
    </row>
    <row r="305" spans="1:45" s="192" customFormat="1" x14ac:dyDescent="0.2">
      <c r="A305" s="301">
        <f t="shared" si="108"/>
        <v>17.57</v>
      </c>
      <c r="B305" s="301">
        <f t="shared" si="109"/>
        <v>5.4999999999999707</v>
      </c>
      <c r="C305" s="320">
        <f t="shared" si="110"/>
        <v>316227.76601681684</v>
      </c>
      <c r="D305" s="302">
        <f t="shared" si="84"/>
        <v>-17.569976101231017</v>
      </c>
      <c r="E305" s="301">
        <f t="shared" si="85"/>
        <v>31.063280716731114</v>
      </c>
      <c r="G305" s="320"/>
      <c r="H305" s="315" t="str">
        <f t="shared" si="86"/>
        <v>1E+47-5.03292121044903E+49i</v>
      </c>
      <c r="I305" s="301" t="str">
        <f t="shared" si="87"/>
        <v>0.002-0.000465580130476323i</v>
      </c>
      <c r="J305" s="301" t="str">
        <f t="shared" si="88"/>
        <v>0.002-0.000465580130476322i</v>
      </c>
      <c r="K305" s="301"/>
      <c r="L305" s="301" t="str">
        <f t="shared" si="89"/>
        <v>0.00186240148433641-0.000400694554655679i</v>
      </c>
      <c r="M305" s="301" t="str">
        <f t="shared" si="90"/>
        <v>0.003+0.596075295947726i</v>
      </c>
      <c r="N305" s="301" t="str">
        <f t="shared" si="91"/>
        <v>-0.000647108955613682-0.00313182395811381i</v>
      </c>
      <c r="O305" s="316">
        <f t="shared" si="92"/>
        <v>-49.902487160586574</v>
      </c>
      <c r="P305" s="316">
        <f t="shared" si="93"/>
        <v>-101.67437511600589</v>
      </c>
      <c r="Q305" s="301">
        <f t="shared" si="94"/>
        <v>1986917.6531590875</v>
      </c>
      <c r="R305" s="301">
        <f t="shared" si="111"/>
        <v>5.4999999999999707</v>
      </c>
      <c r="S305" s="308">
        <f t="shared" si="95"/>
        <v>-33.252308906461835</v>
      </c>
      <c r="T305" s="301" t="str">
        <f t="shared" si="96"/>
        <v>1+15.1257688666302i</v>
      </c>
      <c r="U305" s="303">
        <f t="shared" si="97"/>
        <v>15.682332805230818</v>
      </c>
      <c r="V305" s="301">
        <f t="shared" si="98"/>
        <v>132.737655832737</v>
      </c>
      <c r="W305" s="301">
        <f t="shared" si="99"/>
        <v>33.507723757095413</v>
      </c>
      <c r="X305" s="303">
        <f t="shared" si="100"/>
        <v>-89.095506179440676</v>
      </c>
      <c r="Y305" s="192" t="str">
        <f t="shared" si="101"/>
        <v>0.747568719631875-47.3513178264814i</v>
      </c>
      <c r="Z305" s="192" t="str">
        <f t="shared" si="102"/>
        <v>-10596.9758963732i</v>
      </c>
      <c r="AA305" s="192" t="str">
        <f t="shared" si="103"/>
        <v>22150.1592153998-1464.39889507147i</v>
      </c>
      <c r="AB305" s="192" t="str">
        <f t="shared" si="104"/>
        <v>1381.90263844297-752.484236589998i</v>
      </c>
      <c r="AC305" s="192" t="str">
        <f t="shared" si="105"/>
        <v>3910.30864506332-8467.704604926i</v>
      </c>
      <c r="AD305" s="192" t="str">
        <f t="shared" si="106"/>
        <v>1252.35726380827-578.327145768463i</v>
      </c>
      <c r="AE305" s="192" t="str">
        <f t="shared" si="107"/>
        <v>-4.12817128502555+4.46776123040453i</v>
      </c>
      <c r="AF305" s="296"/>
      <c r="AG305" s="296"/>
      <c r="AH305" s="296"/>
      <c r="AI305" s="296"/>
      <c r="AJ305" s="296"/>
      <c r="AK305" s="296"/>
      <c r="AL305" s="296"/>
      <c r="AM305" s="296"/>
      <c r="AN305" s="296"/>
      <c r="AO305" s="296"/>
      <c r="AP305" s="296"/>
      <c r="AQ305" s="296"/>
      <c r="AR305" s="296"/>
      <c r="AS305" s="296"/>
    </row>
    <row r="306" spans="1:45" s="192" customFormat="1" x14ac:dyDescent="0.2">
      <c r="A306" s="301">
        <f t="shared" si="108"/>
        <v>18.256</v>
      </c>
      <c r="B306" s="301">
        <f t="shared" si="109"/>
        <v>5.5199999999999712</v>
      </c>
      <c r="C306" s="320">
        <f t="shared" si="110"/>
        <v>331131.12148256891</v>
      </c>
      <c r="D306" s="302">
        <f t="shared" si="84"/>
        <v>-18.25625245667608</v>
      </c>
      <c r="E306" s="301">
        <f t="shared" si="85"/>
        <v>29.737688547737605</v>
      </c>
      <c r="G306" s="320"/>
      <c r="H306" s="315" t="str">
        <f t="shared" si="86"/>
        <v>1E+47-4.80640244200886E+49i</v>
      </c>
      <c r="I306" s="301" t="str">
        <f t="shared" si="87"/>
        <v>0.002-0.00044462557280378i</v>
      </c>
      <c r="J306" s="301" t="str">
        <f t="shared" si="88"/>
        <v>0.002-0.000444625572803781i</v>
      </c>
      <c r="K306" s="301"/>
      <c r="L306" s="301" t="str">
        <f t="shared" si="89"/>
        <v>0.00186180934815717-0.000382669828709021i</v>
      </c>
      <c r="M306" s="301" t="str">
        <f t="shared" si="90"/>
        <v>0.003+0.624167459174753i</v>
      </c>
      <c r="N306" s="301" t="str">
        <f t="shared" si="91"/>
        <v>-0.000590165771990997-0.00298929799743797i</v>
      </c>
      <c r="O306" s="316">
        <f t="shared" si="92"/>
        <v>-50.322555988168681</v>
      </c>
      <c r="P306" s="316">
        <f t="shared" si="93"/>
        <v>-101.16806702052739</v>
      </c>
      <c r="Q306" s="301">
        <f t="shared" si="94"/>
        <v>2080558.1972491755</v>
      </c>
      <c r="R306" s="301">
        <f t="shared" si="111"/>
        <v>5.5199999999999703</v>
      </c>
      <c r="S306" s="308">
        <f t="shared" si="95"/>
        <v>-33.672377734043955</v>
      </c>
      <c r="T306" s="301" t="str">
        <f t="shared" si="96"/>
        <v>1+15.838624391468i</v>
      </c>
      <c r="U306" s="303">
        <f t="shared" si="97"/>
        <v>15.416125277367875</v>
      </c>
      <c r="V306" s="301">
        <f t="shared" si="98"/>
        <v>130.90575556826499</v>
      </c>
      <c r="W306" s="301">
        <f t="shared" si="99"/>
        <v>33.108163148058999</v>
      </c>
      <c r="X306" s="303">
        <f t="shared" si="100"/>
        <v>-89.30286441310021</v>
      </c>
      <c r="Y306" s="192" t="str">
        <f t="shared" si="101"/>
        <v>0.5502905591495-45.224732776056i</v>
      </c>
      <c r="Z306" s="192" t="str">
        <f t="shared" si="102"/>
        <v>-10120.0334152843i</v>
      </c>
      <c r="AA306" s="192" t="str">
        <f t="shared" si="103"/>
        <v>22150.1592153998-1398.49008777124i</v>
      </c>
      <c r="AB306" s="192" t="str">
        <f t="shared" si="104"/>
        <v>1381.90263844297-718.616867041447i</v>
      </c>
      <c r="AC306" s="192" t="str">
        <f t="shared" si="105"/>
        <v>3639.48121168223-8227.43077220509i</v>
      </c>
      <c r="AD306" s="192" t="str">
        <f t="shared" si="106"/>
        <v>1249.00639422128-552.509699673964i</v>
      </c>
      <c r="AE306" s="192" t="str">
        <f t="shared" si="107"/>
        <v>-3.86301181398745+4.45867770263942i</v>
      </c>
      <c r="AF306" s="296"/>
      <c r="AG306" s="296"/>
      <c r="AH306" s="296"/>
      <c r="AI306" s="296"/>
      <c r="AJ306" s="296"/>
      <c r="AK306" s="296"/>
      <c r="AL306" s="296"/>
      <c r="AM306" s="296"/>
      <c r="AN306" s="296"/>
      <c r="AO306" s="296"/>
      <c r="AP306" s="296"/>
      <c r="AQ306" s="296"/>
      <c r="AR306" s="296"/>
      <c r="AS306" s="296"/>
    </row>
    <row r="307" spans="1:45" s="192" customFormat="1" x14ac:dyDescent="0.2">
      <c r="A307" s="301">
        <f t="shared" si="108"/>
        <v>18.951000000000001</v>
      </c>
      <c r="B307" s="301">
        <f t="shared" si="109"/>
        <v>5.5399999999999698</v>
      </c>
      <c r="C307" s="320">
        <f t="shared" si="110"/>
        <v>346736.85045250773</v>
      </c>
      <c r="D307" s="302">
        <f t="shared" si="84"/>
        <v>-18.951378280477275</v>
      </c>
      <c r="E307" s="301">
        <f t="shared" si="85"/>
        <v>28.441944501745169</v>
      </c>
      <c r="G307" s="320"/>
      <c r="H307" s="315" t="str">
        <f t="shared" si="86"/>
        <v>1E+47-4.5900786975538E+49i</v>
      </c>
      <c r="I307" s="301" t="str">
        <f t="shared" si="87"/>
        <v>0.002-0.000424614125583145i</v>
      </c>
      <c r="J307" s="301" t="str">
        <f t="shared" si="88"/>
        <v>0.002-0.000424614125583145i</v>
      </c>
      <c r="K307" s="301"/>
      <c r="L307" s="301" t="str">
        <f t="shared" si="89"/>
        <v>0.00186126928790907-0.000365455123643527i</v>
      </c>
      <c r="M307" s="301" t="str">
        <f t="shared" si="90"/>
        <v>0.003+0.653583565266277i</v>
      </c>
      <c r="N307" s="301" t="str">
        <f t="shared" si="91"/>
        <v>-0.000538233742710139-0.00285338963836326i</v>
      </c>
      <c r="O307" s="316">
        <f t="shared" si="92"/>
        <v>-50.740937139232905</v>
      </c>
      <c r="P307" s="316">
        <f t="shared" si="93"/>
        <v>-100.68216562523359</v>
      </c>
      <c r="Q307" s="301">
        <f t="shared" si="94"/>
        <v>2178611.8842209219</v>
      </c>
      <c r="R307" s="301">
        <f t="shared" si="111"/>
        <v>5.5399999999999698</v>
      </c>
      <c r="S307" s="308">
        <f t="shared" si="95"/>
        <v>-34.09075888510818</v>
      </c>
      <c r="T307" s="301" t="str">
        <f t="shared" si="96"/>
        <v>1+16.5850757621614i</v>
      </c>
      <c r="U307" s="303">
        <f t="shared" si="97"/>
        <v>15.139380604630905</v>
      </c>
      <c r="V307" s="301">
        <f t="shared" si="98"/>
        <v>129.12411012697876</v>
      </c>
      <c r="W307" s="301">
        <f t="shared" si="99"/>
        <v>32.708486860752139</v>
      </c>
      <c r="X307" s="303">
        <f t="shared" si="100"/>
        <v>-89.508762228382778</v>
      </c>
      <c r="Y307" s="192" t="str">
        <f t="shared" si="101"/>
        <v>0.370329358200812-43.19250385162i</v>
      </c>
      <c r="Z307" s="192" t="str">
        <f t="shared" si="102"/>
        <v>-9664.55688188573i</v>
      </c>
      <c r="AA307" s="192" t="str">
        <f t="shared" si="103"/>
        <v>22150.1592153998-1335.547665446i</v>
      </c>
      <c r="AB307" s="192" t="str">
        <f t="shared" si="104"/>
        <v>1381.90263844297-686.273780214533i</v>
      </c>
      <c r="AC307" s="192" t="str">
        <f t="shared" si="105"/>
        <v>3382.60004435755-7984.70646781411i</v>
      </c>
      <c r="AD307" s="192" t="str">
        <f t="shared" si="106"/>
        <v>1245.94812577472-527.827065716363i</v>
      </c>
      <c r="AE307" s="192" t="str">
        <f t="shared" si="107"/>
        <v>-3.60578627466609+4.43310625416348i</v>
      </c>
      <c r="AF307" s="296"/>
      <c r="AG307" s="296"/>
      <c r="AH307" s="296"/>
      <c r="AI307" s="296"/>
      <c r="AJ307" s="296"/>
      <c r="AK307" s="296"/>
      <c r="AL307" s="296"/>
      <c r="AM307" s="296"/>
      <c r="AN307" s="296"/>
      <c r="AO307" s="296"/>
      <c r="AP307" s="296"/>
      <c r="AQ307" s="296"/>
      <c r="AR307" s="296"/>
      <c r="AS307" s="296"/>
    </row>
    <row r="308" spans="1:45" s="192" customFormat="1" x14ac:dyDescent="0.2">
      <c r="A308" s="301">
        <f t="shared" si="108"/>
        <v>19.655000000000001</v>
      </c>
      <c r="B308" s="301">
        <f t="shared" si="109"/>
        <v>5.5599999999999703</v>
      </c>
      <c r="C308" s="320">
        <f t="shared" si="110"/>
        <v>363078.05477007624</v>
      </c>
      <c r="D308" s="302">
        <f t="shared" si="84"/>
        <v>-19.654764537856778</v>
      </c>
      <c r="E308" s="301">
        <f t="shared" si="85"/>
        <v>27.177289569397843</v>
      </c>
      <c r="G308" s="320"/>
      <c r="H308" s="315" t="str">
        <f t="shared" si="86"/>
        <v>1E+47-4.3834911254188E+49i</v>
      </c>
      <c r="I308" s="301" t="str">
        <f t="shared" si="87"/>
        <v>0.002-0.000405503341851879i</v>
      </c>
      <c r="J308" s="301" t="str">
        <f t="shared" si="88"/>
        <v>0.002-0.00040550334185188i</v>
      </c>
      <c r="K308" s="301"/>
      <c r="L308" s="301" t="str">
        <f t="shared" si="89"/>
        <v>0.00186077672578581-0.000349014140557288i</v>
      </c>
      <c r="M308" s="301" t="str">
        <f t="shared" si="90"/>
        <v>0.003+0.684386009727206i</v>
      </c>
      <c r="N308" s="301" t="str">
        <f t="shared" si="91"/>
        <v>-0.000490871811723103-0.00272377481932198i</v>
      </c>
      <c r="O308" s="316">
        <f t="shared" si="92"/>
        <v>-51.157766504691047</v>
      </c>
      <c r="P308" s="316">
        <f t="shared" si="93"/>
        <v>-100.21604243964255</v>
      </c>
      <c r="Q308" s="301">
        <f t="shared" si="94"/>
        <v>2281286.699090688</v>
      </c>
      <c r="R308" s="301">
        <f t="shared" si="111"/>
        <v>5.5599999999999694</v>
      </c>
      <c r="S308" s="308">
        <f t="shared" si="95"/>
        <v>-34.507588250566322</v>
      </c>
      <c r="T308" s="301" t="str">
        <f t="shared" si="96"/>
        <v>1+17.3667063021462i</v>
      </c>
      <c r="U308" s="303">
        <f t="shared" si="97"/>
        <v>14.852823712709542</v>
      </c>
      <c r="V308" s="301">
        <f t="shared" si="98"/>
        <v>127.39333200904039</v>
      </c>
      <c r="W308" s="301">
        <f t="shared" si="99"/>
        <v>32.308697617546841</v>
      </c>
      <c r="X308" s="303">
        <f t="shared" si="100"/>
        <v>-89.713630751545736</v>
      </c>
      <c r="Y308" s="192" t="str">
        <f t="shared" si="101"/>
        <v>0.206175387769237-41.250522729291i</v>
      </c>
      <c r="Z308" s="192" t="str">
        <f t="shared" si="102"/>
        <v>-9229.58016938327i</v>
      </c>
      <c r="AA308" s="192" t="str">
        <f t="shared" si="103"/>
        <v>22150.1592153998-1275.43811877917i</v>
      </c>
      <c r="AB308" s="192" t="str">
        <f t="shared" si="104"/>
        <v>1381.90263844297-655.386372085784i</v>
      </c>
      <c r="AC308" s="192" t="str">
        <f t="shared" si="105"/>
        <v>3139.62038203896-7740.57193199433i</v>
      </c>
      <c r="AD308" s="192" t="str">
        <f t="shared" si="106"/>
        <v>1243.15708747246-504.231646472037i</v>
      </c>
      <c r="AE308" s="192" t="str">
        <f t="shared" si="107"/>
        <v>-3.35762804197154+4.39265456496341i</v>
      </c>
      <c r="AF308" s="296"/>
      <c r="AG308" s="296"/>
      <c r="AH308" s="296"/>
      <c r="AI308" s="296"/>
      <c r="AJ308" s="296"/>
      <c r="AK308" s="296"/>
      <c r="AL308" s="296"/>
      <c r="AM308" s="296"/>
      <c r="AN308" s="296"/>
      <c r="AO308" s="296"/>
      <c r="AP308" s="296"/>
      <c r="AQ308" s="296"/>
      <c r="AR308" s="296"/>
      <c r="AS308" s="296"/>
    </row>
    <row r="309" spans="1:45" s="192" customFormat="1" x14ac:dyDescent="0.2">
      <c r="A309" s="301">
        <f t="shared" si="108"/>
        <v>20.366</v>
      </c>
      <c r="B309" s="301">
        <f t="shared" si="109"/>
        <v>5.579999999999969</v>
      </c>
      <c r="C309" s="320">
        <f t="shared" si="110"/>
        <v>380189.39632053417</v>
      </c>
      <c r="D309" s="302">
        <f t="shared" si="84"/>
        <v>-20.365841012194601</v>
      </c>
      <c r="E309" s="301">
        <f t="shared" si="85"/>
        <v>25.94459395726706</v>
      </c>
      <c r="G309" s="320"/>
      <c r="H309" s="315" t="str">
        <f t="shared" si="86"/>
        <v>1E+47-4.18620152566573E+49i</v>
      </c>
      <c r="I309" s="301" t="str">
        <f t="shared" si="87"/>
        <v>0.002-0.00038725268507546i</v>
      </c>
      <c r="J309" s="301" t="str">
        <f t="shared" si="88"/>
        <v>0.002-0.00038725268507546i</v>
      </c>
      <c r="K309" s="301"/>
      <c r="L309" s="301" t="str">
        <f t="shared" si="89"/>
        <v>0.00186032748605345-0.00033331219389137i</v>
      </c>
      <c r="M309" s="301" t="str">
        <f t="shared" si="90"/>
        <v>0.003+0.716640128671997i</v>
      </c>
      <c r="N309" s="301" t="str">
        <f t="shared" si="91"/>
        <v>-0.000447677752558798-0.00260014745594151i</v>
      </c>
      <c r="O309" s="316">
        <f t="shared" si="92"/>
        <v>-51.573170013127708</v>
      </c>
      <c r="P309" s="316">
        <f t="shared" si="93"/>
        <v>-99.769063229595076</v>
      </c>
      <c r="Q309" s="301">
        <f t="shared" si="94"/>
        <v>2388800.4289066568</v>
      </c>
      <c r="R309" s="301">
        <f t="shared" si="111"/>
        <v>5.579999999999969</v>
      </c>
      <c r="S309" s="308">
        <f t="shared" si="95"/>
        <v>-34.92299175900299</v>
      </c>
      <c r="T309" s="301" t="str">
        <f t="shared" si="96"/>
        <v>1+18.1851739545928i</v>
      </c>
      <c r="U309" s="303">
        <f t="shared" si="97"/>
        <v>14.557150746808388</v>
      </c>
      <c r="V309" s="301">
        <f t="shared" si="98"/>
        <v>125.71365718686214</v>
      </c>
      <c r="W309" s="301">
        <f t="shared" si="99"/>
        <v>31.908797191202737</v>
      </c>
      <c r="X309" s="303">
        <f t="shared" si="100"/>
        <v>-89.917899166147151</v>
      </c>
      <c r="Y309" s="192" t="str">
        <f t="shared" si="101"/>
        <v>0.056450091025606-39.3948465981257i</v>
      </c>
      <c r="Z309" s="192" t="str">
        <f t="shared" si="102"/>
        <v>-8814.18063385154i</v>
      </c>
      <c r="AA309" s="192" t="str">
        <f t="shared" si="103"/>
        <v>22150.1592153998-1218.03394736324i</v>
      </c>
      <c r="AB309" s="192" t="str">
        <f t="shared" si="104"/>
        <v>1381.90263844297-625.889126321411i</v>
      </c>
      <c r="AC309" s="192" t="str">
        <f t="shared" si="105"/>
        <v>2910.39083900876-7496.01108354699i</v>
      </c>
      <c r="AD309" s="192" t="str">
        <f t="shared" si="106"/>
        <v>1240.61007811829-481.677543682195i</v>
      </c>
      <c r="AE309" s="192" t="str">
        <f t="shared" si="107"/>
        <v>-3.11941457204452+4.33894188305015i</v>
      </c>
      <c r="AF309" s="296"/>
      <c r="AG309" s="296"/>
      <c r="AH309" s="296"/>
      <c r="AI309" s="296"/>
      <c r="AJ309" s="296"/>
      <c r="AK309" s="296"/>
      <c r="AL309" s="296"/>
      <c r="AM309" s="296"/>
      <c r="AN309" s="296"/>
      <c r="AO309" s="296"/>
      <c r="AP309" s="296"/>
      <c r="AQ309" s="296"/>
      <c r="AR309" s="296"/>
      <c r="AS309" s="296"/>
    </row>
    <row r="310" spans="1:45" s="192" customFormat="1" x14ac:dyDescent="0.2">
      <c r="A310" s="301">
        <f t="shared" si="108"/>
        <v>21.084</v>
      </c>
      <c r="B310" s="301">
        <f t="shared" si="109"/>
        <v>5.5999999999999694</v>
      </c>
      <c r="C310" s="320">
        <f t="shared" si="110"/>
        <v>398107.17055346887</v>
      </c>
      <c r="D310" s="302">
        <f t="shared" si="84"/>
        <v>-21.084059658446868</v>
      </c>
      <c r="E310" s="301">
        <f t="shared" si="85"/>
        <v>24.744396139655152</v>
      </c>
      <c r="G310" s="320"/>
      <c r="H310" s="315" t="str">
        <f t="shared" si="86"/>
        <v>1E+47-3.9977914206024E+49i</v>
      </c>
      <c r="I310" s="301" t="str">
        <f t="shared" si="87"/>
        <v>0.002-0.000369823443163959i</v>
      </c>
      <c r="J310" s="301" t="str">
        <f t="shared" si="88"/>
        <v>0.002-0.000369823443163958i</v>
      </c>
      <c r="K310" s="301"/>
      <c r="L310" s="301" t="str">
        <f t="shared" si="89"/>
        <v>0.00185991775979434-0.00031831614144335i</v>
      </c>
      <c r="M310" s="301" t="str">
        <f t="shared" si="90"/>
        <v>0.003+0.750414337411318i</v>
      </c>
      <c r="N310" s="301" t="str">
        <f t="shared" si="91"/>
        <v>-0.000408284748194804-0.00248221819246693i</v>
      </c>
      <c r="O310" s="316">
        <f t="shared" si="92"/>
        <v>-51.98726420081271</v>
      </c>
      <c r="P310" s="316">
        <f t="shared" si="93"/>
        <v>-99.340592014335883</v>
      </c>
      <c r="Q310" s="301">
        <f t="shared" si="94"/>
        <v>2501381.1247043931</v>
      </c>
      <c r="R310" s="301">
        <f t="shared" si="111"/>
        <v>5.5999999999999686</v>
      </c>
      <c r="S310" s="308">
        <f t="shared" si="95"/>
        <v>-35.337085946687978</v>
      </c>
      <c r="T310" s="301" t="str">
        <f t="shared" si="96"/>
        <v>1+19.0422147991258i</v>
      </c>
      <c r="U310" s="303">
        <f t="shared" si="97"/>
        <v>14.253026288241111</v>
      </c>
      <c r="V310" s="301">
        <f t="shared" si="98"/>
        <v>124.08498815399103</v>
      </c>
      <c r="W310" s="301">
        <f t="shared" si="99"/>
        <v>31.508786419364036</v>
      </c>
      <c r="X310" s="303">
        <f t="shared" si="100"/>
        <v>-90.121995521616924</v>
      </c>
      <c r="Y310" s="192" t="str">
        <f t="shared" si="101"/>
        <v>-0.0801051150822222-37.6216931151775i</v>
      </c>
      <c r="Z310" s="192" t="str">
        <f t="shared" si="102"/>
        <v>-8417.47715718191i</v>
      </c>
      <c r="AA310" s="192" t="str">
        <f t="shared" si="103"/>
        <v>22150.1592153998-1163.21338925432i</v>
      </c>
      <c r="AB310" s="192" t="str">
        <f t="shared" si="104"/>
        <v>1381.90263844297-597.719475308384i</v>
      </c>
      <c r="AC310" s="192" t="str">
        <f t="shared" si="105"/>
        <v>2694.66681037635-7251.94292400044i</v>
      </c>
      <c r="AD310" s="192" t="str">
        <f t="shared" si="106"/>
        <v>1238.28588581104-460.120537795384i</v>
      </c>
      <c r="AE310" s="192" t="str">
        <f t="shared" si="107"/>
        <v>-2.89178835395449+4.2735650069886i</v>
      </c>
      <c r="AF310" s="296"/>
      <c r="AG310" s="296"/>
      <c r="AH310" s="296"/>
      <c r="AI310" s="296"/>
      <c r="AJ310" s="296"/>
      <c r="AK310" s="296"/>
      <c r="AL310" s="296"/>
      <c r="AM310" s="296"/>
      <c r="AN310" s="296"/>
      <c r="AO310" s="296"/>
      <c r="AP310" s="296"/>
      <c r="AQ310" s="296"/>
      <c r="AR310" s="296"/>
      <c r="AS310" s="296"/>
    </row>
    <row r="311" spans="1:45" s="192" customFormat="1" x14ac:dyDescent="0.2">
      <c r="A311" s="301">
        <f t="shared" si="108"/>
        <v>21.809000000000001</v>
      </c>
      <c r="B311" s="301">
        <f t="shared" si="109"/>
        <v>5.619999999999969</v>
      </c>
      <c r="C311" s="320">
        <f t="shared" si="110"/>
        <v>416869.38347030559</v>
      </c>
      <c r="D311" s="302">
        <f t="shared" si="84"/>
        <v>-21.808897002772092</v>
      </c>
      <c r="E311" s="301">
        <f t="shared" si="85"/>
        <v>23.576940610361618</v>
      </c>
      <c r="G311" s="320"/>
      <c r="H311" s="315" t="str">
        <f t="shared" si="86"/>
        <v>1E+47-3.81786116713539E+49i</v>
      </c>
      <c r="I311" s="301" t="str">
        <f t="shared" si="87"/>
        <v>0.002-0.000353178646358501i</v>
      </c>
      <c r="J311" s="301" t="str">
        <f t="shared" si="88"/>
        <v>0.002-0.0003531786463585i</v>
      </c>
      <c r="K311" s="301"/>
      <c r="L311" s="301" t="str">
        <f t="shared" si="89"/>
        <v>0.00185954407273262-0.00030399431719262i</v>
      </c>
      <c r="M311" s="301" t="str">
        <f t="shared" si="90"/>
        <v>0.003+0.785780275570091i</v>
      </c>
      <c r="N311" s="301" t="str">
        <f t="shared" si="91"/>
        <v>-0.000372358272445898-0.00236971326645205i</v>
      </c>
      <c r="O311" s="316">
        <f t="shared" si="92"/>
        <v>-52.400156776568963</v>
      </c>
      <c r="P311" s="316">
        <f t="shared" si="93"/>
        <v>-98.929994524073791</v>
      </c>
      <c r="Q311" s="301">
        <f t="shared" si="94"/>
        <v>2619267.5852336367</v>
      </c>
      <c r="R311" s="301">
        <f t="shared" si="111"/>
        <v>5.6199999999999681</v>
      </c>
      <c r="S311" s="308">
        <f t="shared" si="95"/>
        <v>-35.749978522444238</v>
      </c>
      <c r="T311" s="301" t="str">
        <f t="shared" si="96"/>
        <v>1+19.9396467342819i</v>
      </c>
      <c r="U311" s="303">
        <f t="shared" si="97"/>
        <v>13.941081519672148</v>
      </c>
      <c r="V311" s="301">
        <f t="shared" si="98"/>
        <v>122.50693513443541</v>
      </c>
      <c r="W311" s="301">
        <f t="shared" si="99"/>
        <v>31.108665211411832</v>
      </c>
      <c r="X311" s="303">
        <f t="shared" si="100"/>
        <v>-90.32634754201537</v>
      </c>
      <c r="Y311" s="192" t="str">
        <f t="shared" si="101"/>
        <v>-0.204639104143607-35.9274352799503i</v>
      </c>
      <c r="Z311" s="192" t="str">
        <f t="shared" si="102"/>
        <v>-8038.62827811353i</v>
      </c>
      <c r="AA311" s="192" t="str">
        <f t="shared" si="103"/>
        <v>22150.1592153998-1110.86016269874i</v>
      </c>
      <c r="AB311" s="192" t="str">
        <f t="shared" si="104"/>
        <v>1381.90263844297-570.817667440127i</v>
      </c>
      <c r="AC311" s="192" t="str">
        <f t="shared" si="105"/>
        <v>2492.12398995138-7009.21537785418i</v>
      </c>
      <c r="AD311" s="192" t="str">
        <f t="shared" si="106"/>
        <v>1236.16512159711-439.518061437635i</v>
      </c>
      <c r="AE311" s="192" t="str">
        <f t="shared" si="107"/>
        <v>-2.67518058110644+4.19807095046037i</v>
      </c>
      <c r="AF311" s="296"/>
      <c r="AG311" s="296"/>
      <c r="AH311" s="296"/>
      <c r="AI311" s="296"/>
      <c r="AJ311" s="296"/>
      <c r="AK311" s="296"/>
      <c r="AL311" s="296"/>
      <c r="AM311" s="296"/>
      <c r="AN311" s="296"/>
      <c r="AO311" s="296"/>
      <c r="AP311" s="296"/>
      <c r="AQ311" s="296"/>
      <c r="AR311" s="296"/>
      <c r="AS311" s="296"/>
    </row>
    <row r="312" spans="1:45" s="192" customFormat="1" x14ac:dyDescent="0.2">
      <c r="A312" s="301">
        <f t="shared" si="108"/>
        <v>22.54</v>
      </c>
      <c r="B312" s="301">
        <f t="shared" si="109"/>
        <v>5.6399999999999677</v>
      </c>
      <c r="C312" s="320">
        <f t="shared" si="110"/>
        <v>436515.8322401339</v>
      </c>
      <c r="D312" s="302">
        <f t="shared" si="84"/>
        <v>-22.539855719127598</v>
      </c>
      <c r="E312" s="301">
        <f t="shared" si="85"/>
        <v>22.442213679607036</v>
      </c>
      <c r="G312" s="320"/>
      <c r="H312" s="315" t="str">
        <f t="shared" si="86"/>
        <v>1E+47-3.64602910907345E+49i</v>
      </c>
      <c r="I312" s="301" t="str">
        <f t="shared" si="87"/>
        <v>0.002-0.000337282988813456i</v>
      </c>
      <c r="J312" s="301" t="str">
        <f t="shared" si="88"/>
        <v>0.002-0.000337282988813457i</v>
      </c>
      <c r="K312" s="301"/>
      <c r="L312" s="301" t="str">
        <f t="shared" si="89"/>
        <v>0.0018592032558737-0.000290316466854395i</v>
      </c>
      <c r="M312" s="301" t="str">
        <f t="shared" si="90"/>
        <v>0.003+0.822812959044743i</v>
      </c>
      <c r="N312" s="301" t="str">
        <f t="shared" si="91"/>
        <v>-0.000339593246244527-0.00226237347418106i</v>
      </c>
      <c r="O312" s="316">
        <f t="shared" si="92"/>
        <v>-52.811947175833879</v>
      </c>
      <c r="P312" s="316">
        <f t="shared" si="93"/>
        <v>-98.536641166406881</v>
      </c>
      <c r="Q312" s="301">
        <f t="shared" si="94"/>
        <v>2742709.8634824785</v>
      </c>
      <c r="R312" s="301">
        <f t="shared" si="111"/>
        <v>5.6399999999999677</v>
      </c>
      <c r="S312" s="308">
        <f t="shared" si="95"/>
        <v>-36.161768921709147</v>
      </c>
      <c r="T312" s="301" t="str">
        <f t="shared" si="96"/>
        <v>1+20.8793733335164i</v>
      </c>
      <c r="U312" s="303">
        <f t="shared" si="97"/>
        <v>13.621913202581549</v>
      </c>
      <c r="V312" s="301">
        <f t="shared" si="98"/>
        <v>120.97885484601392</v>
      </c>
      <c r="W312" s="301">
        <f t="shared" si="99"/>
        <v>30.708432547723064</v>
      </c>
      <c r="X312" s="303">
        <f t="shared" si="100"/>
        <v>-90.531383434841615</v>
      </c>
      <c r="Y312" s="192" t="str">
        <f t="shared" si="101"/>
        <v>-0.318200443616096-34.3085962705176i</v>
      </c>
      <c r="Z312" s="192" t="str">
        <f t="shared" si="102"/>
        <v>-7676.8304073807i</v>
      </c>
      <c r="AA312" s="192" t="str">
        <f t="shared" si="103"/>
        <v>22150.1592153998-1060.86321948387i</v>
      </c>
      <c r="AB312" s="192" t="str">
        <f t="shared" si="104"/>
        <v>1381.90263844297-545.126640375373i</v>
      </c>
      <c r="AC312" s="192" t="str">
        <f t="shared" si="105"/>
        <v>2302.37162221882-6768.60136692538i</v>
      </c>
      <c r="AD312" s="192" t="str">
        <f t="shared" si="106"/>
        <v>1234.23006631878-419.829167938197i</v>
      </c>
      <c r="AE312" s="192" t="str">
        <f t="shared" si="107"/>
        <v>-2.46983612256501+4.11393588962329i</v>
      </c>
      <c r="AF312" s="296"/>
      <c r="AG312" s="296"/>
      <c r="AH312" s="296"/>
      <c r="AI312" s="296"/>
      <c r="AJ312" s="296"/>
      <c r="AK312" s="296"/>
      <c r="AL312" s="296"/>
      <c r="AM312" s="296"/>
      <c r="AN312" s="296"/>
      <c r="AO312" s="296"/>
      <c r="AP312" s="296"/>
      <c r="AQ312" s="296"/>
      <c r="AR312" s="296"/>
      <c r="AS312" s="296"/>
    </row>
    <row r="313" spans="1:45" s="192" customFormat="1" x14ac:dyDescent="0.2">
      <c r="A313" s="301">
        <f t="shared" si="108"/>
        <v>23.276</v>
      </c>
      <c r="B313" s="301">
        <f t="shared" si="109"/>
        <v>5.6599999999999682</v>
      </c>
      <c r="C313" s="320">
        <f t="shared" si="110"/>
        <v>457088.18961484137</v>
      </c>
      <c r="D313" s="302">
        <f t="shared" si="84"/>
        <v>-23.276465510752494</v>
      </c>
      <c r="E313" s="301">
        <f t="shared" si="85"/>
        <v>21.339976871777793</v>
      </c>
      <c r="G313" s="320"/>
      <c r="H313" s="315" t="str">
        <f t="shared" si="86"/>
        <v>1E+47-3.48193076758349E+49i</v>
      </c>
      <c r="I313" s="301" t="str">
        <f t="shared" si="87"/>
        <v>0.002-0.000322102753708002i</v>
      </c>
      <c r="J313" s="301" t="str">
        <f t="shared" si="88"/>
        <v>0.002-0.000322102753708002i</v>
      </c>
      <c r="K313" s="301"/>
      <c r="L313" s="301" t="str">
        <f t="shared" si="89"/>
        <v>0.00185889241871303-0.000277253686077524i</v>
      </c>
      <c r="M313" s="301" t="str">
        <f t="shared" si="90"/>
        <v>0.003+0.861590939121986i</v>
      </c>
      <c r="N313" s="301" t="str">
        <f t="shared" si="91"/>
        <v>-0.000309711444546236-0.00215995322582316i</v>
      </c>
      <c r="O313" s="316">
        <f t="shared" si="92"/>
        <v>-53.222727099462759</v>
      </c>
      <c r="P313" s="316">
        <f t="shared" si="93"/>
        <v>-98.159909548546636</v>
      </c>
      <c r="Q313" s="301">
        <f t="shared" si="94"/>
        <v>2871969.7970732879</v>
      </c>
      <c r="R313" s="301">
        <f t="shared" si="111"/>
        <v>5.6599999999999673</v>
      </c>
      <c r="S313" s="308">
        <f t="shared" si="95"/>
        <v>-36.572548845338034</v>
      </c>
      <c r="T313" s="301" t="str">
        <f t="shared" si="96"/>
        <v>1+21.8633878829377i</v>
      </c>
      <c r="U313" s="303">
        <f t="shared" si="97"/>
        <v>13.296083334585539</v>
      </c>
      <c r="V313" s="301">
        <f t="shared" si="98"/>
        <v>119.49988642032443</v>
      </c>
      <c r="W313" s="301">
        <f t="shared" si="99"/>
        <v>30.308086471329165</v>
      </c>
      <c r="X313" s="303">
        <f t="shared" si="100"/>
        <v>-90.737532699767328</v>
      </c>
      <c r="Y313" s="192" t="str">
        <f t="shared" si="101"/>
        <v>-0.421746005307024-32.7618442769079i</v>
      </c>
      <c r="Z313" s="192" t="str">
        <f t="shared" si="102"/>
        <v>-7331.3161231925i</v>
      </c>
      <c r="AA313" s="192" t="str">
        <f t="shared" si="103"/>
        <v>22150.1592153998-1013.11650938992i</v>
      </c>
      <c r="AB313" s="192" t="str">
        <f t="shared" si="104"/>
        <v>1381.90263844297-520.591900001256i</v>
      </c>
      <c r="AC313" s="192" t="str">
        <f t="shared" si="105"/>
        <v>2124.96518397942-6530.79687401383i</v>
      </c>
      <c r="AD313" s="192" t="str">
        <f t="shared" si="106"/>
        <v>1232.46452973443-401.014495887336i</v>
      </c>
      <c r="AE313" s="192" t="str">
        <f t="shared" si="107"/>
        <v>-2.27583865028899+4.02254980190529i</v>
      </c>
      <c r="AF313" s="296"/>
      <c r="AG313" s="296"/>
      <c r="AH313" s="296"/>
      <c r="AI313" s="296"/>
      <c r="AJ313" s="296"/>
      <c r="AK313" s="296"/>
      <c r="AL313" s="296"/>
      <c r="AM313" s="296"/>
      <c r="AN313" s="296"/>
      <c r="AO313" s="296"/>
      <c r="AP313" s="296"/>
      <c r="AQ313" s="296"/>
      <c r="AR313" s="296"/>
      <c r="AS313" s="296"/>
    </row>
    <row r="314" spans="1:45" s="192" customFormat="1" x14ac:dyDescent="0.2">
      <c r="A314" s="301">
        <f t="shared" si="108"/>
        <v>24.018000000000001</v>
      </c>
      <c r="B314" s="301">
        <f t="shared" si="109"/>
        <v>5.6799999999999669</v>
      </c>
      <c r="C314" s="320">
        <f t="shared" si="110"/>
        <v>478630.09232260217</v>
      </c>
      <c r="D314" s="302">
        <f t="shared" si="84"/>
        <v>-24.018283416879985</v>
      </c>
      <c r="E314" s="301">
        <f t="shared" si="85"/>
        <v>20.269797655470185</v>
      </c>
      <c r="G314" s="320"/>
      <c r="H314" s="315" t="str">
        <f t="shared" si="86"/>
        <v>1E+47-3.32521806808217E+49i</v>
      </c>
      <c r="I314" s="301" t="str">
        <f t="shared" si="87"/>
        <v>0.002-0.00030760574172823i</v>
      </c>
      <c r="J314" s="301" t="str">
        <f t="shared" si="88"/>
        <v>0.002-0.000307605741728231i</v>
      </c>
      <c r="K314" s="301"/>
      <c r="L314" s="301" t="str">
        <f t="shared" si="89"/>
        <v>0.00185860892479038-0.000264778361200163i</v>
      </c>
      <c r="M314" s="301" t="str">
        <f t="shared" si="90"/>
        <v>0.003+0.902196469096615i</v>
      </c>
      <c r="N314" s="301" t="str">
        <f t="shared" si="91"/>
        <v>-0.000282459131740995-0.00206221968066357i</v>
      </c>
      <c r="O314" s="316">
        <f t="shared" si="92"/>
        <v>-53.632581033875439</v>
      </c>
      <c r="P314" s="316">
        <f t="shared" si="93"/>
        <v>-97.799186600192513</v>
      </c>
      <c r="Q314" s="301">
        <f t="shared" si="94"/>
        <v>3007321.563655383</v>
      </c>
      <c r="R314" s="301">
        <f t="shared" si="111"/>
        <v>5.6799999999999669</v>
      </c>
      <c r="S314" s="308">
        <f t="shared" si="95"/>
        <v>-36.982402779750714</v>
      </c>
      <c r="T314" s="301" t="str">
        <f t="shared" si="96"/>
        <v>1+22.8937776093342i</v>
      </c>
      <c r="U314" s="303">
        <f t="shared" si="97"/>
        <v>12.964119362870729</v>
      </c>
      <c r="V314" s="301">
        <f t="shared" si="98"/>
        <v>118.0689842556627</v>
      </c>
      <c r="W314" s="301">
        <f t="shared" si="99"/>
        <v>29.907624071915457</v>
      </c>
      <c r="X314" s="303">
        <f t="shared" si="100"/>
        <v>-90.945226937151787</v>
      </c>
      <c r="Y314" s="192" t="str">
        <f t="shared" si="101"/>
        <v>-0.51614884635618-31.2839873615867i</v>
      </c>
      <c r="Z314" s="192" t="str">
        <f t="shared" si="102"/>
        <v>-7001.35254342827i</v>
      </c>
      <c r="AA314" s="192" t="str">
        <f t="shared" si="103"/>
        <v>22150.1592153998-967.51875524329i</v>
      </c>
      <c r="AB314" s="192" t="str">
        <f t="shared" si="104"/>
        <v>1381.90263844297-497.161404844012i</v>
      </c>
      <c r="AC314" s="192" t="str">
        <f t="shared" si="105"/>
        <v>1959.41826408476-6296.4207271413i</v>
      </c>
      <c r="AD314" s="192" t="str">
        <f t="shared" si="106"/>
        <v>1230.85372102973-383.036230569258i</v>
      </c>
      <c r="AE314" s="192" t="str">
        <f t="shared" si="107"/>
        <v>-2.09313504517056+3.92520609647023i</v>
      </c>
      <c r="AF314" s="296"/>
      <c r="AG314" s="296"/>
      <c r="AH314" s="296"/>
      <c r="AI314" s="296"/>
      <c r="AJ314" s="296"/>
      <c r="AK314" s="296"/>
      <c r="AL314" s="296"/>
      <c r="AM314" s="296"/>
      <c r="AN314" s="296"/>
      <c r="AO314" s="296"/>
      <c r="AP314" s="296"/>
      <c r="AQ314" s="296"/>
      <c r="AR314" s="296"/>
      <c r="AS314" s="296"/>
    </row>
    <row r="315" spans="1:45" s="192" customFormat="1" x14ac:dyDescent="0.2">
      <c r="A315" s="301">
        <f t="shared" si="108"/>
        <v>24.765000000000001</v>
      </c>
      <c r="B315" s="301">
        <f t="shared" si="109"/>
        <v>5.6999999999999673</v>
      </c>
      <c r="C315" s="320">
        <f t="shared" si="110"/>
        <v>501187.23362723429</v>
      </c>
      <c r="D315" s="302">
        <f t="shared" si="84"/>
        <v>-24.764893654429684</v>
      </c>
      <c r="E315" s="301">
        <f t="shared" si="85"/>
        <v>19.231077378777513</v>
      </c>
      <c r="G315" s="320"/>
      <c r="H315" s="315" t="str">
        <f t="shared" si="86"/>
        <v>1E+47-3.175558601923E+49i</v>
      </c>
      <c r="I315" s="301" t="str">
        <f t="shared" si="87"/>
        <v>0.002-0.000293761202768085i</v>
      </c>
      <c r="J315" s="301" t="str">
        <f t="shared" si="88"/>
        <v>0.002-0.000293761202768085i</v>
      </c>
      <c r="K315" s="301"/>
      <c r="L315" s="301" t="str">
        <f t="shared" si="89"/>
        <v>0.00185835036938519-0.000252864112476957i</v>
      </c>
      <c r="M315" s="301" t="str">
        <f t="shared" si="90"/>
        <v>0.003+0.944715678741786i</v>
      </c>
      <c r="N315" s="301" t="str">
        <f t="shared" si="91"/>
        <v>-0.000257604905408375-0.00196895195392357i</v>
      </c>
      <c r="O315" s="316">
        <f t="shared" si="92"/>
        <v>-54.041586750047173</v>
      </c>
      <c r="P315" s="316">
        <f t="shared" si="93"/>
        <v>-97.453870339392836</v>
      </c>
      <c r="Q315" s="301">
        <f t="shared" si="94"/>
        <v>3149052.2624726212</v>
      </c>
      <c r="R315" s="301">
        <f t="shared" si="111"/>
        <v>5.6999999999999664</v>
      </c>
      <c r="S315" s="308">
        <f t="shared" si="95"/>
        <v>-37.391408495922448</v>
      </c>
      <c r="T315" s="301" t="str">
        <f t="shared" si="96"/>
        <v>1+23.9727281074623i</v>
      </c>
      <c r="U315" s="303">
        <f t="shared" si="97"/>
        <v>12.626514841492762</v>
      </c>
      <c r="V315" s="301">
        <f t="shared" si="98"/>
        <v>116.68494771817035</v>
      </c>
      <c r="W315" s="301">
        <f t="shared" si="99"/>
        <v>29.50704146204459</v>
      </c>
      <c r="X315" s="303">
        <f t="shared" si="100"/>
        <v>-91.154900656140569</v>
      </c>
      <c r="Y315" s="192" t="str">
        <f t="shared" si="101"/>
        <v>-0.602205419504851-29.8719683718412i</v>
      </c>
      <c r="Z315" s="192" t="str">
        <f t="shared" si="102"/>
        <v>-6686.23977109632i</v>
      </c>
      <c r="AA315" s="192" t="str">
        <f t="shared" si="103"/>
        <v>22150.1592153998-923.973238094035i</v>
      </c>
      <c r="AB315" s="192" t="str">
        <f t="shared" si="104"/>
        <v>1381.90263844297-474.785455682033i</v>
      </c>
      <c r="AC315" s="192" t="str">
        <f t="shared" si="105"/>
        <v>1805.21347794872-6066.0158277533i</v>
      </c>
      <c r="AD315" s="192" t="str">
        <f t="shared" si="106"/>
        <v>1229.38412988377-365.858062995595i</v>
      </c>
      <c r="AE315" s="192" t="str">
        <f t="shared" si="107"/>
        <v>-1.92155844755235+3.82309549479009i</v>
      </c>
      <c r="AF315" s="296"/>
      <c r="AG315" s="296"/>
      <c r="AH315" s="296"/>
      <c r="AI315" s="296"/>
      <c r="AJ315" s="296"/>
      <c r="AK315" s="296"/>
      <c r="AL315" s="296"/>
      <c r="AM315" s="296"/>
      <c r="AN315" s="296"/>
      <c r="AO315" s="296"/>
      <c r="AP315" s="296"/>
      <c r="AQ315" s="296"/>
      <c r="AR315" s="296"/>
      <c r="AS315" s="296"/>
    </row>
    <row r="316" spans="1:45" s="192" customFormat="1" x14ac:dyDescent="0.2">
      <c r="A316" s="301">
        <f t="shared" si="108"/>
        <v>25.515999999999998</v>
      </c>
      <c r="B316" s="301">
        <f t="shared" si="109"/>
        <v>5.719999999999966</v>
      </c>
      <c r="C316" s="320">
        <f t="shared" si="110"/>
        <v>524807.46024973178</v>
      </c>
      <c r="D316" s="302">
        <f t="shared" si="84"/>
        <v>-25.515907092226776</v>
      </c>
      <c r="E316" s="301">
        <f t="shared" si="85"/>
        <v>18.223076392351075</v>
      </c>
      <c r="G316" s="320"/>
      <c r="H316" s="315" t="str">
        <f t="shared" si="86"/>
        <v>1E+47-3.03263492131306E+49i</v>
      </c>
      <c r="I316" s="301" t="str">
        <f t="shared" si="87"/>
        <v>0.002-0.000280539770704261i</v>
      </c>
      <c r="J316" s="301" t="str">
        <f t="shared" si="88"/>
        <v>0.002-0.000280539770704261i</v>
      </c>
      <c r="K316" s="301"/>
      <c r="L316" s="301" t="str">
        <f t="shared" si="89"/>
        <v>0.00185811455916644-0.000241485739691605i</v>
      </c>
      <c r="M316" s="301" t="str">
        <f t="shared" si="90"/>
        <v>0.003+0.989238757001805i</v>
      </c>
      <c r="N316" s="301" t="str">
        <f t="shared" si="91"/>
        <v>-0.000234937730037641-0.00187994038770252i</v>
      </c>
      <c r="O316" s="316">
        <f t="shared" si="92"/>
        <v>-54.449815779605487</v>
      </c>
      <c r="P316" s="316">
        <f t="shared" si="93"/>
        <v>-97.123371320937395</v>
      </c>
      <c r="Q316" s="301">
        <f t="shared" si="94"/>
        <v>3297462.5233393493</v>
      </c>
      <c r="R316" s="301">
        <f t="shared" si="111"/>
        <v>5.719999999999966</v>
      </c>
      <c r="S316" s="308">
        <f t="shared" si="95"/>
        <v>-37.799637525480769</v>
      </c>
      <c r="T316" s="301" t="str">
        <f t="shared" si="96"/>
        <v>1+25.1025279759859i</v>
      </c>
      <c r="U316" s="303">
        <f t="shared" si="97"/>
        <v>12.283730433253995</v>
      </c>
      <c r="V316" s="301">
        <f t="shared" si="98"/>
        <v>115.34644771328847</v>
      </c>
      <c r="W316" s="301">
        <f t="shared" si="99"/>
        <v>29.106333745434455</v>
      </c>
      <c r="X316" s="303">
        <f t="shared" si="100"/>
        <v>-91.36699208206231</v>
      </c>
      <c r="Y316" s="192" t="str">
        <f t="shared" si="101"/>
        <v>-0.680642167102375-28.5228599245445i</v>
      </c>
      <c r="Z316" s="192" t="str">
        <f t="shared" si="102"/>
        <v>-6385.30940975866i</v>
      </c>
      <c r="AA316" s="192" t="str">
        <f t="shared" si="103"/>
        <v>22150.1592153998-882.387592062025i</v>
      </c>
      <c r="AB316" s="192" t="str">
        <f t="shared" si="104"/>
        <v>1381.90263844297-453.416590127152i</v>
      </c>
      <c r="AC316" s="192" t="str">
        <f t="shared" si="105"/>
        <v>1661.8123146544-5840.05155136794i</v>
      </c>
      <c r="AD316" s="192" t="str">
        <f t="shared" si="106"/>
        <v>1228.04341730025-349.445147161726i</v>
      </c>
      <c r="AE316" s="192" t="str">
        <f t="shared" si="107"/>
        <v>-1.76084952803449+3.71730342763187i</v>
      </c>
      <c r="AF316" s="296"/>
      <c r="AG316" s="296"/>
      <c r="AH316" s="296"/>
      <c r="AI316" s="296"/>
      <c r="AJ316" s="296"/>
      <c r="AK316" s="296"/>
      <c r="AL316" s="296"/>
      <c r="AM316" s="296"/>
      <c r="AN316" s="296"/>
      <c r="AO316" s="296"/>
      <c r="AP316" s="296"/>
      <c r="AQ316" s="296"/>
      <c r="AR316" s="296"/>
      <c r="AS316" s="296"/>
    </row>
    <row r="317" spans="1:45" s="192" customFormat="1" x14ac:dyDescent="0.2">
      <c r="A317" s="301">
        <f t="shared" si="108"/>
        <v>26.271000000000001</v>
      </c>
      <c r="B317" s="301">
        <f t="shared" si="109"/>
        <v>5.7399999999999665</v>
      </c>
      <c r="C317" s="320">
        <f t="shared" si="110"/>
        <v>549540.87385758176</v>
      </c>
      <c r="D317" s="302">
        <f t="shared" si="84"/>
        <v>-26.270960442557229</v>
      </c>
      <c r="E317" s="301">
        <f t="shared" si="85"/>
        <v>17.24493642414329</v>
      </c>
      <c r="G317" s="320"/>
      <c r="H317" s="315" t="str">
        <f t="shared" si="86"/>
        <v>1E+47-2.89614386596367E+49i</v>
      </c>
      <c r="I317" s="301" t="str">
        <f t="shared" si="87"/>
        <v>0.002-0.000267913401106723i</v>
      </c>
      <c r="J317" s="301" t="str">
        <f t="shared" si="88"/>
        <v>0.002-0.000267913401106723i</v>
      </c>
      <c r="K317" s="301"/>
      <c r="L317" s="301" t="str">
        <f t="shared" si="89"/>
        <v>0.00185789949362627-0.000230619170069315i</v>
      </c>
      <c r="M317" s="301" t="str">
        <f t="shared" si="90"/>
        <v>0.003+1.03586014329498i</v>
      </c>
      <c r="N317" s="301" t="str">
        <f t="shared" si="91"/>
        <v>-0.000214265143958599-0.00179498587946436i</v>
      </c>
      <c r="O317" s="316">
        <f t="shared" si="92"/>
        <v>-54.857333866933111</v>
      </c>
      <c r="P317" s="316">
        <f t="shared" si="93"/>
        <v>-96.807113803894765</v>
      </c>
      <c r="Q317" s="301">
        <f t="shared" si="94"/>
        <v>3452867.1443165881</v>
      </c>
      <c r="R317" s="301">
        <f t="shared" si="111"/>
        <v>5.7399999999999656</v>
      </c>
      <c r="S317" s="308">
        <f t="shared" si="95"/>
        <v>-38.207155612808386</v>
      </c>
      <c r="T317" s="301" t="str">
        <f t="shared" si="96"/>
        <v>1+26.2855736719012i</v>
      </c>
      <c r="U317" s="303">
        <f t="shared" si="97"/>
        <v>11.936195170251157</v>
      </c>
      <c r="V317" s="301">
        <f t="shared" si="98"/>
        <v>114.05205022803806</v>
      </c>
      <c r="W317" s="301">
        <f t="shared" si="99"/>
        <v>28.705494977063498</v>
      </c>
      <c r="X317" s="303">
        <f t="shared" si="100"/>
        <v>-91.581943962713993</v>
      </c>
      <c r="Y317" s="192" t="str">
        <f t="shared" si="101"/>
        <v>-0.752121549206906-27.2338594800251i</v>
      </c>
      <c r="Z317" s="192" t="str">
        <f t="shared" si="102"/>
        <v>-6097.92314577242i</v>
      </c>
      <c r="AA317" s="192" t="str">
        <f t="shared" si="103"/>
        <v>22150.1592153998-842.673608416541i</v>
      </c>
      <c r="AB317" s="192" t="str">
        <f t="shared" si="104"/>
        <v>1381.90263844297-433.00948195055i</v>
      </c>
      <c r="AC317" s="192" t="str">
        <f t="shared" si="105"/>
        <v>1528.66386703478-5618.92706404625i</v>
      </c>
      <c r="AD317" s="192" t="str">
        <f t="shared" si="106"/>
        <v>1226.82031546065-333.764056057779i</v>
      </c>
      <c r="AE317" s="192" t="str">
        <f t="shared" si="107"/>
        <v>-1.61067572856061+3.60881025708166i</v>
      </c>
      <c r="AF317" s="296"/>
      <c r="AG317" s="296"/>
      <c r="AH317" s="296"/>
      <c r="AI317" s="296"/>
      <c r="AJ317" s="296"/>
      <c r="AK317" s="296"/>
      <c r="AL317" s="296"/>
      <c r="AM317" s="296"/>
      <c r="AN317" s="296"/>
      <c r="AO317" s="296"/>
      <c r="AP317" s="296"/>
      <c r="AQ317" s="296"/>
      <c r="AR317" s="296"/>
      <c r="AS317" s="296"/>
    </row>
    <row r="318" spans="1:45" s="192" customFormat="1" x14ac:dyDescent="0.2">
      <c r="A318" s="301">
        <f t="shared" si="108"/>
        <v>27.03</v>
      </c>
      <c r="B318" s="301">
        <f t="shared" si="109"/>
        <v>5.759999999999966</v>
      </c>
      <c r="C318" s="320">
        <f t="shared" si="110"/>
        <v>575439.93733711203</v>
      </c>
      <c r="D318" s="302">
        <f t="shared" si="84"/>
        <v>-27.029715242341656</v>
      </c>
      <c r="E318" s="301">
        <f t="shared" si="85"/>
        <v>16.295700327137922</v>
      </c>
      <c r="G318" s="320"/>
      <c r="H318" s="315" t="str">
        <f t="shared" si="86"/>
        <v>1E+47-2.76579592004677E+49i</v>
      </c>
      <c r="I318" s="301" t="str">
        <f t="shared" si="87"/>
        <v>0.002-0.000255855311752707i</v>
      </c>
      <c r="J318" s="301" t="str">
        <f t="shared" si="88"/>
        <v>0.002-0.000255855311752707i</v>
      </c>
      <c r="K318" s="301"/>
      <c r="L318" s="301" t="str">
        <f t="shared" si="89"/>
        <v>0.00185770334814153-0.000220241408404679i</v>
      </c>
      <c r="M318" s="301" t="str">
        <f t="shared" si="90"/>
        <v>0.003+1.08467872783227i</v>
      </c>
      <c r="N318" s="301" t="str">
        <f t="shared" si="91"/>
        <v>-0.000195411624209606-0.00171389926226853i</v>
      </c>
      <c r="O318" s="316">
        <f t="shared" si="92"/>
        <v>-55.264201396702916</v>
      </c>
      <c r="P318" s="316">
        <f t="shared" si="93"/>
        <v>-96.504536671928065</v>
      </c>
      <c r="Q318" s="301">
        <f t="shared" si="94"/>
        <v>3615595.759440884</v>
      </c>
      <c r="R318" s="301">
        <f t="shared" si="111"/>
        <v>5.7599999999999651</v>
      </c>
      <c r="S318" s="308">
        <f t="shared" si="95"/>
        <v>-38.614023142578176</v>
      </c>
      <c r="T318" s="301" t="str">
        <f t="shared" si="96"/>
        <v>1+27.5243745937429i</v>
      </c>
      <c r="U318" s="303">
        <f t="shared" si="97"/>
        <v>11.584307900236521</v>
      </c>
      <c r="V318" s="301">
        <f t="shared" si="98"/>
        <v>112.80023699906599</v>
      </c>
      <c r="W318" s="301">
        <f t="shared" si="99"/>
        <v>28.304518114819732</v>
      </c>
      <c r="X318" s="303">
        <f t="shared" si="100"/>
        <v>-91.800204372963137</v>
      </c>
      <c r="Y318" s="192" t="str">
        <f t="shared" si="101"/>
        <v>-0.817247552283197-26.0022845185422i</v>
      </c>
      <c r="Z318" s="192" t="str">
        <f t="shared" si="102"/>
        <v>-5823.47139434117i</v>
      </c>
      <c r="AA318" s="192" t="str">
        <f t="shared" si="103"/>
        <v>22150.1592153998-804.747048473726i</v>
      </c>
      <c r="AB318" s="192" t="str">
        <f t="shared" si="104"/>
        <v>1381.90263844297-413.520844939759i</v>
      </c>
      <c r="AC318" s="192" t="str">
        <f t="shared" si="105"/>
        <v>1405.21243849791-5402.97531978251i</v>
      </c>
      <c r="AD318" s="192" t="str">
        <f t="shared" si="106"/>
        <v>1225.70453590243-318.782736887044i</v>
      </c>
      <c r="AE318" s="192" t="str">
        <f t="shared" si="107"/>
        <v>-1.47064836235062+3.49849369617728i</v>
      </c>
      <c r="AF318" s="296"/>
      <c r="AG318" s="296"/>
      <c r="AH318" s="296"/>
      <c r="AI318" s="296"/>
      <c r="AJ318" s="296"/>
      <c r="AK318" s="296"/>
      <c r="AL318" s="296"/>
      <c r="AM318" s="296"/>
      <c r="AN318" s="296"/>
      <c r="AO318" s="296"/>
      <c r="AP318" s="296"/>
      <c r="AQ318" s="296"/>
      <c r="AR318" s="296"/>
      <c r="AS318" s="296"/>
    </row>
    <row r="319" spans="1:45" s="192" customFormat="1" x14ac:dyDescent="0.2">
      <c r="A319" s="301">
        <f t="shared" si="108"/>
        <v>27.792000000000002</v>
      </c>
      <c r="B319" s="301">
        <f t="shared" si="109"/>
        <v>5.7799999999999656</v>
      </c>
      <c r="C319" s="320">
        <f t="shared" si="110"/>
        <v>602559.58607430954</v>
      </c>
      <c r="D319" s="302">
        <f t="shared" si="84"/>
        <v>-27.791856684423976</v>
      </c>
      <c r="E319" s="301">
        <f t="shared" si="85"/>
        <v>15.374329359097459</v>
      </c>
      <c r="G319" s="320"/>
      <c r="H319" s="315" t="str">
        <f t="shared" si="86"/>
        <v>1E+47-2.64131459809301E+49i</v>
      </c>
      <c r="I319" s="301" t="str">
        <f t="shared" si="87"/>
        <v>0.002-0.00024433992581804i</v>
      </c>
      <c r="J319" s="301" t="str">
        <f t="shared" si="88"/>
        <v>0.002-0.00024433992581804i</v>
      </c>
      <c r="K319" s="301"/>
      <c r="L319" s="301" t="str">
        <f t="shared" si="89"/>
        <v>0.00185752445852117-0.000210330489321884i</v>
      </c>
      <c r="M319" s="301" t="str">
        <f t="shared" si="90"/>
        <v>0.003+1.13579806137669i</v>
      </c>
      <c r="N319" s="301" t="str">
        <f t="shared" si="91"/>
        <v>-0.000178217095418498-0.00163650073162459i</v>
      </c>
      <c r="O319" s="316">
        <f t="shared" si="92"/>
        <v>-55.670473796698033</v>
      </c>
      <c r="P319" s="316">
        <f t="shared" si="93"/>
        <v>-96.21509413707733</v>
      </c>
      <c r="Q319" s="301">
        <f t="shared" si="94"/>
        <v>3785993.5379223148</v>
      </c>
      <c r="R319" s="301">
        <f t="shared" si="111"/>
        <v>5.7799999999999647</v>
      </c>
      <c r="S319" s="308">
        <f t="shared" si="95"/>
        <v>-39.020295542573308</v>
      </c>
      <c r="T319" s="301" t="str">
        <f t="shared" si="96"/>
        <v>1+28.821558404355i</v>
      </c>
      <c r="U319" s="303">
        <f t="shared" si="97"/>
        <v>11.22843885814933</v>
      </c>
      <c r="V319" s="301">
        <f t="shared" si="98"/>
        <v>111.58942349617479</v>
      </c>
      <c r="W319" s="301">
        <f t="shared" si="99"/>
        <v>27.903394962354866</v>
      </c>
      <c r="X319" s="303">
        <f t="shared" si="100"/>
        <v>-92.022227516891675</v>
      </c>
      <c r="Y319" s="192" t="str">
        <f t="shared" si="101"/>
        <v>-0.876570721386495-24.8255678301058i</v>
      </c>
      <c r="Z319" s="192" t="str">
        <f t="shared" si="102"/>
        <v>-5561.37200650377i</v>
      </c>
      <c r="AA319" s="192" t="str">
        <f t="shared" si="103"/>
        <v>22150.1592153998-768.527464915043i</v>
      </c>
      <c r="AB319" s="192" t="str">
        <f t="shared" si="104"/>
        <v>1381.90263844297-394.90934108279i</v>
      </c>
      <c r="AC319" s="192" t="str">
        <f t="shared" si="105"/>
        <v>1290.90405467666-5192.46752984118i</v>
      </c>
      <c r="AD319" s="192" t="str">
        <f t="shared" si="106"/>
        <v>1224.68668537078-304.470465875406i</v>
      </c>
      <c r="AE319" s="192" t="str">
        <f t="shared" si="107"/>
        <v>-1.34033756695797+3.38713287413472i</v>
      </c>
      <c r="AF319" s="296"/>
      <c r="AG319" s="296"/>
      <c r="AH319" s="296"/>
      <c r="AI319" s="296"/>
      <c r="AJ319" s="296"/>
      <c r="AK319" s="296"/>
      <c r="AL319" s="296"/>
      <c r="AM319" s="296"/>
      <c r="AN319" s="296"/>
      <c r="AO319" s="296"/>
      <c r="AP319" s="296"/>
      <c r="AQ319" s="296"/>
      <c r="AR319" s="296"/>
      <c r="AS319" s="296"/>
    </row>
    <row r="320" spans="1:45" s="192" customFormat="1" x14ac:dyDescent="0.2">
      <c r="A320" s="301">
        <f t="shared" si="108"/>
        <v>28.556999999999999</v>
      </c>
      <c r="B320" s="301">
        <f t="shared" si="109"/>
        <v>5.7999999999999652</v>
      </c>
      <c r="C320" s="320">
        <f t="shared" si="110"/>
        <v>630957.34448014258</v>
      </c>
      <c r="D320" s="302">
        <f t="shared" si="84"/>
        <v>-28.557092348728403</v>
      </c>
      <c r="E320" s="301">
        <f t="shared" si="85"/>
        <v>14.479718175447843</v>
      </c>
      <c r="G320" s="320"/>
      <c r="H320" s="315" t="str">
        <f t="shared" si="86"/>
        <v>1E+47-2.52243585852901E+49i</v>
      </c>
      <c r="I320" s="301" t="str">
        <f t="shared" si="87"/>
        <v>0.002-0.000233342817625255i</v>
      </c>
      <c r="J320" s="301" t="str">
        <f t="shared" si="88"/>
        <v>0.002-0.000233342817625255i</v>
      </c>
      <c r="K320" s="301"/>
      <c r="L320" s="301" t="str">
        <f t="shared" si="89"/>
        <v>0.00185736130690922-0.00020086543158572i</v>
      </c>
      <c r="M320" s="301" t="str">
        <f t="shared" si="90"/>
        <v>0.003+1.1893265748884i</v>
      </c>
      <c r="N320" s="301" t="str">
        <f t="shared" si="91"/>
        <v>-0.000162535570001765-0.001562619314443i</v>
      </c>
      <c r="O320" s="316">
        <f t="shared" si="92"/>
        <v>-56.076201916117434</v>
      </c>
      <c r="P320" s="316">
        <f t="shared" si="93"/>
        <v>-95.938256254837796</v>
      </c>
      <c r="Q320" s="301">
        <f t="shared" si="94"/>
        <v>3964421.9162946804</v>
      </c>
      <c r="R320" s="301">
        <f t="shared" si="111"/>
        <v>5.7999999999999643</v>
      </c>
      <c r="S320" s="308">
        <f t="shared" si="95"/>
        <v>-39.426023661992701</v>
      </c>
      <c r="T320" s="301" t="str">
        <f t="shared" si="96"/>
        <v>1+30.1798766045164i</v>
      </c>
      <c r="U320" s="303">
        <f t="shared" si="97"/>
        <v>10.868931313264296</v>
      </c>
      <c r="V320" s="301">
        <f t="shared" si="98"/>
        <v>110.41797443028564</v>
      </c>
      <c r="W320" s="301">
        <f t="shared" si="99"/>
        <v>27.502116102744726</v>
      </c>
      <c r="X320" s="303">
        <f t="shared" si="100"/>
        <v>-92.248474526459646</v>
      </c>
      <c r="Y320" s="192" t="str">
        <f t="shared" si="101"/>
        <v>-0.930592755342921-23.7012529260027i</v>
      </c>
      <c r="Z320" s="192" t="str">
        <f t="shared" si="102"/>
        <v>-5311.06903431826i</v>
      </c>
      <c r="AA320" s="192" t="str">
        <f t="shared" si="103"/>
        <v>22150.1592153998-733.938031147717i</v>
      </c>
      <c r="AB320" s="192" t="str">
        <f t="shared" si="104"/>
        <v>1381.90263844297-377.135492884675i</v>
      </c>
      <c r="AC320" s="192" t="str">
        <f t="shared" si="105"/>
        <v>1185.19193378566-4987.6179230194i</v>
      </c>
      <c r="AD320" s="192" t="str">
        <f t="shared" si="106"/>
        <v>1223.75818873614-290.79780299534i</v>
      </c>
      <c r="AE320" s="192" t="str">
        <f t="shared" si="107"/>
        <v>-1.219285181624+3.27541357441883i</v>
      </c>
      <c r="AF320" s="296"/>
      <c r="AG320" s="296"/>
      <c r="AH320" s="296"/>
      <c r="AI320" s="296"/>
      <c r="AJ320" s="296"/>
      <c r="AK320" s="296"/>
      <c r="AL320" s="296"/>
      <c r="AM320" s="296"/>
      <c r="AN320" s="296"/>
      <c r="AO320" s="296"/>
      <c r="AP320" s="296"/>
      <c r="AQ320" s="296"/>
      <c r="AR320" s="296"/>
      <c r="AS320" s="296"/>
    </row>
    <row r="321" spans="1:65" s="192" customFormat="1" x14ac:dyDescent="0.2">
      <c r="A321" s="301">
        <f t="shared" si="108"/>
        <v>29.324999999999999</v>
      </c>
      <c r="B321" s="301">
        <f t="shared" si="109"/>
        <v>5.8199999999999639</v>
      </c>
      <c r="C321" s="320">
        <f t="shared" si="110"/>
        <v>660693.44800754171</v>
      </c>
      <c r="D321" s="302">
        <f t="shared" si="84"/>
        <v>-29.325150873481558</v>
      </c>
      <c r="E321" s="301">
        <f t="shared" si="85"/>
        <v>13.610707726455246</v>
      </c>
      <c r="G321" s="320"/>
      <c r="H321" s="315" t="str">
        <f t="shared" si="86"/>
        <v>1E+47-2.40890754360982E+49i</v>
      </c>
      <c r="I321" s="301" t="str">
        <f t="shared" si="87"/>
        <v>0.002-0.000222840660833471i</v>
      </c>
      <c r="J321" s="301" t="str">
        <f t="shared" si="88"/>
        <v>0.002-0.000222840660833471i</v>
      </c>
      <c r="K321" s="301"/>
      <c r="L321" s="301" t="str">
        <f t="shared" si="89"/>
        <v>0.00185721250892501-0.00019182619438374i</v>
      </c>
      <c r="M321" s="301" t="str">
        <f t="shared" si="90"/>
        <v>0.003+1.24537780952124i</v>
      </c>
      <c r="N321" s="301" t="str">
        <f t="shared" si="91"/>
        <v>-0.000148233908108283-0.00149209237607521i</v>
      </c>
      <c r="O321" s="316">
        <f t="shared" si="92"/>
        <v>-56.481432379831915</v>
      </c>
      <c r="P321" s="316">
        <f t="shared" si="93"/>
        <v>-95.673509275637102</v>
      </c>
      <c r="Q321" s="301">
        <f t="shared" si="94"/>
        <v>4151259.3650708059</v>
      </c>
      <c r="R321" s="301">
        <f t="shared" si="111"/>
        <v>5.8199999999999639</v>
      </c>
      <c r="S321" s="308">
        <f t="shared" si="95"/>
        <v>-39.83125412570719</v>
      </c>
      <c r="T321" s="301" t="str">
        <f t="shared" si="96"/>
        <v>1+31.6022103692425i</v>
      </c>
      <c r="U321" s="303">
        <f t="shared" si="97"/>
        <v>10.506103252225632</v>
      </c>
      <c r="V321" s="301">
        <f t="shared" si="98"/>
        <v>109.28421700209235</v>
      </c>
      <c r="W321" s="301">
        <f t="shared" si="99"/>
        <v>27.100670822501268</v>
      </c>
      <c r="X321" s="303">
        <f t="shared" si="100"/>
        <v>-92.47941425536925</v>
      </c>
      <c r="Y321" s="192" t="str">
        <f t="shared" si="101"/>
        <v>-0.979770701285815-22.6269895783758i</v>
      </c>
      <c r="Z321" s="192" t="str">
        <f t="shared" si="102"/>
        <v>-5072.03155162195i</v>
      </c>
      <c r="AA321" s="192" t="str">
        <f t="shared" si="103"/>
        <v>22150.1592153998-700.905378345238i</v>
      </c>
      <c r="AB321" s="192" t="str">
        <f t="shared" si="104"/>
        <v>1381.90263844297-360.161599630406i</v>
      </c>
      <c r="AC321" s="192" t="str">
        <f t="shared" si="105"/>
        <v>1087.54098775402-4788.58864405614i</v>
      </c>
      <c r="AD321" s="192" t="str">
        <f t="shared" si="106"/>
        <v>1222.91121841228-277.736546875537i</v>
      </c>
      <c r="AE321" s="192" t="str">
        <f t="shared" si="107"/>
        <v>-1.10701567277364+3.16393425064531i</v>
      </c>
      <c r="AF321" s="296"/>
      <c r="AG321" s="296"/>
      <c r="AH321" s="296"/>
      <c r="AI321" s="296"/>
      <c r="AJ321" s="296"/>
      <c r="AK321" s="296"/>
      <c r="AL321" s="296"/>
      <c r="AM321" s="296"/>
      <c r="AN321" s="296"/>
      <c r="AO321" s="296"/>
      <c r="AP321" s="296"/>
      <c r="AQ321" s="296"/>
      <c r="AR321" s="296"/>
      <c r="AS321" s="296"/>
    </row>
    <row r="322" spans="1:65" s="192" customFormat="1" x14ac:dyDescent="0.2">
      <c r="A322" s="301">
        <f t="shared" si="108"/>
        <v>30.096</v>
      </c>
      <c r="B322" s="301">
        <f t="shared" si="109"/>
        <v>5.8399999999999643</v>
      </c>
      <c r="C322" s="320">
        <f t="shared" si="110"/>
        <v>691830.9709188795</v>
      </c>
      <c r="D322" s="302">
        <f t="shared" si="84"/>
        <v>-30.095780598391592</v>
      </c>
      <c r="E322" s="301">
        <f t="shared" si="85"/>
        <v>12.76609625092749</v>
      </c>
      <c r="G322" s="320"/>
      <c r="H322" s="315" t="str">
        <f t="shared" si="86"/>
        <v>1E+47-2.30048884455849E+49i</v>
      </c>
      <c r="I322" s="301" t="str">
        <f t="shared" si="87"/>
        <v>0.002-0.000212811178960083i</v>
      </c>
      <c r="J322" s="301" t="str">
        <f t="shared" si="88"/>
        <v>0.002-0.000212811178960083i</v>
      </c>
      <c r="K322" s="301"/>
      <c r="L322" s="301" t="str">
        <f t="shared" si="89"/>
        <v>0.00185707680193218-0.000183193635501777i</v>
      </c>
      <c r="M322" s="301" t="str">
        <f t="shared" si="90"/>
        <v>0.003+1.30407065745879i</v>
      </c>
      <c r="N322" s="301" t="str">
        <f t="shared" si="91"/>
        <v>-0.000135190686755195-0.0014247651618901i</v>
      </c>
      <c r="O322" s="316">
        <f t="shared" si="92"/>
        <v>-56.886207919269751</v>
      </c>
      <c r="P322" s="316">
        <f t="shared" si="93"/>
        <v>-95.420355855236608</v>
      </c>
      <c r="Q322" s="301">
        <f t="shared" si="94"/>
        <v>4346902.1915292917</v>
      </c>
      <c r="R322" s="301">
        <f t="shared" si="111"/>
        <v>5.8399999999999634</v>
      </c>
      <c r="S322" s="308">
        <f t="shared" si="95"/>
        <v>-40.236029665145026</v>
      </c>
      <c r="T322" s="301" t="str">
        <f t="shared" si="96"/>
        <v>1+33.091576659144i</v>
      </c>
      <c r="U322" s="303">
        <f t="shared" si="97"/>
        <v>10.140249066753436</v>
      </c>
      <c r="V322" s="301">
        <f t="shared" si="98"/>
        <v>108.1864521061641</v>
      </c>
      <c r="W322" s="301">
        <f t="shared" si="99"/>
        <v>26.699047025421091</v>
      </c>
      <c r="X322" s="303">
        <f t="shared" si="100"/>
        <v>-92.715524066462621</v>
      </c>
      <c r="Y322" s="192" t="str">
        <f t="shared" si="101"/>
        <v>-1.02452078197756-21.6005294924832i</v>
      </c>
      <c r="Z322" s="192" t="str">
        <f t="shared" si="102"/>
        <v>-4843.75252786578i</v>
      </c>
      <c r="AA322" s="192" t="str">
        <f t="shared" si="103"/>
        <v>22150.1592153998-669.359439822252i</v>
      </c>
      <c r="AB322" s="192" t="str">
        <f t="shared" si="104"/>
        <v>1381.90263844297-343.951657416658i</v>
      </c>
      <c r="AC322" s="192" t="str">
        <f t="shared" si="105"/>
        <v>997.431437830973-4595.49466464323i</v>
      </c>
      <c r="AD322" s="192" t="str">
        <f t="shared" si="106"/>
        <v>1222.13862974985-265.259690121915i</v>
      </c>
      <c r="AE322" s="192" t="str">
        <f t="shared" si="107"/>
        <v>-1.00304526454768+3.05321249798322i</v>
      </c>
      <c r="AF322" s="296"/>
      <c r="AG322" s="296"/>
      <c r="AH322" s="296"/>
      <c r="AI322" s="296"/>
      <c r="AJ322" s="296"/>
      <c r="AK322" s="296"/>
      <c r="AL322" s="296"/>
      <c r="AM322" s="296"/>
      <c r="AN322" s="296"/>
      <c r="AO322" s="296"/>
      <c r="AP322" s="296"/>
      <c r="AQ322" s="296"/>
      <c r="AR322" s="296"/>
      <c r="AS322" s="296"/>
    </row>
    <row r="323" spans="1:65" s="192" customFormat="1" x14ac:dyDescent="0.2">
      <c r="A323" s="301">
        <f t="shared" si="108"/>
        <v>30.869</v>
      </c>
      <c r="B323" s="301">
        <f t="shared" si="109"/>
        <v>5.859999999999963</v>
      </c>
      <c r="C323" s="320">
        <f t="shared" si="110"/>
        <v>724435.96007492894</v>
      </c>
      <c r="D323" s="302">
        <f t="shared" si="84"/>
        <v>-30.868748204564973</v>
      </c>
      <c r="E323" s="301">
        <f t="shared" si="85"/>
        <v>11.944648553314252</v>
      </c>
      <c r="G323" s="320"/>
      <c r="H323" s="315" t="str">
        <f t="shared" si="86"/>
        <v>1E+47-2.19694979077839E+49i</v>
      </c>
      <c r="I323" s="301" t="str">
        <f t="shared" si="87"/>
        <v>0.002-0.00020323309812936i</v>
      </c>
      <c r="J323" s="301" t="str">
        <f t="shared" si="88"/>
        <v>0.002-0.00020323309812936i</v>
      </c>
      <c r="K323" s="301"/>
      <c r="L323" s="301" t="str">
        <f t="shared" si="89"/>
        <v>0.00185695303433765-0.00017494947131722i</v>
      </c>
      <c r="M323" s="301" t="str">
        <f t="shared" si="90"/>
        <v>0.003+1.3655296141006i</v>
      </c>
      <c r="N323" s="301" t="str">
        <f t="shared" si="91"/>
        <v>-0.000123295168534865-0.00136049037023281i</v>
      </c>
      <c r="O323" s="316">
        <f t="shared" si="92"/>
        <v>-57.290567680764759</v>
      </c>
      <c r="P323" s="316">
        <f t="shared" si="93"/>
        <v>-95.178315144185561</v>
      </c>
      <c r="Q323" s="301">
        <f t="shared" si="94"/>
        <v>4551765.380335331</v>
      </c>
      <c r="R323" s="301">
        <f t="shared" si="111"/>
        <v>5.859999999999963</v>
      </c>
      <c r="S323" s="308">
        <f t="shared" si="95"/>
        <v>-40.640389426640027</v>
      </c>
      <c r="T323" s="301" t="str">
        <f t="shared" si="96"/>
        <v>1+34.6511346198044i</v>
      </c>
      <c r="U323" s="303">
        <f t="shared" si="97"/>
        <v>9.7716412220750559</v>
      </c>
      <c r="V323" s="301">
        <f t="shared" si="98"/>
        <v>107.12296369749981</v>
      </c>
      <c r="W323" s="301">
        <f t="shared" si="99"/>
        <v>26.297231135698411</v>
      </c>
      <c r="X323" s="303">
        <f t="shared" si="100"/>
        <v>-92.957290610576024</v>
      </c>
      <c r="Y323" s="192" t="str">
        <f t="shared" si="101"/>
        <v>-1.06522188662603-20.6197221148189i</v>
      </c>
      <c r="Z323" s="192" t="str">
        <f t="shared" si="102"/>
        <v>-4625.74775263442i</v>
      </c>
      <c r="AA323" s="192" t="str">
        <f t="shared" si="103"/>
        <v>22150.1592153998-639.233302413713i</v>
      </c>
      <c r="AB323" s="192" t="str">
        <f t="shared" si="104"/>
        <v>1381.90263844297-328.471282782694i</v>
      </c>
      <c r="AC323" s="192" t="str">
        <f t="shared" si="105"/>
        <v>914.361634553048-4408.40860682648i</v>
      </c>
      <c r="AD323" s="192" t="str">
        <f t="shared" si="106"/>
        <v>1221.43390191899-253.341375236345i</v>
      </c>
      <c r="AE323" s="192" t="str">
        <f t="shared" si="107"/>
        <v>-0.906889448973924+2.94369172328935i</v>
      </c>
      <c r="AF323" s="296"/>
      <c r="AG323" s="296"/>
      <c r="AH323" s="296"/>
      <c r="AI323" s="296"/>
      <c r="AJ323" s="296"/>
      <c r="AK323" s="296"/>
      <c r="AL323" s="296"/>
      <c r="AM323" s="296"/>
      <c r="AN323" s="296"/>
      <c r="AO323" s="296"/>
      <c r="AP323" s="296"/>
      <c r="AQ323" s="296"/>
      <c r="AR323" s="296"/>
      <c r="AS323" s="296"/>
    </row>
    <row r="324" spans="1:65" s="192" customFormat="1" x14ac:dyDescent="0.2">
      <c r="A324" s="301">
        <f t="shared" si="108"/>
        <v>31.643999999999998</v>
      </c>
      <c r="B324" s="301">
        <f t="shared" si="109"/>
        <v>5.8799999999999635</v>
      </c>
      <c r="C324" s="320">
        <f t="shared" si="110"/>
        <v>758577.57502911962</v>
      </c>
      <c r="D324" s="302">
        <f t="shared" si="84"/>
        <v>-31.643837369953754</v>
      </c>
      <c r="E324" s="301">
        <f t="shared" si="85"/>
        <v>11.145103741336015</v>
      </c>
      <c r="G324" s="320"/>
      <c r="H324" s="315" t="str">
        <f t="shared" si="86"/>
        <v>1E+47-2.0980707620547E+49i</v>
      </c>
      <c r="I324" s="301" t="str">
        <f t="shared" si="87"/>
        <v>0.002-0.000194086101947706i</v>
      </c>
      <c r="J324" s="301" t="str">
        <f t="shared" si="88"/>
        <v>0.002-0.000194086101947706i</v>
      </c>
      <c r="K324" s="301"/>
      <c r="L324" s="301" t="str">
        <f t="shared" si="89"/>
        <v>0.0018568401558302-0.000167076238536555i</v>
      </c>
      <c r="M324" s="301" t="str">
        <f t="shared" si="90"/>
        <v>0.003+1.42988504213367i</v>
      </c>
      <c r="N324" s="301" t="str">
        <f t="shared" si="91"/>
        <v>-0.000112446361120534-0.00129912775396187i</v>
      </c>
      <c r="O324" s="316">
        <f t="shared" si="92"/>
        <v>-57.694547512310585</v>
      </c>
      <c r="P324" s="316">
        <f t="shared" si="93"/>
        <v>-94.946922774232874</v>
      </c>
      <c r="Q324" s="301">
        <f t="shared" si="94"/>
        <v>4766283.4737788849</v>
      </c>
      <c r="R324" s="301">
        <f t="shared" si="111"/>
        <v>5.8799999999999626</v>
      </c>
      <c r="S324" s="308">
        <f t="shared" si="95"/>
        <v>-41.04436925818586</v>
      </c>
      <c r="T324" s="301" t="str">
        <f t="shared" si="96"/>
        <v>1+36.2841922827521i</v>
      </c>
      <c r="U324" s="303">
        <f t="shared" si="97"/>
        <v>9.4005318882321056</v>
      </c>
      <c r="V324" s="301">
        <f t="shared" si="98"/>
        <v>106.09202651556889</v>
      </c>
      <c r="W324" s="301">
        <f t="shared" si="99"/>
        <v>25.895207989670279</v>
      </c>
      <c r="X324" s="303">
        <f t="shared" si="100"/>
        <v>-93.205210594302031</v>
      </c>
      <c r="Y324" s="192" t="str">
        <f t="shared" si="101"/>
        <v>-1.10221875338613-19.6825105790549i</v>
      </c>
      <c r="Z324" s="192" t="str">
        <f t="shared" si="102"/>
        <v>-4417.55480857119i</v>
      </c>
      <c r="AA324" s="192" t="str">
        <f t="shared" si="103"/>
        <v>22150.1592153998-610.463064543098i</v>
      </c>
      <c r="AB324" s="192" t="str">
        <f t="shared" si="104"/>
        <v>1381.90263844297-313.687639778423i</v>
      </c>
      <c r="AC324" s="192" t="str">
        <f t="shared" si="105"/>
        <v>837.850173805078-4227.36540144697i</v>
      </c>
      <c r="AD324" s="192" t="str">
        <f t="shared" si="106"/>
        <v>1220.79108383046-241.956851285422i</v>
      </c>
      <c r="AE324" s="192" t="str">
        <f t="shared" si="107"/>
        <v>-0.81806905651041+2.83574781466449i</v>
      </c>
      <c r="AF324" s="296"/>
      <c r="AG324" s="296"/>
      <c r="AH324" s="296"/>
      <c r="AI324" s="296"/>
      <c r="AJ324" s="296"/>
      <c r="AK324" s="296"/>
      <c r="AL324" s="296"/>
      <c r="AM324" s="296"/>
      <c r="AN324" s="296"/>
      <c r="AO324" s="296"/>
      <c r="AP324" s="296"/>
      <c r="AQ324" s="296"/>
      <c r="AR324" s="296"/>
      <c r="AS324" s="296"/>
    </row>
    <row r="325" spans="1:65" s="192" customFormat="1" x14ac:dyDescent="0.2">
      <c r="A325" s="301">
        <f t="shared" si="108"/>
        <v>32.420999999999999</v>
      </c>
      <c r="B325" s="301">
        <f t="shared" si="109"/>
        <v>5.8999999999999622</v>
      </c>
      <c r="C325" s="320">
        <f t="shared" si="110"/>
        <v>794328.23472421279</v>
      </c>
      <c r="D325" s="302">
        <f t="shared" si="84"/>
        <v>-32.420847454157496</v>
      </c>
      <c r="E325" s="301">
        <f t="shared" si="85"/>
        <v>10.366181588709395</v>
      </c>
      <c r="G325" s="320"/>
      <c r="H325" s="315" t="str">
        <f t="shared" si="86"/>
        <v>1E+47-2.00364202271059E+49i</v>
      </c>
      <c r="I325" s="301" t="str">
        <f t="shared" si="87"/>
        <v>0.002-0.00018535078840986i</v>
      </c>
      <c r="J325" s="301" t="str">
        <f t="shared" si="88"/>
        <v>0.002-0.00018535078840986i</v>
      </c>
      <c r="K325" s="301"/>
      <c r="L325" s="301" t="str">
        <f t="shared" si="89"/>
        <v>0.00185673720847658-0.000159557257605915i</v>
      </c>
      <c r="M325" s="301" t="str">
        <f t="shared" si="90"/>
        <v>0.003+1.49727344804912i</v>
      </c>
      <c r="N325" s="301" t="str">
        <f t="shared" si="91"/>
        <v>-0.000102552159572017-0.00124054374806708i</v>
      </c>
      <c r="O325" s="316">
        <f t="shared" si="92"/>
        <v>-58.098180229741288</v>
      </c>
      <c r="P325" s="316">
        <f t="shared" si="93"/>
        <v>-94.725730757561905</v>
      </c>
      <c r="Q325" s="301">
        <f t="shared" si="94"/>
        <v>4990911.4934970718</v>
      </c>
      <c r="R325" s="301">
        <f t="shared" si="111"/>
        <v>5.8999999999999622</v>
      </c>
      <c r="S325" s="308">
        <f t="shared" si="95"/>
        <v>-41.44800197561657</v>
      </c>
      <c r="T325" s="301" t="str">
        <f t="shared" si="96"/>
        <v>1+37.9942135822377i</v>
      </c>
      <c r="U325" s="303">
        <f t="shared" si="97"/>
        <v>9.0271545214590727</v>
      </c>
      <c r="V325" s="301">
        <f t="shared" si="98"/>
        <v>105.0919123462713</v>
      </c>
      <c r="W325" s="301">
        <f t="shared" si="99"/>
        <v>25.492960715505255</v>
      </c>
      <c r="X325" s="303">
        <f t="shared" si="100"/>
        <v>-93.459791533564683</v>
      </c>
      <c r="Y325" s="192" t="str">
        <f t="shared" si="101"/>
        <v>-1.13582486940802-18.7869277907524i</v>
      </c>
      <c r="Z325" s="192" t="str">
        <f t="shared" si="102"/>
        <v>-4218.73209052884i</v>
      </c>
      <c r="AA325" s="192" t="str">
        <f t="shared" si="103"/>
        <v>22150.1592153998-582.987700678583i</v>
      </c>
      <c r="AB325" s="192" t="str">
        <f t="shared" si="104"/>
        <v>1381.90263844297-299.569370314957i</v>
      </c>
      <c r="AC325" s="192" t="str">
        <f t="shared" si="105"/>
        <v>767.437399212494-4052.36672437159i</v>
      </c>
      <c r="AD325" s="192" t="str">
        <f t="shared" si="106"/>
        <v>1220.20474467945-231.082431442272i</v>
      </c>
      <c r="AE325" s="192" t="str">
        <f t="shared" si="107"/>
        <v>-0.736115065435752+2.72969566026707i</v>
      </c>
      <c r="AF325" s="296"/>
      <c r="AG325" s="296"/>
      <c r="AH325" s="296"/>
      <c r="AI325" s="296"/>
      <c r="AJ325" s="296"/>
      <c r="AK325" s="296"/>
      <c r="AL325" s="296"/>
      <c r="AM325" s="296"/>
      <c r="AN325" s="296"/>
      <c r="AO325" s="296"/>
      <c r="AP325" s="296"/>
      <c r="AQ325" s="296"/>
      <c r="AR325" s="296"/>
      <c r="AS325" s="296"/>
    </row>
    <row r="326" spans="1:65" s="192" customFormat="1" x14ac:dyDescent="0.2">
      <c r="A326" s="301">
        <f t="shared" si="108"/>
        <v>33.200000000000003</v>
      </c>
      <c r="B326" s="301">
        <f t="shared" si="109"/>
        <v>5.9199999999999626</v>
      </c>
      <c r="C326" s="320">
        <f t="shared" si="110"/>
        <v>831763.77110259887</v>
      </c>
      <c r="D326" s="302">
        <f t="shared" si="84"/>
        <v>-33.199592222327446</v>
      </c>
      <c r="E326" s="301">
        <f t="shared" si="85"/>
        <v>9.6065876733776321</v>
      </c>
      <c r="G326" s="320"/>
      <c r="H326" s="315" t="str">
        <f t="shared" si="86"/>
        <v>1E+47-1.91346327672961E+49i</v>
      </c>
      <c r="I326" s="301" t="str">
        <f t="shared" si="87"/>
        <v>0.002-0.000177008628744644i</v>
      </c>
      <c r="J326" s="301" t="str">
        <f t="shared" si="88"/>
        <v>0.002-0.000177008628744644i</v>
      </c>
      <c r="K326" s="301"/>
      <c r="L326" s="301" t="str">
        <f t="shared" si="89"/>
        <v>0.00185664331859955-0.000152376597725688i</v>
      </c>
      <c r="M326" s="301" t="str">
        <f t="shared" si="90"/>
        <v>0.003+1.56783777169084i</v>
      </c>
      <c r="N326" s="301" t="str">
        <f t="shared" si="91"/>
        <v>-0.0000935285641481385-0.00118461112113979i</v>
      </c>
      <c r="O326" s="316">
        <f t="shared" si="92"/>
        <v>-58.501495863406845</v>
      </c>
      <c r="P326" s="316">
        <f t="shared" si="93"/>
        <v>-94.514307312855465</v>
      </c>
      <c r="Q326" s="301">
        <f t="shared" si="94"/>
        <v>5226125.9056361336</v>
      </c>
      <c r="R326" s="301">
        <f t="shared" si="111"/>
        <v>5.9199999999999617</v>
      </c>
      <c r="S326" s="308">
        <f t="shared" si="95"/>
        <v>-41.85131760928212</v>
      </c>
      <c r="T326" s="301" t="str">
        <f t="shared" si="96"/>
        <v>1+39.7848257027044i</v>
      </c>
      <c r="U326" s="303">
        <f t="shared" si="97"/>
        <v>8.6517253869546735</v>
      </c>
      <c r="V326" s="301">
        <f t="shared" si="98"/>
        <v>104.1208949862331</v>
      </c>
      <c r="W326" s="301">
        <f t="shared" si="99"/>
        <v>25.090470600088963</v>
      </c>
      <c r="X326" s="303">
        <f t="shared" si="100"/>
        <v>-93.72155248928766</v>
      </c>
      <c r="Y326" s="192" t="str">
        <f t="shared" si="101"/>
        <v>-1.16632511214507-17.9310926509484i</v>
      </c>
      <c r="Z326" s="192" t="str">
        <f t="shared" si="102"/>
        <v>-4028.85786886575i</v>
      </c>
      <c r="AA326" s="192" t="str">
        <f t="shared" si="103"/>
        <v>22150.1592153998-556.74893188973i</v>
      </c>
      <c r="AB326" s="192" t="str">
        <f t="shared" si="104"/>
        <v>1381.90263844297-286.086527649894i</v>
      </c>
      <c r="AC326" s="192" t="str">
        <f t="shared" si="105"/>
        <v>702.686377162854-3883.38517051711i</v>
      </c>
      <c r="AD326" s="192" t="str">
        <f t="shared" si="106"/>
        <v>1219.66992872786-220.695451499119i</v>
      </c>
      <c r="AE326" s="192" t="str">
        <f t="shared" si="107"/>
        <v>-0.660572320520716+2.62579540735917i</v>
      </c>
      <c r="AF326" s="296"/>
      <c r="AG326" s="296"/>
      <c r="AH326" s="296"/>
      <c r="AI326" s="296"/>
      <c r="AJ326" s="296"/>
      <c r="AK326" s="296"/>
      <c r="AL326" s="296"/>
      <c r="AM326" s="296"/>
      <c r="AN326" s="296"/>
      <c r="AO326" s="296"/>
      <c r="AP326" s="296"/>
      <c r="AQ326" s="296"/>
      <c r="AR326" s="296"/>
      <c r="AS326" s="296"/>
    </row>
    <row r="327" spans="1:65" s="192" customFormat="1" x14ac:dyDescent="0.2">
      <c r="A327" s="301">
        <f t="shared" si="108"/>
        <v>33.979999999999997</v>
      </c>
      <c r="B327" s="301">
        <f t="shared" si="109"/>
        <v>5.9399999999999622</v>
      </c>
      <c r="C327" s="320">
        <f t="shared" si="110"/>
        <v>870963.58995600487</v>
      </c>
      <c r="D327" s="302">
        <f t="shared" si="84"/>
        <v>-33.979898614611933</v>
      </c>
      <c r="E327" s="301">
        <f t="shared" si="85"/>
        <v>8.865017426750228</v>
      </c>
      <c r="G327" s="320"/>
      <c r="H327" s="315" t="str">
        <f t="shared" si="86"/>
        <v>1E+47-1.82734324290106E+49i</v>
      </c>
      <c r="I327" s="301" t="str">
        <f t="shared" si="87"/>
        <v>0.002-0.000169041928112956i</v>
      </c>
      <c r="J327" s="301" t="str">
        <f t="shared" si="88"/>
        <v>0.002-0.000169041928112956i</v>
      </c>
      <c r="K327" s="301"/>
      <c r="L327" s="301" t="str">
        <f t="shared" si="89"/>
        <v>0.00185655768936968-0.000145519043402496i</v>
      </c>
      <c r="M327" s="301" t="str">
        <f t="shared" si="90"/>
        <v>0.003+1.64172768944999i</v>
      </c>
      <c r="N327" s="301" t="str">
        <f t="shared" si="91"/>
        <v>-0.0000852989669756618-0.00113120864870487i</v>
      </c>
      <c r="O327" s="316">
        <f t="shared" si="92"/>
        <v>-58.904521886428938</v>
      </c>
      <c r="P327" s="316">
        <f t="shared" si="93"/>
        <v>-94.31223663051118</v>
      </c>
      <c r="Q327" s="301">
        <f t="shared" si="94"/>
        <v>5472425.6314999554</v>
      </c>
      <c r="R327" s="301">
        <f t="shared" si="111"/>
        <v>5.9399999999999613</v>
      </c>
      <c r="S327" s="308">
        <f t="shared" si="95"/>
        <v>-42.254343632304213</v>
      </c>
      <c r="T327" s="301" t="str">
        <f t="shared" si="96"/>
        <v>1+41.6598267725309i</v>
      </c>
      <c r="U327" s="303">
        <f t="shared" si="97"/>
        <v>8.2744450176922797</v>
      </c>
      <c r="V327" s="301">
        <f t="shared" si="98"/>
        <v>103.17725405726141</v>
      </c>
      <c r="W327" s="301">
        <f t="shared" si="99"/>
        <v>24.687716942306814</v>
      </c>
      <c r="X327" s="303">
        <f t="shared" si="100"/>
        <v>-93.991024780722114</v>
      </c>
      <c r="Y327" s="192" t="str">
        <f t="shared" si="101"/>
        <v>-1.19397815365651-17.1132064180405i</v>
      </c>
      <c r="Z327" s="192" t="str">
        <f t="shared" si="102"/>
        <v>-3847.52939490092i</v>
      </c>
      <c r="AA327" s="192" t="str">
        <f t="shared" si="103"/>
        <v>22150.1592153998-531.691102230047i</v>
      </c>
      <c r="AB327" s="192" t="str">
        <f t="shared" si="104"/>
        <v>1381.90263844297-273.210512866266i</v>
      </c>
      <c r="AC327" s="192" t="str">
        <f t="shared" si="105"/>
        <v>643.183425132109-3720.36814015043i</v>
      </c>
      <c r="AD327" s="192" t="str">
        <f t="shared" si="106"/>
        <v>1219.18211397112-210.774229426672i</v>
      </c>
      <c r="AE327" s="192" t="str">
        <f t="shared" si="107"/>
        <v>-0.591002319651861+2.52425838631374i</v>
      </c>
      <c r="AF327" s="296"/>
      <c r="AG327" s="296"/>
      <c r="AH327" s="296"/>
      <c r="AI327" s="296"/>
      <c r="AJ327" s="296"/>
      <c r="AK327" s="296"/>
      <c r="AL327" s="296"/>
      <c r="AM327" s="296"/>
      <c r="AN327" s="296"/>
      <c r="AO327" s="296"/>
      <c r="AP327" s="296"/>
      <c r="AQ327" s="296"/>
      <c r="AR327" s="296"/>
      <c r="AS327" s="296"/>
    </row>
    <row r="328" spans="1:65" s="192" customFormat="1" x14ac:dyDescent="0.2">
      <c r="A328" s="301">
        <f t="shared" si="108"/>
        <v>34.762</v>
      </c>
      <c r="B328" s="301">
        <f t="shared" si="109"/>
        <v>5.9599999999999618</v>
      </c>
      <c r="C328" s="320">
        <f t="shared" si="110"/>
        <v>912010.83935582871</v>
      </c>
      <c r="D328" s="302">
        <f t="shared" si="84"/>
        <v>-34.761605564943522</v>
      </c>
      <c r="E328" s="301">
        <f t="shared" si="85"/>
        <v>8.1401592144524528</v>
      </c>
      <c r="G328" s="320"/>
      <c r="H328" s="315" t="str">
        <f t="shared" si="86"/>
        <v>1E+47-1.74509924908688E+49i</v>
      </c>
      <c r="I328" s="301" t="str">
        <f t="shared" si="87"/>
        <v>0.002-0.000161433788074642i</v>
      </c>
      <c r="J328" s="301" t="str">
        <f t="shared" si="88"/>
        <v>0.002-0.000161433788074642i</v>
      </c>
      <c r="K328" s="301"/>
      <c r="L328" s="301" t="str">
        <f t="shared" si="89"/>
        <v>0.00185647959404793-0.000138970062474137i</v>
      </c>
      <c r="M328" s="301" t="str">
        <f t="shared" si="90"/>
        <v>0.003+1.71909993174872i</v>
      </c>
      <c r="N328" s="301" t="str">
        <f t="shared" si="91"/>
        <v>-0.0000777935015106372-0.00108022080663138i</v>
      </c>
      <c r="O328" s="316">
        <f t="shared" si="92"/>
        <v>-59.307283425630963</v>
      </c>
      <c r="P328" s="316">
        <f t="shared" si="93"/>
        <v>-94.119118587804763</v>
      </c>
      <c r="Q328" s="301">
        <f t="shared" si="94"/>
        <v>5730333.1058290647</v>
      </c>
      <c r="R328" s="301">
        <f t="shared" si="111"/>
        <v>5.9599999999999609</v>
      </c>
      <c r="S328" s="308">
        <f t="shared" si="95"/>
        <v>-42.657105171506238</v>
      </c>
      <c r="T328" s="301" t="str">
        <f t="shared" si="96"/>
        <v>1+43.6231939203722i</v>
      </c>
      <c r="U328" s="303">
        <f t="shared" si="97"/>
        <v>7.8954996065627139</v>
      </c>
      <c r="V328" s="301">
        <f t="shared" si="98"/>
        <v>102.25927780225722</v>
      </c>
      <c r="W328" s="301">
        <f t="shared" si="99"/>
        <v>24.284676891872699</v>
      </c>
      <c r="X328" s="303">
        <f t="shared" si="100"/>
        <v>-94.268752671188523</v>
      </c>
      <c r="Y328" s="192" t="str">
        <f t="shared" si="101"/>
        <v>-1.2190186478213-16.3315492068404i</v>
      </c>
      <c r="Z328" s="192" t="str">
        <f t="shared" si="102"/>
        <v>-3674.36204662993i</v>
      </c>
      <c r="AA328" s="192" t="str">
        <f t="shared" si="103"/>
        <v>22150.1592153998-507.761060683261i</v>
      </c>
      <c r="AB328" s="192" t="str">
        <f t="shared" si="104"/>
        <v>1381.90263844297-260.914014210398i</v>
      </c>
      <c r="AC328" s="192" t="str">
        <f t="shared" si="105"/>
        <v>588.53826731474-3563.24142382358i</v>
      </c>
      <c r="AD328" s="192" t="str">
        <f t="shared" si="106"/>
        <v>1218.73717436344-201.298026037833i</v>
      </c>
      <c r="AE328" s="192" t="str">
        <f t="shared" si="107"/>
        <v>-0.52698521318013+2.42525265147194i</v>
      </c>
      <c r="AF328" s="296"/>
      <c r="AG328" s="296"/>
      <c r="AH328" s="296"/>
      <c r="AI328" s="296"/>
      <c r="AJ328" s="296"/>
      <c r="AK328" s="296"/>
      <c r="AL328" s="296"/>
      <c r="AM328" s="296"/>
      <c r="AN328" s="296"/>
      <c r="AO328" s="296"/>
      <c r="AP328" s="296"/>
      <c r="AQ328" s="296"/>
      <c r="AR328" s="296"/>
      <c r="AS328" s="296"/>
    </row>
    <row r="329" spans="1:65" s="192" customFormat="1" x14ac:dyDescent="0.2">
      <c r="A329" s="301">
        <f t="shared" si="108"/>
        <v>35.545000000000002</v>
      </c>
      <c r="B329" s="301">
        <f t="shared" si="109"/>
        <v>5.9799999999999613</v>
      </c>
      <c r="C329" s="320">
        <f t="shared" si="110"/>
        <v>954992.58602135081</v>
      </c>
      <c r="D329" s="302">
        <f t="shared" si="84"/>
        <v>-35.544562870871005</v>
      </c>
      <c r="E329" s="301">
        <f t="shared" si="85"/>
        <v>7.4306965543694048</v>
      </c>
      <c r="G329" s="320"/>
      <c r="H329" s="315" t="str">
        <f t="shared" si="86"/>
        <v>1E+47-1.66655684474955E+49i</v>
      </c>
      <c r="I329" s="301" t="str">
        <f t="shared" si="87"/>
        <v>0.002-0.000154168070744639i</v>
      </c>
      <c r="J329" s="301" t="str">
        <f t="shared" si="88"/>
        <v>0.002-0.000154168070744639i</v>
      </c>
      <c r="K329" s="301"/>
      <c r="L329" s="301" t="str">
        <f t="shared" si="89"/>
        <v>0.00185640836982223-0.000132715775545398i</v>
      </c>
      <c r="M329" s="301" t="str">
        <f t="shared" si="90"/>
        <v>0.003+1.80011861548644i</v>
      </c>
      <c r="N329" s="301" t="str">
        <f t="shared" si="91"/>
        <v>-0.000070948449262614-0.00103153748302322i</v>
      </c>
      <c r="O329" s="316">
        <f t="shared" si="92"/>
        <v>-59.709803456219021</v>
      </c>
      <c r="P329" s="316">
        <f t="shared" si="93"/>
        <v>-93.93456842343295</v>
      </c>
      <c r="Q329" s="301">
        <f t="shared" si="94"/>
        <v>6000395.3849547887</v>
      </c>
      <c r="R329" s="301">
        <f t="shared" si="111"/>
        <v>5.9799999999999605</v>
      </c>
      <c r="S329" s="308">
        <f t="shared" si="95"/>
        <v>-43.059625202094281</v>
      </c>
      <c r="T329" s="301" t="str">
        <f t="shared" si="96"/>
        <v>1+45.6790917111822i</v>
      </c>
      <c r="U329" s="303">
        <f t="shared" si="97"/>
        <v>7.5150623312232767</v>
      </c>
      <c r="V329" s="301">
        <f t="shared" si="98"/>
        <v>101.36526497780235</v>
      </c>
      <c r="W329" s="301">
        <f t="shared" si="99"/>
        <v>23.881325272805547</v>
      </c>
      <c r="X329" s="303">
        <f t="shared" si="100"/>
        <v>-94.555294020069866</v>
      </c>
      <c r="Y329" s="192" t="str">
        <f t="shared" si="101"/>
        <v>-1.24165921871339-15.5844766232294i</v>
      </c>
      <c r="Z329" s="192" t="str">
        <f t="shared" si="102"/>
        <v>-3508.98851289012i</v>
      </c>
      <c r="AA329" s="192" t="str">
        <f t="shared" si="103"/>
        <v>22150.1592153998-484.908048422895i</v>
      </c>
      <c r="AB329" s="192" t="str">
        <f t="shared" si="104"/>
        <v>1381.90263844297-249.170949160023i</v>
      </c>
      <c r="AC329" s="192" t="str">
        <f t="shared" si="105"/>
        <v>538.383884329426-3411.91248181605i</v>
      </c>
      <c r="AD329" s="192" t="str">
        <f t="shared" si="106"/>
        <v>1218.33134530164-192.247006797393i</v>
      </c>
      <c r="AE329" s="192" t="str">
        <f t="shared" si="107"/>
        <v>-0.468121145915175+2.32890811216399i</v>
      </c>
      <c r="AF329" s="296"/>
      <c r="AG329" s="296"/>
      <c r="AH329" s="296"/>
      <c r="AI329" s="296"/>
      <c r="AJ329" s="296"/>
      <c r="AK329" s="296"/>
      <c r="AL329" s="296"/>
      <c r="AM329" s="296"/>
      <c r="AN329" s="296"/>
      <c r="AO329" s="296"/>
      <c r="AP329" s="296"/>
      <c r="AQ329" s="296"/>
      <c r="AR329" s="296"/>
      <c r="AS329" s="296"/>
    </row>
    <row r="330" spans="1:65" s="192" customFormat="1" x14ac:dyDescent="0.2">
      <c r="A330" s="301">
        <f t="shared" si="108"/>
        <v>36.329000000000001</v>
      </c>
      <c r="B330" s="301">
        <f t="shared" si="109"/>
        <v>5.99999999999996</v>
      </c>
      <c r="C330" s="301">
        <f t="shared" si="110"/>
        <v>999999.99999990896</v>
      </c>
      <c r="D330" s="302">
        <f t="shared" si="84"/>
        <v>-36.328630114508215</v>
      </c>
      <c r="E330" s="301">
        <f t="shared" si="85"/>
        <v>6.7353095636340896</v>
      </c>
      <c r="G330" s="301"/>
      <c r="H330" s="315" t="str">
        <f t="shared" si="86"/>
        <v>1E+47-1.5915494309191E+49i</v>
      </c>
      <c r="I330" s="301" t="str">
        <f t="shared" si="87"/>
        <v>0.002-0.000147229364562359i</v>
      </c>
      <c r="J330" s="301" t="str">
        <f t="shared" si="88"/>
        <v>0.002-0.000147229364562359i</v>
      </c>
      <c r="K330" s="301"/>
      <c r="L330" s="301" t="str">
        <f t="shared" si="89"/>
        <v>0.00185634341218558-0.000126742926774873i</v>
      </c>
      <c r="M330" s="301" t="str">
        <f t="shared" si="90"/>
        <v>0.003+1.8849555921537i</v>
      </c>
      <c r="N330" s="301" t="str">
        <f t="shared" si="91"/>
        <v>-0.0000647056987394452-0.000985053707152721i</v>
      </c>
      <c r="O330" s="316">
        <f t="shared" si="92"/>
        <v>-60.112102981269146</v>
      </c>
      <c r="P330" s="316">
        <f t="shared" si="93"/>
        <v>-93.758216379644708</v>
      </c>
      <c r="Q330" s="301">
        <f t="shared" si="94"/>
        <v>6283185.3071790142</v>
      </c>
      <c r="R330" s="301">
        <f t="shared" si="111"/>
        <v>5.99999999999996</v>
      </c>
      <c r="S330" s="308">
        <f t="shared" si="95"/>
        <v>-43.461924727144414</v>
      </c>
      <c r="T330" s="301" t="str">
        <f t="shared" si="96"/>
        <v>1+47.831880979814i</v>
      </c>
      <c r="U330" s="303">
        <f t="shared" si="97"/>
        <v>7.1332946126361954</v>
      </c>
      <c r="V330" s="301">
        <f t="shared" si="98"/>
        <v>100.4935259432788</v>
      </c>
      <c r="W330" s="301">
        <f t="shared" si="99"/>
        <v>23.477634390618025</v>
      </c>
      <c r="X330" s="303">
        <f t="shared" si="100"/>
        <v>-94.851220893854361</v>
      </c>
      <c r="Y330" s="192" t="str">
        <f t="shared" si="101"/>
        <v>-1.26209226686368-14.8704165325192i</v>
      </c>
      <c r="Z330" s="192" t="str">
        <f t="shared" si="102"/>
        <v>-3351.05801424446i</v>
      </c>
      <c r="AA330" s="192" t="str">
        <f t="shared" si="103"/>
        <v>22150.1592153998-463.083591145988i</v>
      </c>
      <c r="AB330" s="192" t="str">
        <f t="shared" si="104"/>
        <v>1381.90263844297-237.956409099746i</v>
      </c>
      <c r="AC330" s="192" t="str">
        <f t="shared" si="105"/>
        <v>492.376116380443-3266.2734213788i</v>
      </c>
      <c r="AD330" s="192" t="str">
        <f t="shared" si="106"/>
        <v>1217.96119209156-183.602204805925i</v>
      </c>
      <c r="AE330" s="192" t="str">
        <f t="shared" si="107"/>
        <v>-0.414031056731759+2.23532124374659i</v>
      </c>
      <c r="AF330" s="296"/>
      <c r="AG330" s="296"/>
      <c r="AH330" s="296"/>
      <c r="AI330" s="296"/>
      <c r="AJ330" s="296"/>
      <c r="AK330" s="296"/>
      <c r="AL330" s="296"/>
      <c r="AM330" s="296"/>
      <c r="AN330" s="296"/>
      <c r="AO330" s="296"/>
      <c r="AP330" s="296"/>
      <c r="AQ330" s="296"/>
      <c r="AR330" s="296"/>
      <c r="AS330" s="296"/>
    </row>
    <row r="331" spans="1:65" s="192" customFormat="1" x14ac:dyDescent="0.2">
      <c r="W331" s="303"/>
      <c r="Z331" s="303"/>
      <c r="AA331" s="303"/>
      <c r="AB331" s="303"/>
      <c r="AL331" s="296"/>
      <c r="AM331" s="296"/>
      <c r="AN331" s="296"/>
      <c r="AO331" s="296"/>
      <c r="AP331" s="296"/>
      <c r="AQ331" s="296"/>
      <c r="AR331" s="296"/>
      <c r="AS331" s="296"/>
      <c r="AT331" s="296"/>
      <c r="AU331" s="296"/>
      <c r="AV331" s="296"/>
      <c r="AW331" s="296"/>
      <c r="AX331" s="296"/>
      <c r="AY331" s="296"/>
      <c r="AZ331" s="296"/>
      <c r="BA331" s="296"/>
      <c r="BB331" s="296"/>
      <c r="BC331" s="296"/>
      <c r="BD331" s="296"/>
      <c r="BE331" s="296"/>
      <c r="BF331" s="296"/>
      <c r="BG331" s="296"/>
      <c r="BH331" s="296"/>
      <c r="BI331" s="296"/>
      <c r="BJ331" s="296"/>
      <c r="BK331" s="296"/>
      <c r="BL331" s="296"/>
      <c r="BM331" s="296"/>
    </row>
    <row r="332" spans="1:65" s="192" customFormat="1" x14ac:dyDescent="0.2">
      <c r="Z332" s="303"/>
      <c r="AA332" s="303"/>
      <c r="AB332" s="303"/>
      <c r="AL332" s="296"/>
      <c r="AM332" s="296"/>
      <c r="AN332" s="296"/>
      <c r="AO332" s="296"/>
      <c r="AP332" s="296"/>
      <c r="AQ332" s="296"/>
      <c r="AR332" s="296"/>
      <c r="AS332" s="296"/>
      <c r="AT332" s="296"/>
      <c r="AU332" s="296"/>
      <c r="AV332" s="296"/>
      <c r="AW332" s="296"/>
      <c r="AX332" s="296"/>
      <c r="AY332" s="296"/>
      <c r="AZ332" s="296"/>
      <c r="BA332" s="296"/>
      <c r="BB332" s="296"/>
      <c r="BC332" s="296"/>
      <c r="BD332" s="296"/>
      <c r="BE332" s="296"/>
      <c r="BF332" s="296"/>
      <c r="BG332" s="296"/>
      <c r="BH332" s="296"/>
      <c r="BI332" s="296"/>
      <c r="BJ332" s="296"/>
      <c r="BK332" s="296"/>
      <c r="BL332" s="296"/>
      <c r="BM332" s="296"/>
    </row>
    <row r="333" spans="1:65" s="192" customFormat="1" x14ac:dyDescent="0.2">
      <c r="D333" s="299"/>
      <c r="H333" s="299"/>
      <c r="N333" s="306"/>
      <c r="S333" s="299"/>
      <c r="U333" s="299"/>
      <c r="V333" s="296"/>
      <c r="W333" s="296"/>
      <c r="X333" s="296"/>
      <c r="Y333" s="296"/>
      <c r="Z333" s="296"/>
      <c r="AB333" s="296"/>
      <c r="AC333" s="296"/>
      <c r="AD333" s="296"/>
      <c r="AE333" s="296"/>
      <c r="AF333" s="296"/>
      <c r="AG333" s="296"/>
      <c r="AH333" s="296"/>
      <c r="AI333" s="296"/>
      <c r="AJ333" s="296"/>
      <c r="AK333" s="296"/>
      <c r="AL333" s="296"/>
      <c r="AM333" s="296"/>
      <c r="AN333" s="296"/>
      <c r="AO333" s="296"/>
      <c r="AP333" s="296"/>
      <c r="AQ333" s="296"/>
      <c r="AR333" s="296"/>
      <c r="AS333" s="296"/>
      <c r="AT333" s="296"/>
      <c r="AU333" s="296"/>
      <c r="AV333" s="296"/>
      <c r="AW333" s="296"/>
      <c r="AX333" s="296"/>
      <c r="AY333" s="296"/>
      <c r="AZ333" s="296"/>
      <c r="BA333" s="296"/>
    </row>
    <row r="334" spans="1:65" s="319" customFormat="1" x14ac:dyDescent="0.2">
      <c r="D334" s="309"/>
      <c r="E334" s="309"/>
      <c r="H334" s="309"/>
      <c r="T334" s="309"/>
      <c r="V334" s="309"/>
      <c r="W334" s="309"/>
      <c r="X334" s="309"/>
      <c r="Z334" s="192"/>
      <c r="AA334" s="192"/>
      <c r="AB334" s="192"/>
      <c r="AC334" s="192"/>
      <c r="AD334" s="192"/>
      <c r="AE334" s="192"/>
      <c r="AF334" s="299"/>
      <c r="AG334" s="299"/>
      <c r="AH334" s="299"/>
      <c r="AI334" s="299"/>
      <c r="AJ334" s="299"/>
      <c r="AK334" s="299"/>
      <c r="AL334" s="299"/>
      <c r="AM334" s="299"/>
      <c r="AN334" s="299"/>
      <c r="AO334" s="299"/>
      <c r="AP334" s="299"/>
      <c r="AQ334" s="299"/>
      <c r="AR334" s="299"/>
      <c r="AS334" s="299"/>
    </row>
    <row r="335" spans="1:65" s="319" customFormat="1" x14ac:dyDescent="0.2">
      <c r="C335" s="309"/>
      <c r="D335" s="309"/>
      <c r="E335" s="309"/>
      <c r="F335" s="309"/>
      <c r="G335" s="299"/>
      <c r="H335" s="301"/>
      <c r="I335" s="309"/>
      <c r="J335" s="309"/>
      <c r="K335" s="309"/>
      <c r="L335" s="309"/>
      <c r="M335" s="309"/>
      <c r="N335" s="309"/>
      <c r="O335" s="309"/>
      <c r="P335" s="309"/>
      <c r="Q335" s="309"/>
      <c r="R335" s="309"/>
      <c r="T335" s="309"/>
      <c r="V335" s="301"/>
      <c r="W335" s="301"/>
      <c r="X335" s="301"/>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row>
    <row r="336" spans="1:65" s="192" customFormat="1" x14ac:dyDescent="0.2">
      <c r="A336" s="301"/>
      <c r="B336" s="301"/>
      <c r="C336" s="320"/>
      <c r="D336" s="302"/>
      <c r="F336" s="302"/>
      <c r="G336" s="308"/>
      <c r="H336" s="303"/>
      <c r="I336" s="301"/>
      <c r="J336" s="301"/>
      <c r="K336" s="301"/>
      <c r="L336" s="301"/>
      <c r="M336" s="301"/>
      <c r="N336" s="301"/>
      <c r="O336" s="316"/>
      <c r="P336" s="316"/>
      <c r="Q336" s="301"/>
      <c r="R336" s="301"/>
      <c r="T336" s="301"/>
      <c r="V336" s="301"/>
      <c r="W336" s="301"/>
      <c r="X336" s="303"/>
      <c r="AF336" s="296"/>
      <c r="AG336" s="296"/>
      <c r="AH336" s="296"/>
      <c r="AI336" s="296"/>
      <c r="AJ336" s="296"/>
      <c r="AK336" s="296"/>
      <c r="AL336" s="296"/>
      <c r="AM336" s="296"/>
      <c r="AN336" s="296"/>
      <c r="AO336" s="296"/>
      <c r="AP336" s="296"/>
      <c r="AQ336" s="296"/>
      <c r="AR336" s="296"/>
      <c r="AS336" s="296"/>
    </row>
    <row r="337" spans="18:67" s="192" customFormat="1" x14ac:dyDescent="0.2">
      <c r="R337" s="296"/>
      <c r="S337" s="300"/>
      <c r="T337" s="296"/>
      <c r="U337" s="296"/>
      <c r="V337" s="296"/>
      <c r="W337" s="296"/>
      <c r="X337" s="296"/>
      <c r="Y337" s="296"/>
      <c r="Z337" s="296"/>
      <c r="AA337" s="296"/>
      <c r="AB337" s="296"/>
      <c r="AC337" s="296"/>
      <c r="AD337" s="296"/>
      <c r="AE337" s="296"/>
      <c r="AF337" s="296"/>
      <c r="AG337" s="296"/>
      <c r="AH337" s="296"/>
      <c r="AI337" s="296"/>
      <c r="AJ337" s="296"/>
      <c r="AK337" s="296"/>
      <c r="AL337" s="296"/>
      <c r="AM337" s="296"/>
      <c r="AN337" s="296"/>
      <c r="AO337" s="296"/>
      <c r="AP337" s="296"/>
      <c r="AQ337" s="296"/>
      <c r="AR337" s="296"/>
      <c r="AS337" s="296"/>
      <c r="AT337" s="296"/>
      <c r="AU337" s="296"/>
      <c r="AV337" s="296"/>
      <c r="AW337" s="296"/>
      <c r="AX337" s="296"/>
      <c r="AY337" s="296"/>
      <c r="AZ337" s="296"/>
      <c r="BA337" s="296"/>
      <c r="BB337" s="296"/>
      <c r="BC337" s="296"/>
      <c r="BD337" s="296"/>
      <c r="BE337" s="296"/>
      <c r="BF337" s="296"/>
      <c r="BG337" s="296"/>
      <c r="BH337" s="296"/>
      <c r="BI337" s="296"/>
      <c r="BJ337" s="296"/>
      <c r="BK337" s="296"/>
      <c r="BL337" s="296"/>
      <c r="BM337" s="296"/>
      <c r="BN337" s="296"/>
      <c r="BO337" s="296"/>
    </row>
    <row r="338" spans="18:67" s="192" customFormat="1" x14ac:dyDescent="0.2">
      <c r="R338" s="296"/>
      <c r="S338" s="300"/>
      <c r="T338" s="296"/>
      <c r="U338" s="296"/>
      <c r="V338" s="296"/>
      <c r="W338" s="296"/>
      <c r="X338" s="296"/>
      <c r="Y338" s="296"/>
      <c r="Z338" s="296"/>
      <c r="AA338" s="296"/>
      <c r="AB338" s="296"/>
      <c r="AC338" s="296"/>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BI338" s="296"/>
      <c r="BJ338" s="296"/>
      <c r="BK338" s="296"/>
      <c r="BL338" s="296"/>
      <c r="BM338" s="296"/>
      <c r="BN338" s="296"/>
      <c r="BO338" s="296"/>
    </row>
    <row r="339" spans="18:67" s="192" customFormat="1" x14ac:dyDescent="0.2">
      <c r="R339" s="296"/>
      <c r="S339" s="300"/>
      <c r="T339" s="296"/>
      <c r="U339" s="296"/>
      <c r="V339" s="296"/>
      <c r="W339" s="296"/>
      <c r="X339" s="296"/>
      <c r="Y339" s="296"/>
      <c r="Z339" s="296"/>
      <c r="AA339" s="296"/>
      <c r="AB339" s="296"/>
      <c r="AC339" s="296"/>
      <c r="AD339" s="296"/>
      <c r="AE339" s="296"/>
      <c r="AF339" s="296"/>
      <c r="AG339" s="296"/>
      <c r="AH339" s="296"/>
      <c r="AI339" s="296"/>
      <c r="AJ339" s="296"/>
      <c r="AK339" s="296"/>
      <c r="AL339" s="296"/>
      <c r="AM339" s="296"/>
      <c r="AN339" s="296"/>
      <c r="AO339" s="296"/>
      <c r="AP339" s="296"/>
      <c r="AQ339" s="296"/>
      <c r="AR339" s="296"/>
      <c r="AS339" s="296"/>
      <c r="AT339" s="296"/>
      <c r="AU339" s="296"/>
      <c r="AV339" s="296"/>
      <c r="AW339" s="296"/>
      <c r="AX339" s="296"/>
      <c r="AY339" s="296"/>
      <c r="AZ339" s="296"/>
      <c r="BA339" s="296"/>
      <c r="BB339" s="296"/>
      <c r="BC339" s="296"/>
      <c r="BD339" s="296"/>
      <c r="BE339" s="296"/>
      <c r="BF339" s="296"/>
      <c r="BG339" s="296"/>
      <c r="BH339" s="296"/>
      <c r="BI339" s="296"/>
      <c r="BJ339" s="296"/>
      <c r="BK339" s="296"/>
      <c r="BL339" s="296"/>
      <c r="BM339" s="296"/>
      <c r="BN339" s="296"/>
      <c r="BO339" s="296"/>
    </row>
    <row r="340" spans="18:67" s="192" customFormat="1" x14ac:dyDescent="0.2">
      <c r="R340" s="296"/>
      <c r="S340" s="300"/>
      <c r="T340" s="296"/>
      <c r="U340" s="296"/>
      <c r="V340" s="296"/>
      <c r="W340" s="296"/>
      <c r="X340" s="296"/>
      <c r="Y340" s="296"/>
      <c r="Z340" s="296"/>
      <c r="AA340" s="296"/>
      <c r="AB340" s="296"/>
      <c r="AC340" s="296"/>
      <c r="AD340" s="296"/>
      <c r="AE340" s="296"/>
      <c r="AF340" s="296"/>
      <c r="AG340" s="296"/>
      <c r="AH340" s="296"/>
      <c r="AI340" s="296"/>
      <c r="AJ340" s="296"/>
      <c r="AK340" s="296"/>
      <c r="AL340" s="296"/>
      <c r="AM340" s="296"/>
      <c r="AN340" s="296"/>
      <c r="AO340" s="296"/>
      <c r="AP340" s="296"/>
      <c r="AQ340" s="296"/>
      <c r="AR340" s="296"/>
      <c r="AS340" s="296"/>
      <c r="AT340" s="296"/>
      <c r="AU340" s="296"/>
      <c r="AV340" s="296"/>
      <c r="AW340" s="296"/>
      <c r="AX340" s="296"/>
      <c r="AY340" s="296"/>
      <c r="AZ340" s="296"/>
      <c r="BA340" s="296"/>
      <c r="BB340" s="296"/>
      <c r="BC340" s="296"/>
      <c r="BD340" s="296"/>
      <c r="BE340" s="296"/>
      <c r="BF340" s="296"/>
      <c r="BG340" s="296"/>
      <c r="BH340" s="296"/>
      <c r="BI340" s="296"/>
      <c r="BJ340" s="296"/>
      <c r="BK340" s="296"/>
      <c r="BL340" s="296"/>
      <c r="BM340" s="296"/>
      <c r="BN340" s="296"/>
      <c r="BO340" s="296"/>
    </row>
    <row r="341" spans="18:67" s="192" customFormat="1" x14ac:dyDescent="0.2">
      <c r="R341" s="296"/>
      <c r="S341" s="300"/>
      <c r="T341" s="296"/>
      <c r="U341" s="296"/>
      <c r="V341" s="296"/>
      <c r="W341" s="296"/>
      <c r="X341" s="296"/>
      <c r="Y341" s="296"/>
      <c r="Z341" s="296"/>
      <c r="AA341" s="296"/>
      <c r="AB341" s="296"/>
      <c r="AC341" s="296"/>
      <c r="AD341" s="296"/>
      <c r="AE341" s="296"/>
      <c r="AF341" s="296"/>
      <c r="AG341" s="296"/>
      <c r="AH341" s="296"/>
      <c r="AI341" s="296"/>
      <c r="AJ341" s="296"/>
      <c r="AK341" s="296"/>
      <c r="AL341" s="296"/>
      <c r="AM341" s="296"/>
      <c r="AN341" s="296"/>
      <c r="AO341" s="296"/>
      <c r="AP341" s="296"/>
      <c r="AQ341" s="296"/>
      <c r="AR341" s="296"/>
      <c r="AS341" s="296"/>
      <c r="AT341" s="296"/>
      <c r="AU341" s="296"/>
      <c r="AV341" s="296"/>
      <c r="AW341" s="296"/>
      <c r="AX341" s="296"/>
      <c r="AY341" s="296"/>
      <c r="AZ341" s="296"/>
      <c r="BA341" s="296"/>
      <c r="BB341" s="296"/>
      <c r="BC341" s="296"/>
      <c r="BD341" s="296"/>
      <c r="BE341" s="296"/>
      <c r="BF341" s="296"/>
      <c r="BG341" s="296"/>
      <c r="BH341" s="296"/>
      <c r="BI341" s="296"/>
      <c r="BJ341" s="296"/>
      <c r="BK341" s="296"/>
      <c r="BL341" s="296"/>
      <c r="BM341" s="296"/>
      <c r="BN341" s="296"/>
      <c r="BO341" s="296"/>
    </row>
    <row r="342" spans="18:67" s="192" customFormat="1" x14ac:dyDescent="0.2">
      <c r="R342" s="296"/>
      <c r="S342" s="300"/>
      <c r="T342" s="296"/>
      <c r="U342" s="296"/>
      <c r="V342" s="296"/>
      <c r="W342" s="296"/>
      <c r="X342" s="296"/>
      <c r="Y342" s="296"/>
      <c r="Z342" s="296"/>
      <c r="AA342" s="296"/>
      <c r="AB342" s="296"/>
      <c r="AC342" s="296"/>
      <c r="AD342" s="296"/>
      <c r="AE342" s="296"/>
      <c r="AF342" s="296"/>
      <c r="AG342" s="296"/>
      <c r="AH342" s="296"/>
      <c r="AI342" s="296"/>
      <c r="AJ342" s="296"/>
      <c r="AK342" s="296"/>
      <c r="AL342" s="296"/>
      <c r="AM342" s="296"/>
      <c r="AN342" s="296"/>
      <c r="AO342" s="296"/>
      <c r="AP342" s="296"/>
      <c r="AQ342" s="296"/>
      <c r="AR342" s="296"/>
      <c r="AS342" s="296"/>
      <c r="AT342" s="296"/>
      <c r="AU342" s="296"/>
      <c r="AV342" s="296"/>
      <c r="AW342" s="296"/>
      <c r="AX342" s="296"/>
      <c r="AY342" s="296"/>
      <c r="AZ342" s="296"/>
      <c r="BA342" s="296"/>
      <c r="BB342" s="296"/>
      <c r="BC342" s="296"/>
      <c r="BD342" s="296"/>
      <c r="BE342" s="296"/>
      <c r="BF342" s="296"/>
      <c r="BG342" s="296"/>
      <c r="BH342" s="296"/>
      <c r="BI342" s="296"/>
      <c r="BJ342" s="296"/>
      <c r="BK342" s="296"/>
      <c r="BL342" s="296"/>
      <c r="BM342" s="296"/>
      <c r="BN342" s="296"/>
      <c r="BO342" s="296"/>
    </row>
    <row r="343" spans="18:67" s="192" customFormat="1" x14ac:dyDescent="0.2">
      <c r="R343" s="296"/>
      <c r="S343" s="300"/>
      <c r="T343" s="296"/>
      <c r="U343" s="296"/>
      <c r="V343" s="296"/>
      <c r="W343" s="296"/>
      <c r="X343" s="296"/>
      <c r="Y343" s="296"/>
      <c r="Z343" s="296"/>
      <c r="AA343" s="296"/>
      <c r="AB343" s="296"/>
      <c r="AC343" s="296"/>
      <c r="AD343" s="296"/>
      <c r="AE343" s="296"/>
      <c r="AF343" s="296"/>
      <c r="AG343" s="296"/>
      <c r="AH343" s="296"/>
      <c r="AI343" s="296"/>
      <c r="AJ343" s="296"/>
      <c r="AK343" s="296"/>
      <c r="AL343" s="296"/>
      <c r="AM343" s="296"/>
      <c r="AN343" s="296"/>
      <c r="AO343" s="296"/>
      <c r="AP343" s="296"/>
      <c r="AQ343" s="296"/>
      <c r="AR343" s="296"/>
      <c r="AS343" s="296"/>
      <c r="AT343" s="296"/>
      <c r="AU343" s="296"/>
      <c r="AV343" s="296"/>
      <c r="AW343" s="296"/>
      <c r="AX343" s="296"/>
      <c r="AY343" s="296"/>
      <c r="AZ343" s="296"/>
      <c r="BA343" s="296"/>
      <c r="BB343" s="296"/>
      <c r="BC343" s="296"/>
      <c r="BD343" s="296"/>
      <c r="BE343" s="296"/>
      <c r="BF343" s="296"/>
      <c r="BG343" s="296"/>
      <c r="BH343" s="296"/>
      <c r="BI343" s="296"/>
      <c r="BJ343" s="296"/>
      <c r="BK343" s="296"/>
      <c r="BL343" s="296"/>
      <c r="BM343" s="296"/>
      <c r="BN343" s="296"/>
      <c r="BO343" s="296"/>
    </row>
    <row r="344" spans="18:67" s="192" customFormat="1" x14ac:dyDescent="0.2">
      <c r="R344" s="296"/>
      <c r="S344" s="300"/>
      <c r="T344" s="296"/>
      <c r="U344" s="296"/>
      <c r="V344" s="296"/>
      <c r="W344" s="296"/>
      <c r="X344" s="296"/>
      <c r="Y344" s="296"/>
      <c r="Z344" s="296"/>
      <c r="AA344" s="296"/>
      <c r="AB344" s="296"/>
      <c r="AC344" s="296"/>
      <c r="AD344" s="296"/>
      <c r="AE344" s="296"/>
      <c r="AF344" s="296"/>
      <c r="AG344" s="296"/>
      <c r="AH344" s="296"/>
      <c r="AI344" s="296"/>
      <c r="AJ344" s="296"/>
      <c r="AK344" s="296"/>
      <c r="AL344" s="296"/>
      <c r="AM344" s="296"/>
      <c r="AN344" s="296"/>
      <c r="AO344" s="296"/>
      <c r="AP344" s="296"/>
      <c r="AQ344" s="296"/>
      <c r="AR344" s="296"/>
      <c r="AS344" s="296"/>
      <c r="AT344" s="296"/>
      <c r="AU344" s="296"/>
      <c r="AV344" s="296"/>
      <c r="AW344" s="296"/>
      <c r="AX344" s="296"/>
      <c r="AY344" s="296"/>
      <c r="AZ344" s="296"/>
      <c r="BA344" s="296"/>
      <c r="BB344" s="296"/>
      <c r="BC344" s="296"/>
      <c r="BD344" s="296"/>
      <c r="BE344" s="296"/>
      <c r="BF344" s="296"/>
      <c r="BG344" s="296"/>
      <c r="BH344" s="296"/>
      <c r="BI344" s="296"/>
      <c r="BJ344" s="296"/>
      <c r="BK344" s="296"/>
      <c r="BL344" s="296"/>
      <c r="BM344" s="296"/>
      <c r="BN344" s="296"/>
      <c r="BO344" s="296"/>
    </row>
    <row r="345" spans="18:67" s="192" customFormat="1" x14ac:dyDescent="0.2">
      <c r="R345" s="296"/>
      <c r="S345" s="300"/>
      <c r="T345" s="296"/>
      <c r="U345" s="296"/>
      <c r="V345" s="296"/>
      <c r="W345" s="296"/>
      <c r="X345" s="296"/>
      <c r="Y345" s="296"/>
      <c r="Z345" s="296"/>
      <c r="AA345" s="296"/>
      <c r="AB345" s="296"/>
      <c r="AC345" s="296"/>
      <c r="AD345" s="296"/>
      <c r="AE345" s="296"/>
      <c r="AF345" s="296"/>
      <c r="AG345" s="296"/>
      <c r="AH345" s="296"/>
      <c r="AI345" s="296"/>
      <c r="AJ345" s="296"/>
      <c r="AK345" s="296"/>
      <c r="AL345" s="296"/>
      <c r="AM345" s="296"/>
      <c r="AN345" s="296"/>
      <c r="AO345" s="296"/>
      <c r="AP345" s="296"/>
      <c r="AQ345" s="296"/>
      <c r="AR345" s="296"/>
      <c r="AS345" s="296"/>
      <c r="AT345" s="296"/>
      <c r="AU345" s="296"/>
      <c r="AV345" s="296"/>
      <c r="AW345" s="296"/>
      <c r="AX345" s="296"/>
      <c r="AY345" s="296"/>
      <c r="AZ345" s="296"/>
      <c r="BA345" s="296"/>
      <c r="BB345" s="296"/>
      <c r="BC345" s="296"/>
      <c r="BD345" s="296"/>
      <c r="BE345" s="296"/>
      <c r="BF345" s="296"/>
      <c r="BG345" s="296"/>
      <c r="BH345" s="296"/>
      <c r="BI345" s="296"/>
      <c r="BJ345" s="296"/>
      <c r="BK345" s="296"/>
      <c r="BL345" s="296"/>
      <c r="BM345" s="296"/>
      <c r="BN345" s="296"/>
      <c r="BO345" s="296"/>
    </row>
    <row r="346" spans="18:67" s="192" customFormat="1" x14ac:dyDescent="0.2">
      <c r="R346" s="296"/>
      <c r="S346" s="300"/>
      <c r="T346" s="296"/>
      <c r="U346" s="296"/>
      <c r="V346" s="296"/>
      <c r="W346" s="296"/>
      <c r="X346" s="296"/>
      <c r="Y346" s="296"/>
      <c r="Z346" s="296"/>
      <c r="AA346" s="296"/>
      <c r="AB346" s="296"/>
      <c r="AC346" s="296"/>
      <c r="AD346" s="296"/>
      <c r="AE346" s="296"/>
      <c r="AF346" s="296"/>
      <c r="AG346" s="296"/>
      <c r="AH346" s="296"/>
      <c r="AI346" s="296"/>
      <c r="AJ346" s="296"/>
      <c r="AK346" s="296"/>
      <c r="AL346" s="296"/>
      <c r="AM346" s="296"/>
      <c r="AN346" s="296"/>
      <c r="AO346" s="296"/>
      <c r="AP346" s="296"/>
      <c r="AQ346" s="296"/>
      <c r="AR346" s="296"/>
      <c r="AS346" s="296"/>
      <c r="AT346" s="296"/>
      <c r="AU346" s="296"/>
      <c r="AV346" s="296"/>
      <c r="AW346" s="296"/>
      <c r="AX346" s="296"/>
      <c r="AY346" s="296"/>
      <c r="AZ346" s="296"/>
      <c r="BA346" s="296"/>
      <c r="BB346" s="296"/>
      <c r="BC346" s="296"/>
      <c r="BD346" s="296"/>
      <c r="BE346" s="296"/>
      <c r="BF346" s="296"/>
      <c r="BG346" s="296"/>
      <c r="BH346" s="296"/>
      <c r="BI346" s="296"/>
      <c r="BJ346" s="296"/>
      <c r="BK346" s="296"/>
      <c r="BL346" s="296"/>
      <c r="BM346" s="296"/>
      <c r="BN346" s="296"/>
      <c r="BO346" s="296"/>
    </row>
    <row r="347" spans="18:67" s="192" customFormat="1" x14ac:dyDescent="0.2">
      <c r="R347" s="296"/>
      <c r="S347" s="300"/>
      <c r="T347" s="296"/>
      <c r="U347" s="296"/>
      <c r="V347" s="296"/>
      <c r="W347" s="296"/>
      <c r="X347" s="296"/>
      <c r="Y347" s="296"/>
      <c r="Z347" s="296"/>
      <c r="AA347" s="296"/>
      <c r="AB347" s="296"/>
      <c r="AC347" s="296"/>
      <c r="AD347" s="296"/>
      <c r="AE347" s="296"/>
      <c r="AF347" s="296"/>
      <c r="AG347" s="296"/>
      <c r="AH347" s="296"/>
      <c r="AI347" s="296"/>
      <c r="AJ347" s="296"/>
      <c r="AK347" s="296"/>
      <c r="AL347" s="296"/>
      <c r="AM347" s="296"/>
      <c r="AN347" s="296"/>
      <c r="AO347" s="296"/>
      <c r="AP347" s="296"/>
      <c r="AQ347" s="296"/>
      <c r="AR347" s="296"/>
      <c r="AS347" s="296"/>
      <c r="AT347" s="296"/>
      <c r="AU347" s="296"/>
      <c r="AV347" s="296"/>
      <c r="AW347" s="296"/>
      <c r="AX347" s="296"/>
      <c r="AY347" s="296"/>
      <c r="AZ347" s="296"/>
      <c r="BA347" s="296"/>
      <c r="BB347" s="296"/>
      <c r="BC347" s="296"/>
      <c r="BD347" s="296"/>
      <c r="BE347" s="296"/>
      <c r="BF347" s="296"/>
      <c r="BG347" s="296"/>
      <c r="BH347" s="296"/>
      <c r="BI347" s="296"/>
      <c r="BJ347" s="296"/>
      <c r="BK347" s="296"/>
      <c r="BL347" s="296"/>
      <c r="BM347" s="296"/>
      <c r="BN347" s="296"/>
      <c r="BO347" s="296"/>
    </row>
    <row r="348" spans="18:67" s="192" customFormat="1" x14ac:dyDescent="0.2">
      <c r="R348" s="296"/>
      <c r="S348" s="300"/>
      <c r="T348" s="296"/>
      <c r="U348" s="296"/>
      <c r="V348" s="296"/>
      <c r="W348" s="296"/>
      <c r="X348" s="296"/>
      <c r="Y348" s="296"/>
      <c r="Z348" s="296"/>
      <c r="AA348" s="296"/>
      <c r="AB348" s="296"/>
      <c r="AC348" s="296"/>
      <c r="AD348" s="296"/>
      <c r="AE348" s="296"/>
      <c r="AF348" s="296"/>
      <c r="AG348" s="296"/>
      <c r="AH348" s="296"/>
      <c r="AI348" s="296"/>
      <c r="AJ348" s="296"/>
      <c r="AK348" s="296"/>
      <c r="AL348" s="296"/>
      <c r="AM348" s="296"/>
      <c r="AN348" s="296"/>
      <c r="AO348" s="296"/>
      <c r="AP348" s="296"/>
      <c r="AQ348" s="296"/>
      <c r="AR348" s="296"/>
      <c r="AS348" s="296"/>
      <c r="AT348" s="296"/>
      <c r="AU348" s="296"/>
      <c r="AV348" s="296"/>
      <c r="AW348" s="296"/>
      <c r="AX348" s="296"/>
      <c r="AY348" s="296"/>
      <c r="AZ348" s="296"/>
      <c r="BA348" s="296"/>
      <c r="BB348" s="296"/>
      <c r="BC348" s="296"/>
      <c r="BD348" s="296"/>
      <c r="BE348" s="296"/>
      <c r="BF348" s="296"/>
      <c r="BG348" s="296"/>
      <c r="BH348" s="296"/>
      <c r="BI348" s="296"/>
      <c r="BJ348" s="296"/>
      <c r="BK348" s="296"/>
      <c r="BL348" s="296"/>
      <c r="BM348" s="296"/>
      <c r="BN348" s="296"/>
      <c r="BO348" s="296"/>
    </row>
    <row r="349" spans="18:67" s="192" customFormat="1" x14ac:dyDescent="0.2">
      <c r="R349" s="296"/>
      <c r="S349" s="300"/>
      <c r="T349" s="296"/>
      <c r="U349" s="296"/>
      <c r="V349" s="296"/>
      <c r="W349" s="296"/>
      <c r="X349" s="296"/>
      <c r="Y349" s="296"/>
      <c r="Z349" s="296"/>
      <c r="AA349" s="296"/>
      <c r="AB349" s="296"/>
      <c r="AC349" s="296"/>
      <c r="AD349" s="296"/>
      <c r="AE349" s="296"/>
      <c r="AF349" s="296"/>
      <c r="AG349" s="296"/>
      <c r="AH349" s="296"/>
      <c r="AI349" s="296"/>
      <c r="AJ349" s="296"/>
      <c r="AK349" s="296"/>
      <c r="AL349" s="296"/>
      <c r="AM349" s="296"/>
      <c r="AN349" s="296"/>
      <c r="AO349" s="296"/>
      <c r="AP349" s="296"/>
      <c r="AQ349" s="296"/>
      <c r="AR349" s="296"/>
      <c r="AS349" s="296"/>
      <c r="AT349" s="296"/>
      <c r="AU349" s="296"/>
      <c r="AV349" s="296"/>
      <c r="AW349" s="296"/>
      <c r="AX349" s="296"/>
      <c r="AY349" s="296"/>
      <c r="AZ349" s="296"/>
      <c r="BA349" s="296"/>
      <c r="BB349" s="296"/>
      <c r="BC349" s="296"/>
      <c r="BD349" s="296"/>
      <c r="BE349" s="296"/>
      <c r="BF349" s="296"/>
      <c r="BG349" s="296"/>
      <c r="BH349" s="296"/>
      <c r="BI349" s="296"/>
      <c r="BJ349" s="296"/>
      <c r="BK349" s="296"/>
      <c r="BL349" s="296"/>
      <c r="BM349" s="296"/>
      <c r="BN349" s="296"/>
      <c r="BO349" s="296"/>
    </row>
    <row r="350" spans="18:67" s="192" customFormat="1" x14ac:dyDescent="0.2">
      <c r="R350" s="296"/>
      <c r="S350" s="300"/>
      <c r="T350" s="296"/>
      <c r="U350" s="296"/>
      <c r="V350" s="296"/>
      <c r="W350" s="296"/>
      <c r="X350" s="296"/>
      <c r="Y350" s="296"/>
      <c r="Z350" s="296"/>
      <c r="AA350" s="296"/>
      <c r="AB350" s="296"/>
      <c r="AC350" s="296"/>
      <c r="AD350" s="296"/>
      <c r="AE350" s="296"/>
      <c r="AF350" s="296"/>
      <c r="AG350" s="296"/>
      <c r="AH350" s="296"/>
      <c r="AI350" s="296"/>
      <c r="AJ350" s="296"/>
      <c r="AK350" s="296"/>
      <c r="AL350" s="296"/>
      <c r="AM350" s="296"/>
      <c r="AN350" s="296"/>
      <c r="AO350" s="296"/>
      <c r="AP350" s="296"/>
      <c r="AQ350" s="296"/>
      <c r="AR350" s="296"/>
      <c r="AS350" s="296"/>
      <c r="AT350" s="296"/>
      <c r="AU350" s="296"/>
      <c r="AV350" s="296"/>
      <c r="AW350" s="296"/>
      <c r="AX350" s="296"/>
      <c r="AY350" s="296"/>
      <c r="AZ350" s="296"/>
      <c r="BA350" s="296"/>
      <c r="BB350" s="296"/>
      <c r="BC350" s="296"/>
      <c r="BD350" s="296"/>
      <c r="BE350" s="296"/>
      <c r="BF350" s="296"/>
      <c r="BG350" s="296"/>
      <c r="BH350" s="296"/>
      <c r="BI350" s="296"/>
      <c r="BJ350" s="296"/>
      <c r="BK350" s="296"/>
      <c r="BL350" s="296"/>
      <c r="BM350" s="296"/>
      <c r="BN350" s="296"/>
      <c r="BO350" s="296"/>
    </row>
    <row r="351" spans="18:67" s="192" customFormat="1" x14ac:dyDescent="0.2">
      <c r="R351" s="296"/>
      <c r="S351" s="300"/>
      <c r="T351" s="296"/>
      <c r="U351" s="296"/>
      <c r="V351" s="296"/>
      <c r="W351" s="296"/>
      <c r="X351" s="296"/>
      <c r="Y351" s="296"/>
      <c r="Z351" s="296"/>
      <c r="AA351" s="296"/>
      <c r="AB351" s="296"/>
      <c r="AC351" s="296"/>
      <c r="AD351" s="296"/>
      <c r="AE351" s="296"/>
      <c r="AF351" s="296"/>
      <c r="AG351" s="296"/>
      <c r="AH351" s="296"/>
      <c r="AI351" s="296"/>
      <c r="AJ351" s="296"/>
      <c r="AK351" s="296"/>
      <c r="AL351" s="296"/>
      <c r="AM351" s="296"/>
      <c r="AN351" s="296"/>
      <c r="AO351" s="296"/>
      <c r="AP351" s="296"/>
      <c r="AQ351" s="296"/>
      <c r="AR351" s="296"/>
      <c r="AS351" s="296"/>
      <c r="AT351" s="296"/>
      <c r="AU351" s="296"/>
      <c r="AV351" s="296"/>
      <c r="AW351" s="296"/>
      <c r="AX351" s="296"/>
      <c r="AY351" s="296"/>
      <c r="AZ351" s="296"/>
      <c r="BA351" s="296"/>
      <c r="BB351" s="296"/>
      <c r="BC351" s="296"/>
      <c r="BD351" s="296"/>
      <c r="BE351" s="296"/>
      <c r="BF351" s="296"/>
      <c r="BG351" s="296"/>
      <c r="BH351" s="296"/>
      <c r="BI351" s="296"/>
      <c r="BJ351" s="296"/>
      <c r="BK351" s="296"/>
      <c r="BL351" s="296"/>
      <c r="BM351" s="296"/>
      <c r="BN351" s="296"/>
      <c r="BO351" s="296"/>
    </row>
    <row r="352" spans="18:67" s="192" customFormat="1" x14ac:dyDescent="0.2">
      <c r="R352" s="296"/>
      <c r="S352" s="300"/>
      <c r="T352" s="296"/>
      <c r="U352" s="296"/>
      <c r="V352" s="296"/>
      <c r="W352" s="296"/>
      <c r="X352" s="296"/>
      <c r="Y352" s="296"/>
      <c r="Z352" s="296"/>
      <c r="AA352" s="296"/>
      <c r="AB352" s="296"/>
      <c r="AC352" s="296"/>
      <c r="AD352" s="296"/>
      <c r="AE352" s="296"/>
      <c r="AF352" s="296"/>
      <c r="AG352" s="296"/>
      <c r="AH352" s="296"/>
      <c r="AI352" s="296"/>
      <c r="AJ352" s="296"/>
      <c r="AK352" s="296"/>
      <c r="AL352" s="296"/>
      <c r="AM352" s="296"/>
      <c r="AN352" s="296"/>
      <c r="AO352" s="296"/>
      <c r="AP352" s="296"/>
      <c r="AQ352" s="296"/>
      <c r="AR352" s="296"/>
      <c r="AS352" s="296"/>
      <c r="AT352" s="296"/>
      <c r="AU352" s="296"/>
      <c r="AV352" s="296"/>
      <c r="AW352" s="296"/>
      <c r="AX352" s="296"/>
      <c r="AY352" s="296"/>
      <c r="AZ352" s="296"/>
      <c r="BA352" s="296"/>
      <c r="BB352" s="296"/>
      <c r="BC352" s="296"/>
      <c r="BD352" s="296"/>
      <c r="BE352" s="296"/>
      <c r="BF352" s="296"/>
      <c r="BG352" s="296"/>
      <c r="BH352" s="296"/>
      <c r="BI352" s="296"/>
      <c r="BJ352" s="296"/>
      <c r="BK352" s="296"/>
      <c r="BL352" s="296"/>
      <c r="BM352" s="296"/>
      <c r="BN352" s="296"/>
      <c r="BO352" s="296"/>
    </row>
    <row r="353" spans="18:67" s="192" customFormat="1" x14ac:dyDescent="0.2">
      <c r="R353" s="296"/>
      <c r="S353" s="300"/>
      <c r="T353" s="296"/>
      <c r="U353" s="296"/>
      <c r="V353" s="296"/>
      <c r="W353" s="296"/>
      <c r="X353" s="296"/>
      <c r="Y353" s="296"/>
      <c r="Z353" s="296"/>
      <c r="AA353" s="296"/>
      <c r="AB353" s="296"/>
      <c r="AC353" s="296"/>
      <c r="AD353" s="296"/>
      <c r="AE353" s="296"/>
      <c r="AF353" s="296"/>
      <c r="AG353" s="296"/>
      <c r="AH353" s="296"/>
      <c r="AI353" s="296"/>
      <c r="AJ353" s="296"/>
      <c r="AK353" s="296"/>
      <c r="AL353" s="296"/>
      <c r="AM353" s="296"/>
      <c r="AN353" s="296"/>
      <c r="AO353" s="296"/>
      <c r="AP353" s="296"/>
      <c r="AQ353" s="296"/>
      <c r="AR353" s="296"/>
      <c r="AS353" s="296"/>
      <c r="AT353" s="296"/>
      <c r="AU353" s="296"/>
      <c r="AV353" s="296"/>
      <c r="AW353" s="296"/>
      <c r="AX353" s="296"/>
      <c r="AY353" s="296"/>
      <c r="AZ353" s="296"/>
      <c r="BA353" s="296"/>
      <c r="BB353" s="296"/>
      <c r="BC353" s="296"/>
      <c r="BD353" s="296"/>
      <c r="BE353" s="296"/>
      <c r="BF353" s="296"/>
      <c r="BG353" s="296"/>
      <c r="BH353" s="296"/>
      <c r="BI353" s="296"/>
      <c r="BJ353" s="296"/>
      <c r="BK353" s="296"/>
      <c r="BL353" s="296"/>
      <c r="BM353" s="296"/>
      <c r="BN353" s="296"/>
      <c r="BO353" s="296"/>
    </row>
    <row r="354" spans="18:67" s="192" customFormat="1" x14ac:dyDescent="0.2">
      <c r="R354" s="296"/>
      <c r="S354" s="300"/>
      <c r="T354" s="296"/>
      <c r="U354" s="296"/>
      <c r="V354" s="296"/>
      <c r="W354" s="296"/>
      <c r="X354" s="296"/>
      <c r="Y354" s="296"/>
      <c r="Z354" s="296"/>
      <c r="AA354" s="296"/>
      <c r="AB354" s="296"/>
      <c r="AC354" s="296"/>
      <c r="AD354" s="296"/>
      <c r="AE354" s="296"/>
      <c r="AF354" s="296"/>
      <c r="AG354" s="296"/>
      <c r="AH354" s="296"/>
      <c r="AI354" s="296"/>
      <c r="AJ354" s="296"/>
      <c r="AK354" s="296"/>
      <c r="AL354" s="296"/>
      <c r="AM354" s="296"/>
      <c r="AN354" s="296"/>
      <c r="AO354" s="296"/>
      <c r="AP354" s="296"/>
      <c r="AQ354" s="296"/>
      <c r="AR354" s="296"/>
      <c r="AS354" s="296"/>
      <c r="AT354" s="296"/>
      <c r="AU354" s="296"/>
      <c r="AV354" s="296"/>
      <c r="AW354" s="296"/>
      <c r="AX354" s="296"/>
      <c r="AY354" s="296"/>
      <c r="AZ354" s="296"/>
      <c r="BA354" s="296"/>
      <c r="BB354" s="296"/>
      <c r="BC354" s="296"/>
      <c r="BD354" s="296"/>
      <c r="BE354" s="296"/>
      <c r="BF354" s="296"/>
      <c r="BG354" s="296"/>
      <c r="BH354" s="296"/>
      <c r="BI354" s="296"/>
      <c r="BJ354" s="296"/>
      <c r="BK354" s="296"/>
      <c r="BL354" s="296"/>
      <c r="BM354" s="296"/>
      <c r="BN354" s="296"/>
      <c r="BO354" s="296"/>
    </row>
    <row r="355" spans="18:67" s="192" customFormat="1" x14ac:dyDescent="0.2">
      <c r="R355" s="296"/>
      <c r="S355" s="300"/>
      <c r="T355" s="296"/>
      <c r="U355" s="296"/>
      <c r="V355" s="296"/>
      <c r="W355" s="296"/>
      <c r="X355" s="296"/>
      <c r="Y355" s="296"/>
      <c r="Z355" s="296"/>
      <c r="AA355" s="296"/>
      <c r="AB355" s="296"/>
      <c r="AC355" s="296"/>
      <c r="AD355" s="296"/>
      <c r="AE355" s="296"/>
      <c r="AF355" s="296"/>
      <c r="AG355" s="296"/>
      <c r="AH355" s="296"/>
      <c r="AI355" s="296"/>
      <c r="AJ355" s="296"/>
      <c r="AK355" s="296"/>
      <c r="AL355" s="296"/>
      <c r="AM355" s="296"/>
      <c r="AN355" s="296"/>
      <c r="AO355" s="296"/>
      <c r="AP355" s="296"/>
      <c r="AQ355" s="296"/>
      <c r="AR355" s="296"/>
      <c r="AS355" s="296"/>
      <c r="AT355" s="296"/>
      <c r="AU355" s="296"/>
      <c r="AV355" s="296"/>
      <c r="AW355" s="296"/>
      <c r="AX355" s="296"/>
      <c r="AY355" s="296"/>
      <c r="AZ355" s="296"/>
      <c r="BA355" s="296"/>
      <c r="BB355" s="296"/>
      <c r="BC355" s="296"/>
      <c r="BD355" s="296"/>
      <c r="BE355" s="296"/>
      <c r="BF355" s="296"/>
      <c r="BG355" s="296"/>
      <c r="BH355" s="296"/>
      <c r="BI355" s="296"/>
      <c r="BJ355" s="296"/>
      <c r="BK355" s="296"/>
      <c r="BL355" s="296"/>
      <c r="BM355" s="296"/>
      <c r="BN355" s="296"/>
      <c r="BO355" s="296"/>
    </row>
    <row r="356" spans="18:67" s="192" customFormat="1" x14ac:dyDescent="0.2">
      <c r="R356" s="296"/>
      <c r="S356" s="300"/>
      <c r="T356" s="296"/>
      <c r="U356" s="296"/>
      <c r="V356" s="296"/>
      <c r="W356" s="296"/>
      <c r="X356" s="296"/>
      <c r="Y356" s="296"/>
      <c r="Z356" s="296"/>
      <c r="AA356" s="296"/>
      <c r="AB356" s="296"/>
      <c r="AC356" s="296"/>
      <c r="AD356" s="296"/>
      <c r="AE356" s="296"/>
      <c r="AF356" s="296"/>
      <c r="AG356" s="296"/>
      <c r="AH356" s="296"/>
      <c r="AI356" s="296"/>
      <c r="AJ356" s="296"/>
      <c r="AK356" s="296"/>
      <c r="AL356" s="296"/>
      <c r="AM356" s="296"/>
      <c r="AN356" s="296"/>
      <c r="AO356" s="296"/>
      <c r="AP356" s="296"/>
      <c r="AQ356" s="296"/>
      <c r="AR356" s="296"/>
      <c r="AS356" s="296"/>
      <c r="AT356" s="296"/>
      <c r="AU356" s="296"/>
      <c r="AV356" s="296"/>
      <c r="AW356" s="296"/>
      <c r="AX356" s="296"/>
      <c r="AY356" s="296"/>
      <c r="AZ356" s="296"/>
      <c r="BA356" s="296"/>
      <c r="BB356" s="296"/>
      <c r="BC356" s="296"/>
      <c r="BD356" s="296"/>
      <c r="BE356" s="296"/>
      <c r="BF356" s="296"/>
      <c r="BG356" s="296"/>
      <c r="BH356" s="296"/>
      <c r="BI356" s="296"/>
      <c r="BJ356" s="296"/>
      <c r="BK356" s="296"/>
      <c r="BL356" s="296"/>
      <c r="BM356" s="296"/>
      <c r="BN356" s="296"/>
      <c r="BO356" s="296"/>
    </row>
    <row r="357" spans="18:67" s="192" customFormat="1" x14ac:dyDescent="0.2">
      <c r="R357" s="296"/>
      <c r="S357" s="300"/>
      <c r="T357" s="296"/>
      <c r="U357" s="296"/>
      <c r="V357" s="296"/>
      <c r="W357" s="296"/>
      <c r="X357" s="296"/>
      <c r="Y357" s="296"/>
      <c r="Z357" s="296"/>
      <c r="AA357" s="296"/>
      <c r="AB357" s="296"/>
      <c r="AC357" s="296"/>
      <c r="AD357" s="296"/>
      <c r="AE357" s="296"/>
      <c r="AF357" s="296"/>
      <c r="AG357" s="296"/>
      <c r="AH357" s="296"/>
      <c r="AI357" s="296"/>
      <c r="AJ357" s="296"/>
      <c r="AK357" s="296"/>
      <c r="AL357" s="296"/>
      <c r="AM357" s="296"/>
      <c r="AN357" s="296"/>
      <c r="AO357" s="296"/>
      <c r="AP357" s="296"/>
      <c r="AQ357" s="296"/>
      <c r="AR357" s="296"/>
      <c r="AS357" s="296"/>
      <c r="AT357" s="296"/>
      <c r="AU357" s="296"/>
      <c r="AV357" s="296"/>
      <c r="AW357" s="296"/>
      <c r="AX357" s="296"/>
      <c r="AY357" s="296"/>
      <c r="AZ357" s="296"/>
      <c r="BA357" s="296"/>
      <c r="BB357" s="296"/>
      <c r="BC357" s="296"/>
      <c r="BD357" s="296"/>
      <c r="BE357" s="296"/>
      <c r="BF357" s="296"/>
      <c r="BG357" s="296"/>
      <c r="BH357" s="296"/>
      <c r="BI357" s="296"/>
      <c r="BJ357" s="296"/>
      <c r="BK357" s="296"/>
      <c r="BL357" s="296"/>
      <c r="BM357" s="296"/>
      <c r="BN357" s="296"/>
      <c r="BO357" s="296"/>
    </row>
    <row r="358" spans="18:67" s="192" customFormat="1" x14ac:dyDescent="0.2">
      <c r="R358" s="296"/>
      <c r="S358" s="300"/>
      <c r="T358" s="296"/>
      <c r="U358" s="296"/>
      <c r="V358" s="296"/>
      <c r="W358" s="296"/>
      <c r="X358" s="296"/>
      <c r="Y358" s="296"/>
      <c r="Z358" s="296"/>
      <c r="AA358" s="296"/>
      <c r="AB358" s="296"/>
      <c r="AC358" s="296"/>
      <c r="AD358" s="296"/>
      <c r="AE358" s="296"/>
      <c r="AF358" s="296"/>
      <c r="AG358" s="296"/>
      <c r="AH358" s="296"/>
      <c r="AI358" s="296"/>
      <c r="AJ358" s="296"/>
      <c r="AK358" s="296"/>
      <c r="AL358" s="296"/>
      <c r="AM358" s="296"/>
      <c r="AN358" s="296"/>
      <c r="AO358" s="296"/>
      <c r="AP358" s="296"/>
      <c r="AQ358" s="296"/>
      <c r="AR358" s="296"/>
      <c r="AS358" s="296"/>
      <c r="AT358" s="296"/>
      <c r="AU358" s="296"/>
      <c r="AV358" s="296"/>
      <c r="AW358" s="296"/>
      <c r="AX358" s="296"/>
      <c r="AY358" s="296"/>
      <c r="AZ358" s="296"/>
      <c r="BA358" s="296"/>
      <c r="BB358" s="296"/>
      <c r="BC358" s="296"/>
      <c r="BD358" s="296"/>
      <c r="BE358" s="296"/>
      <c r="BF358" s="296"/>
      <c r="BG358" s="296"/>
      <c r="BH358" s="296"/>
      <c r="BI358" s="296"/>
      <c r="BJ358" s="296"/>
      <c r="BK358" s="296"/>
      <c r="BL358" s="296"/>
      <c r="BM358" s="296"/>
      <c r="BN358" s="296"/>
      <c r="BO358" s="296"/>
    </row>
    <row r="359" spans="18:67" s="192" customFormat="1" x14ac:dyDescent="0.2">
      <c r="R359" s="296"/>
      <c r="S359" s="300"/>
      <c r="T359" s="296"/>
      <c r="U359" s="296"/>
      <c r="V359" s="296"/>
      <c r="W359" s="296"/>
      <c r="X359" s="296"/>
      <c r="Y359" s="296"/>
      <c r="Z359" s="296"/>
      <c r="AA359" s="296"/>
      <c r="AB359" s="296"/>
      <c r="AC359" s="296"/>
      <c r="AD359" s="296"/>
      <c r="AE359" s="296"/>
      <c r="AF359" s="296"/>
      <c r="AG359" s="296"/>
      <c r="AH359" s="296"/>
      <c r="AI359" s="296"/>
      <c r="AJ359" s="296"/>
      <c r="AK359" s="296"/>
      <c r="AL359" s="296"/>
      <c r="AM359" s="296"/>
      <c r="AN359" s="296"/>
      <c r="AO359" s="296"/>
      <c r="AP359" s="296"/>
      <c r="AQ359" s="296"/>
      <c r="AR359" s="296"/>
      <c r="AS359" s="296"/>
      <c r="AT359" s="296"/>
      <c r="AU359" s="296"/>
      <c r="AV359" s="296"/>
      <c r="AW359" s="296"/>
      <c r="AX359" s="296"/>
      <c r="AY359" s="296"/>
      <c r="AZ359" s="296"/>
      <c r="BA359" s="296"/>
      <c r="BB359" s="296"/>
      <c r="BC359" s="296"/>
      <c r="BD359" s="296"/>
      <c r="BE359" s="296"/>
      <c r="BF359" s="296"/>
      <c r="BG359" s="296"/>
      <c r="BH359" s="296"/>
      <c r="BI359" s="296"/>
      <c r="BJ359" s="296"/>
      <c r="BK359" s="296"/>
      <c r="BL359" s="296"/>
      <c r="BM359" s="296"/>
      <c r="BN359" s="296"/>
      <c r="BO359" s="296"/>
    </row>
    <row r="360" spans="18:67" s="192" customFormat="1" x14ac:dyDescent="0.2">
      <c r="R360" s="296"/>
      <c r="S360" s="300"/>
      <c r="T360" s="296"/>
      <c r="U360" s="296"/>
      <c r="V360" s="296"/>
      <c r="W360" s="296"/>
      <c r="X360" s="296"/>
      <c r="Y360" s="296"/>
      <c r="Z360" s="296"/>
      <c r="AA360" s="296"/>
      <c r="AB360" s="296"/>
      <c r="AC360" s="296"/>
      <c r="AD360" s="296"/>
      <c r="AE360" s="296"/>
      <c r="AF360" s="296"/>
      <c r="AG360" s="296"/>
      <c r="AH360" s="296"/>
      <c r="AI360" s="296"/>
      <c r="AJ360" s="296"/>
      <c r="AK360" s="296"/>
      <c r="AL360" s="296"/>
      <c r="AM360" s="296"/>
      <c r="AN360" s="296"/>
      <c r="AO360" s="296"/>
      <c r="AP360" s="296"/>
      <c r="AQ360" s="296"/>
      <c r="AR360" s="296"/>
      <c r="AS360" s="296"/>
      <c r="AT360" s="296"/>
      <c r="AU360" s="296"/>
      <c r="AV360" s="296"/>
      <c r="AW360" s="296"/>
      <c r="AX360" s="296"/>
      <c r="AY360" s="296"/>
      <c r="AZ360" s="296"/>
      <c r="BA360" s="296"/>
      <c r="BB360" s="296"/>
      <c r="BC360" s="296"/>
      <c r="BD360" s="296"/>
      <c r="BE360" s="296"/>
      <c r="BF360" s="296"/>
      <c r="BG360" s="296"/>
      <c r="BH360" s="296"/>
      <c r="BI360" s="296"/>
      <c r="BJ360" s="296"/>
      <c r="BK360" s="296"/>
      <c r="BL360" s="296"/>
      <c r="BM360" s="296"/>
      <c r="BN360" s="296"/>
      <c r="BO360" s="296"/>
    </row>
    <row r="361" spans="18:67" s="192" customFormat="1" x14ac:dyDescent="0.2">
      <c r="R361" s="296"/>
      <c r="S361" s="300"/>
      <c r="T361" s="296"/>
      <c r="U361" s="296"/>
      <c r="V361" s="296"/>
      <c r="W361" s="296"/>
      <c r="X361" s="296"/>
      <c r="Y361" s="296"/>
      <c r="Z361" s="296"/>
      <c r="AA361" s="296"/>
      <c r="AB361" s="296"/>
      <c r="AC361" s="296"/>
      <c r="AD361" s="296"/>
      <c r="AE361" s="296"/>
      <c r="AF361" s="296"/>
      <c r="AG361" s="296"/>
      <c r="AH361" s="296"/>
      <c r="AI361" s="296"/>
      <c r="AJ361" s="296"/>
      <c r="AK361" s="296"/>
      <c r="AL361" s="296"/>
      <c r="AM361" s="296"/>
      <c r="AN361" s="296"/>
      <c r="AO361" s="296"/>
      <c r="AP361" s="296"/>
      <c r="AQ361" s="296"/>
      <c r="AR361" s="296"/>
      <c r="AS361" s="296"/>
      <c r="AT361" s="296"/>
      <c r="AU361" s="296"/>
      <c r="AV361" s="296"/>
      <c r="AW361" s="296"/>
      <c r="AX361" s="296"/>
      <c r="AY361" s="296"/>
      <c r="AZ361" s="296"/>
      <c r="BA361" s="296"/>
      <c r="BB361" s="296"/>
      <c r="BC361" s="296"/>
      <c r="BD361" s="296"/>
      <c r="BE361" s="296"/>
      <c r="BF361" s="296"/>
      <c r="BG361" s="296"/>
      <c r="BH361" s="296"/>
      <c r="BI361" s="296"/>
      <c r="BJ361" s="296"/>
      <c r="BK361" s="296"/>
      <c r="BL361" s="296"/>
      <c r="BM361" s="296"/>
      <c r="BN361" s="296"/>
      <c r="BO361" s="296"/>
    </row>
    <row r="362" spans="18:67" s="192" customFormat="1" x14ac:dyDescent="0.2">
      <c r="R362" s="296"/>
      <c r="S362" s="300"/>
      <c r="T362" s="296"/>
      <c r="U362" s="296"/>
      <c r="V362" s="296"/>
      <c r="W362" s="296"/>
      <c r="X362" s="296"/>
      <c r="Y362" s="296"/>
      <c r="Z362" s="296"/>
      <c r="AA362" s="296"/>
      <c r="AB362" s="296"/>
      <c r="AC362" s="296"/>
      <c r="AD362" s="296"/>
      <c r="AE362" s="296"/>
      <c r="AF362" s="296"/>
      <c r="AG362" s="296"/>
      <c r="AH362" s="296"/>
      <c r="AI362" s="296"/>
      <c r="AJ362" s="296"/>
      <c r="AK362" s="296"/>
      <c r="AL362" s="296"/>
      <c r="AM362" s="296"/>
      <c r="AN362" s="296"/>
      <c r="AO362" s="296"/>
      <c r="AP362" s="296"/>
      <c r="AQ362" s="296"/>
      <c r="AR362" s="296"/>
      <c r="AS362" s="296"/>
      <c r="AT362" s="296"/>
      <c r="AU362" s="296"/>
      <c r="AV362" s="296"/>
      <c r="AW362" s="296"/>
      <c r="AX362" s="296"/>
      <c r="AY362" s="296"/>
      <c r="AZ362" s="296"/>
      <c r="BA362" s="296"/>
      <c r="BB362" s="296"/>
      <c r="BC362" s="296"/>
      <c r="BD362" s="296"/>
      <c r="BE362" s="296"/>
      <c r="BF362" s="296"/>
      <c r="BG362" s="296"/>
      <c r="BH362" s="296"/>
      <c r="BI362" s="296"/>
      <c r="BJ362" s="296"/>
      <c r="BK362" s="296"/>
      <c r="BL362" s="296"/>
      <c r="BM362" s="296"/>
      <c r="BN362" s="296"/>
      <c r="BO362" s="296"/>
    </row>
    <row r="363" spans="18:67" s="192" customFormat="1" x14ac:dyDescent="0.2">
      <c r="R363" s="296"/>
      <c r="S363" s="300"/>
      <c r="T363" s="296"/>
      <c r="U363" s="296"/>
      <c r="V363" s="296"/>
      <c r="W363" s="296"/>
      <c r="X363" s="296"/>
      <c r="Y363" s="296"/>
      <c r="Z363" s="296"/>
      <c r="AA363" s="296"/>
      <c r="AB363" s="296"/>
      <c r="AC363" s="296"/>
      <c r="AD363" s="296"/>
      <c r="AE363" s="296"/>
      <c r="AF363" s="296"/>
      <c r="AG363" s="296"/>
      <c r="AH363" s="296"/>
      <c r="AI363" s="296"/>
      <c r="AJ363" s="296"/>
      <c r="AK363" s="296"/>
      <c r="AL363" s="296"/>
      <c r="AM363" s="296"/>
      <c r="AN363" s="296"/>
      <c r="AO363" s="296"/>
      <c r="AP363" s="296"/>
      <c r="AQ363" s="296"/>
      <c r="AR363" s="296"/>
      <c r="AS363" s="296"/>
      <c r="AT363" s="296"/>
      <c r="AU363" s="296"/>
      <c r="AV363" s="296"/>
      <c r="AW363" s="296"/>
      <c r="AX363" s="296"/>
      <c r="AY363" s="296"/>
      <c r="AZ363" s="296"/>
      <c r="BA363" s="296"/>
      <c r="BB363" s="296"/>
      <c r="BC363" s="296"/>
      <c r="BD363" s="296"/>
      <c r="BE363" s="296"/>
      <c r="BF363" s="296"/>
      <c r="BG363" s="296"/>
      <c r="BH363" s="296"/>
      <c r="BI363" s="296"/>
      <c r="BJ363" s="296"/>
      <c r="BK363" s="296"/>
      <c r="BL363" s="296"/>
      <c r="BM363" s="296"/>
      <c r="BN363" s="296"/>
      <c r="BO363" s="296"/>
    </row>
    <row r="364" spans="18:67" s="192" customFormat="1" x14ac:dyDescent="0.2">
      <c r="R364" s="296"/>
      <c r="S364" s="300"/>
      <c r="T364" s="296"/>
      <c r="U364" s="296"/>
      <c r="V364" s="296"/>
      <c r="W364" s="296"/>
      <c r="X364" s="296"/>
      <c r="Y364" s="296"/>
      <c r="Z364" s="296"/>
      <c r="AA364" s="296"/>
      <c r="AB364" s="296"/>
      <c r="AC364" s="296"/>
      <c r="AD364" s="296"/>
      <c r="AE364" s="296"/>
      <c r="AF364" s="296"/>
      <c r="AG364" s="296"/>
      <c r="AH364" s="296"/>
      <c r="AI364" s="296"/>
      <c r="AJ364" s="296"/>
      <c r="AK364" s="296"/>
      <c r="AL364" s="296"/>
      <c r="AM364" s="296"/>
      <c r="AN364" s="296"/>
      <c r="AO364" s="296"/>
      <c r="AP364" s="296"/>
      <c r="AQ364" s="296"/>
      <c r="AR364" s="296"/>
      <c r="AS364" s="296"/>
      <c r="AT364" s="296"/>
      <c r="AU364" s="296"/>
      <c r="AV364" s="296"/>
      <c r="AW364" s="296"/>
      <c r="AX364" s="296"/>
      <c r="AY364" s="296"/>
      <c r="AZ364" s="296"/>
      <c r="BA364" s="296"/>
      <c r="BB364" s="296"/>
      <c r="BC364" s="296"/>
      <c r="BD364" s="296"/>
      <c r="BE364" s="296"/>
      <c r="BF364" s="296"/>
      <c r="BG364" s="296"/>
      <c r="BH364" s="296"/>
      <c r="BI364" s="296"/>
      <c r="BJ364" s="296"/>
      <c r="BK364" s="296"/>
      <c r="BL364" s="296"/>
      <c r="BM364" s="296"/>
      <c r="BN364" s="296"/>
      <c r="BO364" s="296"/>
    </row>
    <row r="365" spans="18:67" s="192" customFormat="1" x14ac:dyDescent="0.2">
      <c r="R365" s="296"/>
      <c r="S365" s="300"/>
      <c r="T365" s="296"/>
      <c r="U365" s="296"/>
      <c r="V365" s="296"/>
      <c r="W365" s="296"/>
      <c r="X365" s="296"/>
      <c r="Y365" s="296"/>
      <c r="Z365" s="296"/>
      <c r="AA365" s="296"/>
      <c r="AB365" s="296"/>
      <c r="AC365" s="296"/>
      <c r="AD365" s="296"/>
      <c r="AE365" s="296"/>
      <c r="AF365" s="296"/>
      <c r="AG365" s="296"/>
      <c r="AH365" s="296"/>
      <c r="AI365" s="296"/>
      <c r="AJ365" s="296"/>
      <c r="AK365" s="296"/>
      <c r="AL365" s="296"/>
      <c r="AM365" s="296"/>
      <c r="AN365" s="296"/>
      <c r="AO365" s="296"/>
      <c r="AP365" s="296"/>
      <c r="AQ365" s="296"/>
      <c r="AR365" s="296"/>
      <c r="AS365" s="296"/>
      <c r="AT365" s="296"/>
      <c r="AU365" s="296"/>
      <c r="AV365" s="296"/>
      <c r="AW365" s="296"/>
      <c r="AX365" s="296"/>
      <c r="AY365" s="296"/>
      <c r="AZ365" s="296"/>
      <c r="BA365" s="296"/>
      <c r="BB365" s="296"/>
      <c r="BC365" s="296"/>
      <c r="BD365" s="296"/>
      <c r="BE365" s="296"/>
      <c r="BF365" s="296"/>
      <c r="BG365" s="296"/>
      <c r="BH365" s="296"/>
      <c r="BI365" s="296"/>
      <c r="BJ365" s="296"/>
      <c r="BK365" s="296"/>
      <c r="BL365" s="296"/>
      <c r="BM365" s="296"/>
      <c r="BN365" s="296"/>
      <c r="BO365" s="296"/>
    </row>
    <row r="366" spans="18:67" s="192" customFormat="1" x14ac:dyDescent="0.2">
      <c r="R366" s="296"/>
      <c r="S366" s="300"/>
      <c r="T366" s="296"/>
      <c r="U366" s="296"/>
      <c r="V366" s="296"/>
      <c r="W366" s="296"/>
      <c r="X366" s="296"/>
      <c r="Y366" s="296"/>
      <c r="Z366" s="296"/>
      <c r="AA366" s="296"/>
      <c r="AB366" s="296"/>
      <c r="AC366" s="296"/>
      <c r="AD366" s="296"/>
      <c r="AE366" s="296"/>
      <c r="AF366" s="296"/>
      <c r="AG366" s="296"/>
      <c r="AH366" s="296"/>
      <c r="AI366" s="296"/>
      <c r="AJ366" s="296"/>
      <c r="AK366" s="296"/>
      <c r="AL366" s="296"/>
      <c r="AM366" s="296"/>
      <c r="AN366" s="296"/>
      <c r="AO366" s="296"/>
      <c r="AP366" s="296"/>
      <c r="AQ366" s="296"/>
      <c r="AR366" s="296"/>
      <c r="AS366" s="296"/>
      <c r="AT366" s="296"/>
      <c r="AU366" s="296"/>
      <c r="AV366" s="296"/>
      <c r="AW366" s="296"/>
      <c r="AX366" s="296"/>
      <c r="AY366" s="296"/>
      <c r="AZ366" s="296"/>
      <c r="BA366" s="296"/>
      <c r="BB366" s="296"/>
      <c r="BC366" s="296"/>
      <c r="BD366" s="296"/>
      <c r="BE366" s="296"/>
      <c r="BF366" s="296"/>
      <c r="BG366" s="296"/>
      <c r="BH366" s="296"/>
      <c r="BI366" s="296"/>
      <c r="BJ366" s="296"/>
      <c r="BK366" s="296"/>
      <c r="BL366" s="296"/>
      <c r="BM366" s="296"/>
      <c r="BN366" s="296"/>
      <c r="BO366" s="296"/>
    </row>
    <row r="367" spans="18:67" s="192" customFormat="1" x14ac:dyDescent="0.2">
      <c r="R367" s="296"/>
      <c r="S367" s="300"/>
      <c r="T367" s="296"/>
      <c r="U367" s="296"/>
      <c r="V367" s="296"/>
      <c r="W367" s="296"/>
      <c r="X367" s="296"/>
      <c r="Y367" s="296"/>
      <c r="Z367" s="296"/>
      <c r="AA367" s="296"/>
      <c r="AB367" s="296"/>
      <c r="AC367" s="296"/>
      <c r="AD367" s="296"/>
      <c r="AE367" s="296"/>
      <c r="AF367" s="296"/>
      <c r="AG367" s="296"/>
      <c r="AH367" s="296"/>
      <c r="AI367" s="296"/>
      <c r="AJ367" s="296"/>
      <c r="AK367" s="296"/>
      <c r="AL367" s="296"/>
      <c r="AM367" s="296"/>
      <c r="AN367" s="296"/>
      <c r="AO367" s="296"/>
      <c r="AP367" s="296"/>
      <c r="AQ367" s="296"/>
      <c r="AR367" s="296"/>
      <c r="AS367" s="296"/>
      <c r="AT367" s="296"/>
      <c r="AU367" s="296"/>
      <c r="AV367" s="296"/>
      <c r="AW367" s="296"/>
      <c r="AX367" s="296"/>
      <c r="AY367" s="296"/>
      <c r="AZ367" s="296"/>
      <c r="BA367" s="296"/>
      <c r="BB367" s="296"/>
      <c r="BC367" s="296"/>
      <c r="BD367" s="296"/>
      <c r="BE367" s="296"/>
      <c r="BF367" s="296"/>
      <c r="BG367" s="296"/>
      <c r="BH367" s="296"/>
      <c r="BI367" s="296"/>
      <c r="BJ367" s="296"/>
      <c r="BK367" s="296"/>
      <c r="BL367" s="296"/>
      <c r="BM367" s="296"/>
      <c r="BN367" s="296"/>
      <c r="BO367" s="296"/>
    </row>
    <row r="368" spans="18:67" s="192" customFormat="1" x14ac:dyDescent="0.2">
      <c r="R368" s="296"/>
      <c r="S368" s="300"/>
      <c r="T368" s="296"/>
      <c r="U368" s="296"/>
      <c r="V368" s="296"/>
      <c r="W368" s="296"/>
      <c r="X368" s="296"/>
      <c r="Y368" s="296"/>
      <c r="Z368" s="296"/>
      <c r="AA368" s="296"/>
      <c r="AB368" s="296"/>
      <c r="AC368" s="296"/>
      <c r="AD368" s="296"/>
      <c r="AE368" s="296"/>
      <c r="AF368" s="296"/>
      <c r="AG368" s="296"/>
      <c r="AH368" s="296"/>
      <c r="AI368" s="296"/>
      <c r="AJ368" s="296"/>
      <c r="AK368" s="296"/>
      <c r="AL368" s="296"/>
      <c r="AM368" s="296"/>
      <c r="AN368" s="296"/>
      <c r="AO368" s="296"/>
      <c r="AP368" s="296"/>
      <c r="AQ368" s="296"/>
      <c r="AR368" s="296"/>
      <c r="AS368" s="296"/>
      <c r="AT368" s="296"/>
      <c r="AU368" s="296"/>
      <c r="AV368" s="296"/>
      <c r="AW368" s="296"/>
      <c r="AX368" s="296"/>
      <c r="AY368" s="296"/>
      <c r="AZ368" s="296"/>
      <c r="BA368" s="296"/>
      <c r="BB368" s="296"/>
      <c r="BC368" s="296"/>
      <c r="BD368" s="296"/>
      <c r="BE368" s="296"/>
      <c r="BF368" s="296"/>
      <c r="BG368" s="296"/>
      <c r="BH368" s="296"/>
      <c r="BI368" s="296"/>
      <c r="BJ368" s="296"/>
      <c r="BK368" s="296"/>
      <c r="BL368" s="296"/>
      <c r="BM368" s="296"/>
      <c r="BN368" s="296"/>
      <c r="BO368" s="296"/>
    </row>
    <row r="369" spans="18:67" s="192" customFormat="1" x14ac:dyDescent="0.2">
      <c r="R369" s="296"/>
      <c r="S369" s="300"/>
      <c r="T369" s="296"/>
      <c r="U369" s="296"/>
      <c r="V369" s="296"/>
      <c r="W369" s="296"/>
      <c r="X369" s="296"/>
      <c r="Y369" s="296"/>
      <c r="Z369" s="296"/>
      <c r="AA369" s="296"/>
      <c r="AB369" s="296"/>
      <c r="AC369" s="296"/>
      <c r="AD369" s="296"/>
      <c r="AE369" s="296"/>
      <c r="AF369" s="296"/>
      <c r="AG369" s="296"/>
      <c r="AH369" s="296"/>
      <c r="AI369" s="296"/>
      <c r="AJ369" s="296"/>
      <c r="AK369" s="296"/>
      <c r="AL369" s="296"/>
      <c r="AM369" s="296"/>
      <c r="AN369" s="296"/>
      <c r="AO369" s="296"/>
      <c r="AP369" s="296"/>
      <c r="AQ369" s="296"/>
      <c r="AR369" s="296"/>
      <c r="AS369" s="296"/>
      <c r="AT369" s="296"/>
      <c r="AU369" s="296"/>
      <c r="AV369" s="296"/>
      <c r="AW369" s="296"/>
      <c r="AX369" s="296"/>
      <c r="AY369" s="296"/>
      <c r="AZ369" s="296"/>
      <c r="BA369" s="296"/>
      <c r="BB369" s="296"/>
      <c r="BC369" s="296"/>
      <c r="BD369" s="296"/>
      <c r="BE369" s="296"/>
      <c r="BF369" s="296"/>
      <c r="BG369" s="296"/>
      <c r="BH369" s="296"/>
      <c r="BI369" s="296"/>
      <c r="BJ369" s="296"/>
      <c r="BK369" s="296"/>
      <c r="BL369" s="296"/>
      <c r="BM369" s="296"/>
      <c r="BN369" s="296"/>
      <c r="BO369" s="296"/>
    </row>
    <row r="370" spans="18:67" s="192" customFormat="1" x14ac:dyDescent="0.2">
      <c r="R370" s="296"/>
      <c r="S370" s="300"/>
      <c r="T370" s="296"/>
      <c r="U370" s="296"/>
      <c r="V370" s="296"/>
      <c r="W370" s="296"/>
      <c r="X370" s="296"/>
      <c r="Y370" s="296"/>
      <c r="Z370" s="296"/>
      <c r="AA370" s="296"/>
      <c r="AB370" s="296"/>
      <c r="AC370" s="296"/>
      <c r="AD370" s="296"/>
      <c r="AE370" s="296"/>
      <c r="AF370" s="296"/>
      <c r="AG370" s="296"/>
      <c r="AH370" s="296"/>
      <c r="AI370" s="296"/>
      <c r="AJ370" s="296"/>
      <c r="AK370" s="296"/>
      <c r="AL370" s="296"/>
      <c r="AM370" s="296"/>
      <c r="AN370" s="296"/>
      <c r="AO370" s="296"/>
      <c r="AP370" s="296"/>
      <c r="AQ370" s="296"/>
      <c r="AR370" s="296"/>
      <c r="AS370" s="296"/>
      <c r="AT370" s="296"/>
      <c r="AU370" s="296"/>
      <c r="AV370" s="296"/>
      <c r="AW370" s="296"/>
      <c r="AX370" s="296"/>
      <c r="AY370" s="296"/>
      <c r="AZ370" s="296"/>
      <c r="BA370" s="296"/>
      <c r="BB370" s="296"/>
      <c r="BC370" s="296"/>
      <c r="BD370" s="296"/>
      <c r="BE370" s="296"/>
      <c r="BF370" s="296"/>
      <c r="BG370" s="296"/>
      <c r="BH370" s="296"/>
      <c r="BI370" s="296"/>
      <c r="BJ370" s="296"/>
      <c r="BK370" s="296"/>
      <c r="BL370" s="296"/>
      <c r="BM370" s="296"/>
      <c r="BN370" s="296"/>
      <c r="BO370" s="296"/>
    </row>
    <row r="371" spans="18:67" s="192" customFormat="1" x14ac:dyDescent="0.2">
      <c r="R371" s="296"/>
      <c r="S371" s="300"/>
      <c r="T371" s="296"/>
      <c r="U371" s="296"/>
      <c r="V371" s="296"/>
      <c r="W371" s="296"/>
      <c r="X371" s="296"/>
      <c r="Y371" s="296"/>
      <c r="Z371" s="296"/>
      <c r="AA371" s="296"/>
      <c r="AB371" s="296"/>
      <c r="AC371" s="296"/>
      <c r="AD371" s="296"/>
      <c r="AE371" s="296"/>
      <c r="AF371" s="296"/>
      <c r="AG371" s="296"/>
      <c r="AH371" s="296"/>
      <c r="AI371" s="296"/>
      <c r="AJ371" s="296"/>
      <c r="AK371" s="296"/>
      <c r="AL371" s="296"/>
      <c r="AM371" s="296"/>
      <c r="AN371" s="296"/>
      <c r="AO371" s="296"/>
      <c r="AP371" s="296"/>
      <c r="AQ371" s="296"/>
      <c r="AR371" s="296"/>
      <c r="AS371" s="296"/>
      <c r="AT371" s="296"/>
      <c r="AU371" s="296"/>
      <c r="AV371" s="296"/>
      <c r="AW371" s="296"/>
      <c r="AX371" s="296"/>
      <c r="AY371" s="296"/>
      <c r="AZ371" s="296"/>
      <c r="BA371" s="296"/>
      <c r="BB371" s="296"/>
      <c r="BC371" s="296"/>
      <c r="BD371" s="296"/>
      <c r="BE371" s="296"/>
      <c r="BF371" s="296"/>
      <c r="BG371" s="296"/>
      <c r="BH371" s="296"/>
      <c r="BI371" s="296"/>
      <c r="BJ371" s="296"/>
      <c r="BK371" s="296"/>
      <c r="BL371" s="296"/>
      <c r="BM371" s="296"/>
      <c r="BN371" s="296"/>
      <c r="BO371" s="296"/>
    </row>
    <row r="372" spans="18:67" s="192" customFormat="1" x14ac:dyDescent="0.2">
      <c r="R372" s="296"/>
      <c r="S372" s="300"/>
      <c r="T372" s="296"/>
      <c r="U372" s="296"/>
      <c r="V372" s="296"/>
      <c r="W372" s="296"/>
      <c r="X372" s="296"/>
      <c r="Y372" s="296"/>
      <c r="Z372" s="296"/>
      <c r="AA372" s="296"/>
      <c r="AB372" s="296"/>
      <c r="AC372" s="296"/>
      <c r="AD372" s="296"/>
      <c r="AE372" s="296"/>
      <c r="AF372" s="296"/>
      <c r="AG372" s="296"/>
      <c r="AH372" s="296"/>
      <c r="AI372" s="296"/>
      <c r="AJ372" s="296"/>
      <c r="AK372" s="296"/>
      <c r="AL372" s="296"/>
      <c r="AM372" s="296"/>
      <c r="AN372" s="296"/>
      <c r="AO372" s="296"/>
      <c r="AP372" s="296"/>
      <c r="AQ372" s="296"/>
      <c r="AR372" s="296"/>
      <c r="AS372" s="296"/>
      <c r="AT372" s="296"/>
      <c r="AU372" s="296"/>
      <c r="AV372" s="296"/>
      <c r="AW372" s="296"/>
      <c r="AX372" s="296"/>
      <c r="AY372" s="296"/>
      <c r="AZ372" s="296"/>
      <c r="BA372" s="296"/>
      <c r="BB372" s="296"/>
      <c r="BC372" s="296"/>
      <c r="BD372" s="296"/>
      <c r="BE372" s="296"/>
      <c r="BF372" s="296"/>
      <c r="BG372" s="296"/>
      <c r="BH372" s="296"/>
      <c r="BI372" s="296"/>
      <c r="BJ372" s="296"/>
      <c r="BK372" s="296"/>
      <c r="BL372" s="296"/>
      <c r="BM372" s="296"/>
      <c r="BN372" s="296"/>
      <c r="BO372" s="296"/>
    </row>
    <row r="373" spans="18:67" s="192" customFormat="1" x14ac:dyDescent="0.2">
      <c r="R373" s="296"/>
      <c r="S373" s="300"/>
      <c r="T373" s="296"/>
      <c r="U373" s="296"/>
      <c r="V373" s="296"/>
      <c r="W373" s="296"/>
      <c r="X373" s="296"/>
      <c r="Y373" s="296"/>
      <c r="Z373" s="296"/>
      <c r="AA373" s="296"/>
      <c r="AB373" s="296"/>
      <c r="AC373" s="296"/>
      <c r="AD373" s="296"/>
      <c r="AE373" s="296"/>
      <c r="AF373" s="296"/>
      <c r="AG373" s="296"/>
      <c r="AH373" s="296"/>
      <c r="AI373" s="296"/>
      <c r="AJ373" s="296"/>
      <c r="AK373" s="296"/>
      <c r="AL373" s="296"/>
      <c r="AM373" s="296"/>
      <c r="AN373" s="296"/>
      <c r="AO373" s="296"/>
      <c r="AP373" s="296"/>
      <c r="AQ373" s="296"/>
      <c r="AR373" s="296"/>
      <c r="AS373" s="296"/>
      <c r="AT373" s="296"/>
      <c r="AU373" s="296"/>
      <c r="AV373" s="296"/>
      <c r="AW373" s="296"/>
      <c r="AX373" s="296"/>
      <c r="AY373" s="296"/>
      <c r="AZ373" s="296"/>
      <c r="BA373" s="296"/>
      <c r="BB373" s="296"/>
      <c r="BC373" s="296"/>
      <c r="BD373" s="296"/>
      <c r="BE373" s="296"/>
      <c r="BF373" s="296"/>
      <c r="BG373" s="296"/>
      <c r="BH373" s="296"/>
      <c r="BI373" s="296"/>
      <c r="BJ373" s="296"/>
      <c r="BK373" s="296"/>
      <c r="BL373" s="296"/>
      <c r="BM373" s="296"/>
      <c r="BN373" s="296"/>
      <c r="BO373" s="296"/>
    </row>
    <row r="374" spans="18:67" s="192" customFormat="1" x14ac:dyDescent="0.2">
      <c r="R374" s="296"/>
      <c r="S374" s="300"/>
      <c r="T374" s="296"/>
      <c r="U374" s="296"/>
      <c r="V374" s="296"/>
      <c r="W374" s="296"/>
      <c r="X374" s="296"/>
      <c r="Y374" s="296"/>
      <c r="Z374" s="296"/>
      <c r="AA374" s="296"/>
      <c r="AB374" s="296"/>
      <c r="AC374" s="296"/>
      <c r="AD374" s="296"/>
      <c r="AE374" s="296"/>
      <c r="AF374" s="296"/>
      <c r="AG374" s="296"/>
      <c r="AH374" s="296"/>
      <c r="AI374" s="296"/>
      <c r="AJ374" s="296"/>
      <c r="AK374" s="296"/>
      <c r="AL374" s="296"/>
      <c r="AM374" s="296"/>
      <c r="AN374" s="296"/>
      <c r="AO374" s="296"/>
      <c r="AP374" s="296"/>
      <c r="AQ374" s="296"/>
      <c r="AR374" s="296"/>
      <c r="AS374" s="296"/>
      <c r="AT374" s="296"/>
      <c r="AU374" s="296"/>
      <c r="AV374" s="296"/>
      <c r="AW374" s="296"/>
      <c r="AX374" s="296"/>
      <c r="AY374" s="296"/>
      <c r="AZ374" s="296"/>
      <c r="BA374" s="296"/>
      <c r="BB374" s="296"/>
      <c r="BC374" s="296"/>
      <c r="BD374" s="296"/>
      <c r="BE374" s="296"/>
      <c r="BF374" s="296"/>
      <c r="BG374" s="296"/>
      <c r="BH374" s="296"/>
      <c r="BI374" s="296"/>
      <c r="BJ374" s="296"/>
      <c r="BK374" s="296"/>
      <c r="BL374" s="296"/>
      <c r="BM374" s="296"/>
      <c r="BN374" s="296"/>
      <c r="BO374" s="296"/>
    </row>
    <row r="375" spans="18:67" s="192" customFormat="1" x14ac:dyDescent="0.2">
      <c r="R375" s="296"/>
      <c r="S375" s="300"/>
      <c r="T375" s="296"/>
      <c r="U375" s="296"/>
      <c r="V375" s="296"/>
      <c r="W375" s="296"/>
      <c r="X375" s="296"/>
      <c r="Y375" s="296"/>
      <c r="Z375" s="296"/>
      <c r="AA375" s="296"/>
      <c r="AB375" s="296"/>
      <c r="AC375" s="296"/>
      <c r="AD375" s="296"/>
      <c r="AE375" s="296"/>
      <c r="AF375" s="296"/>
      <c r="AG375" s="296"/>
      <c r="AH375" s="296"/>
      <c r="AI375" s="296"/>
      <c r="AJ375" s="296"/>
      <c r="AK375" s="296"/>
      <c r="AL375" s="296"/>
      <c r="AM375" s="296"/>
      <c r="AN375" s="296"/>
      <c r="AO375" s="296"/>
      <c r="AP375" s="296"/>
      <c r="AQ375" s="296"/>
      <c r="AR375" s="296"/>
      <c r="AS375" s="296"/>
      <c r="AT375" s="296"/>
      <c r="AU375" s="296"/>
      <c r="AV375" s="296"/>
      <c r="AW375" s="296"/>
      <c r="AX375" s="296"/>
      <c r="AY375" s="296"/>
      <c r="AZ375" s="296"/>
      <c r="BA375" s="296"/>
      <c r="BB375" s="296"/>
      <c r="BC375" s="296"/>
      <c r="BD375" s="296"/>
      <c r="BE375" s="296"/>
      <c r="BF375" s="296"/>
      <c r="BG375" s="296"/>
      <c r="BH375" s="296"/>
      <c r="BI375" s="296"/>
      <c r="BJ375" s="296"/>
      <c r="BK375" s="296"/>
      <c r="BL375" s="296"/>
      <c r="BM375" s="296"/>
      <c r="BN375" s="296"/>
      <c r="BO375" s="296"/>
    </row>
    <row r="376" spans="18:67" s="192" customFormat="1" x14ac:dyDescent="0.2">
      <c r="R376" s="296"/>
      <c r="S376" s="300"/>
      <c r="T376" s="296"/>
      <c r="U376" s="296"/>
      <c r="V376" s="296"/>
      <c r="W376" s="296"/>
      <c r="X376" s="296"/>
      <c r="Y376" s="296"/>
      <c r="Z376" s="296"/>
      <c r="AA376" s="296"/>
      <c r="AB376" s="296"/>
      <c r="AC376" s="296"/>
      <c r="AD376" s="296"/>
      <c r="AE376" s="296"/>
      <c r="AF376" s="296"/>
      <c r="AG376" s="296"/>
      <c r="AH376" s="296"/>
      <c r="AI376" s="296"/>
      <c r="AJ376" s="296"/>
      <c r="AK376" s="296"/>
      <c r="AL376" s="296"/>
      <c r="AM376" s="296"/>
      <c r="AN376" s="296"/>
      <c r="AO376" s="296"/>
      <c r="AP376" s="296"/>
      <c r="AQ376" s="296"/>
      <c r="AR376" s="296"/>
      <c r="AS376" s="296"/>
      <c r="AT376" s="296"/>
      <c r="AU376" s="296"/>
      <c r="AV376" s="296"/>
      <c r="AW376" s="296"/>
      <c r="AX376" s="296"/>
      <c r="AY376" s="296"/>
      <c r="AZ376" s="296"/>
      <c r="BA376" s="296"/>
      <c r="BB376" s="296"/>
      <c r="BC376" s="296"/>
      <c r="BD376" s="296"/>
      <c r="BE376" s="296"/>
      <c r="BF376" s="296"/>
      <c r="BG376" s="296"/>
      <c r="BH376" s="296"/>
      <c r="BI376" s="296"/>
      <c r="BJ376" s="296"/>
      <c r="BK376" s="296"/>
      <c r="BL376" s="296"/>
      <c r="BM376" s="296"/>
      <c r="BN376" s="296"/>
      <c r="BO376" s="296"/>
    </row>
    <row r="377" spans="18:67" s="192" customFormat="1" x14ac:dyDescent="0.2">
      <c r="R377" s="296"/>
      <c r="S377" s="300"/>
      <c r="T377" s="296"/>
      <c r="U377" s="296"/>
      <c r="V377" s="296"/>
      <c r="W377" s="296"/>
      <c r="X377" s="296"/>
      <c r="Y377" s="296"/>
      <c r="Z377" s="296"/>
      <c r="AA377" s="296"/>
      <c r="AB377" s="296"/>
      <c r="AC377" s="296"/>
      <c r="AD377" s="296"/>
      <c r="AE377" s="296"/>
      <c r="AF377" s="296"/>
      <c r="AG377" s="296"/>
      <c r="AH377" s="296"/>
      <c r="AI377" s="296"/>
      <c r="AJ377" s="296"/>
      <c r="AK377" s="296"/>
      <c r="AL377" s="296"/>
      <c r="AM377" s="296"/>
      <c r="AN377" s="296"/>
      <c r="AO377" s="296"/>
      <c r="AP377" s="296"/>
      <c r="AQ377" s="296"/>
      <c r="AR377" s="296"/>
      <c r="AS377" s="296"/>
      <c r="AT377" s="296"/>
      <c r="AU377" s="296"/>
      <c r="AV377" s="296"/>
      <c r="AW377" s="296"/>
      <c r="AX377" s="296"/>
      <c r="AY377" s="296"/>
      <c r="AZ377" s="296"/>
      <c r="BA377" s="296"/>
      <c r="BB377" s="296"/>
      <c r="BC377" s="296"/>
      <c r="BD377" s="296"/>
      <c r="BE377" s="296"/>
      <c r="BF377" s="296"/>
      <c r="BG377" s="296"/>
      <c r="BH377" s="296"/>
      <c r="BI377" s="296"/>
      <c r="BJ377" s="296"/>
      <c r="BK377" s="296"/>
      <c r="BL377" s="296"/>
      <c r="BM377" s="296"/>
      <c r="BN377" s="296"/>
      <c r="BO377" s="296"/>
    </row>
    <row r="378" spans="18:67" s="192" customFormat="1" x14ac:dyDescent="0.2">
      <c r="R378" s="296"/>
      <c r="S378" s="300"/>
      <c r="T378" s="296"/>
      <c r="U378" s="296"/>
      <c r="V378" s="296"/>
      <c r="W378" s="296"/>
      <c r="X378" s="296"/>
      <c r="Y378" s="296"/>
      <c r="Z378" s="296"/>
      <c r="AA378" s="296"/>
      <c r="AB378" s="296"/>
      <c r="AC378" s="296"/>
      <c r="AD378" s="296"/>
      <c r="AE378" s="296"/>
      <c r="AF378" s="296"/>
      <c r="AG378" s="296"/>
      <c r="AH378" s="296"/>
      <c r="AI378" s="296"/>
      <c r="AJ378" s="296"/>
      <c r="AK378" s="296"/>
      <c r="AL378" s="296"/>
      <c r="AM378" s="296"/>
      <c r="AN378" s="296"/>
      <c r="AO378" s="296"/>
      <c r="AP378" s="296"/>
      <c r="AQ378" s="296"/>
      <c r="AR378" s="296"/>
      <c r="AS378" s="296"/>
      <c r="AT378" s="296"/>
      <c r="AU378" s="296"/>
      <c r="AV378" s="296"/>
      <c r="AW378" s="296"/>
      <c r="AX378" s="296"/>
      <c r="AY378" s="296"/>
      <c r="AZ378" s="296"/>
      <c r="BA378" s="296"/>
      <c r="BB378" s="296"/>
      <c r="BC378" s="296"/>
      <c r="BD378" s="296"/>
      <c r="BE378" s="296"/>
      <c r="BF378" s="296"/>
      <c r="BG378" s="296"/>
      <c r="BH378" s="296"/>
      <c r="BI378" s="296"/>
      <c r="BJ378" s="296"/>
      <c r="BK378" s="296"/>
      <c r="BL378" s="296"/>
      <c r="BM378" s="296"/>
      <c r="BN378" s="296"/>
      <c r="BO378" s="296"/>
    </row>
    <row r="379" spans="18:67" s="192" customFormat="1" x14ac:dyDescent="0.2">
      <c r="R379" s="296"/>
      <c r="S379" s="300"/>
      <c r="T379" s="296"/>
      <c r="U379" s="296"/>
      <c r="V379" s="296"/>
      <c r="W379" s="296"/>
      <c r="X379" s="296"/>
      <c r="Y379" s="296"/>
      <c r="Z379" s="296"/>
      <c r="AA379" s="296"/>
      <c r="AB379" s="296"/>
      <c r="AC379" s="296"/>
      <c r="AD379" s="296"/>
      <c r="AE379" s="296"/>
      <c r="AF379" s="296"/>
      <c r="AG379" s="296"/>
      <c r="AH379" s="296"/>
      <c r="AI379" s="296"/>
      <c r="AJ379" s="296"/>
      <c r="AK379" s="296"/>
      <c r="AL379" s="296"/>
      <c r="AM379" s="296"/>
      <c r="AN379" s="296"/>
      <c r="AO379" s="296"/>
      <c r="AP379" s="296"/>
      <c r="AQ379" s="296"/>
      <c r="AR379" s="296"/>
      <c r="AS379" s="296"/>
      <c r="AT379" s="296"/>
      <c r="AU379" s="296"/>
      <c r="AV379" s="296"/>
      <c r="AW379" s="296"/>
      <c r="AX379" s="296"/>
      <c r="AY379" s="296"/>
      <c r="AZ379" s="296"/>
      <c r="BA379" s="296"/>
      <c r="BB379" s="296"/>
      <c r="BC379" s="296"/>
      <c r="BD379" s="296"/>
      <c r="BE379" s="296"/>
      <c r="BF379" s="296"/>
      <c r="BG379" s="296"/>
      <c r="BH379" s="296"/>
      <c r="BI379" s="296"/>
      <c r="BJ379" s="296"/>
      <c r="BK379" s="296"/>
      <c r="BL379" s="296"/>
      <c r="BM379" s="296"/>
      <c r="BN379" s="296"/>
      <c r="BO379" s="296"/>
    </row>
    <row r="380" spans="18:67" s="192" customFormat="1" x14ac:dyDescent="0.2">
      <c r="R380" s="296"/>
      <c r="S380" s="300"/>
      <c r="T380" s="296"/>
      <c r="U380" s="296"/>
      <c r="V380" s="296"/>
      <c r="W380" s="296"/>
      <c r="X380" s="296"/>
      <c r="Y380" s="296"/>
      <c r="Z380" s="296"/>
      <c r="AA380" s="296"/>
      <c r="AB380" s="296"/>
      <c r="AC380" s="296"/>
      <c r="AD380" s="296"/>
      <c r="AE380" s="296"/>
      <c r="AF380" s="296"/>
      <c r="AG380" s="296"/>
      <c r="AH380" s="296"/>
      <c r="AI380" s="296"/>
      <c r="AJ380" s="296"/>
      <c r="AK380" s="296"/>
      <c r="AL380" s="296"/>
      <c r="AM380" s="296"/>
      <c r="AN380" s="296"/>
      <c r="AO380" s="296"/>
      <c r="AP380" s="296"/>
      <c r="AQ380" s="296"/>
      <c r="AR380" s="296"/>
      <c r="AS380" s="296"/>
      <c r="AT380" s="296"/>
      <c r="AU380" s="296"/>
      <c r="AV380" s="296"/>
      <c r="AW380" s="296"/>
      <c r="AX380" s="296"/>
      <c r="AY380" s="296"/>
      <c r="AZ380" s="296"/>
      <c r="BA380" s="296"/>
      <c r="BB380" s="296"/>
      <c r="BC380" s="296"/>
      <c r="BD380" s="296"/>
      <c r="BE380" s="296"/>
      <c r="BF380" s="296"/>
      <c r="BG380" s="296"/>
      <c r="BH380" s="296"/>
      <c r="BI380" s="296"/>
      <c r="BJ380" s="296"/>
      <c r="BK380" s="296"/>
      <c r="BL380" s="296"/>
      <c r="BM380" s="296"/>
      <c r="BN380" s="296"/>
      <c r="BO380" s="296"/>
    </row>
    <row r="381" spans="18:67" s="192" customFormat="1" x14ac:dyDescent="0.2">
      <c r="R381" s="296"/>
      <c r="S381" s="300"/>
      <c r="T381" s="296"/>
      <c r="U381" s="296"/>
      <c r="V381" s="296"/>
      <c r="W381" s="296"/>
      <c r="X381" s="296"/>
      <c r="Y381" s="296"/>
      <c r="Z381" s="296"/>
      <c r="AA381" s="296"/>
      <c r="AB381" s="296"/>
      <c r="AC381" s="296"/>
      <c r="AD381" s="296"/>
      <c r="AE381" s="296"/>
      <c r="AF381" s="296"/>
      <c r="AG381" s="296"/>
      <c r="AH381" s="296"/>
      <c r="AI381" s="296"/>
      <c r="AJ381" s="296"/>
      <c r="AK381" s="296"/>
      <c r="AL381" s="296"/>
      <c r="AM381" s="296"/>
      <c r="AN381" s="296"/>
      <c r="AO381" s="296"/>
      <c r="AP381" s="296"/>
      <c r="AQ381" s="296"/>
      <c r="AR381" s="296"/>
      <c r="AS381" s="296"/>
      <c r="AT381" s="296"/>
      <c r="AU381" s="296"/>
      <c r="AV381" s="296"/>
      <c r="AW381" s="296"/>
      <c r="AX381" s="296"/>
      <c r="AY381" s="296"/>
      <c r="AZ381" s="296"/>
      <c r="BA381" s="296"/>
      <c r="BB381" s="296"/>
      <c r="BC381" s="296"/>
      <c r="BD381" s="296"/>
      <c r="BE381" s="296"/>
      <c r="BF381" s="296"/>
      <c r="BG381" s="296"/>
      <c r="BH381" s="296"/>
      <c r="BI381" s="296"/>
      <c r="BJ381" s="296"/>
      <c r="BK381" s="296"/>
      <c r="BL381" s="296"/>
      <c r="BM381" s="296"/>
      <c r="BN381" s="296"/>
      <c r="BO381" s="296"/>
    </row>
    <row r="382" spans="18:67" s="192" customFormat="1" x14ac:dyDescent="0.2">
      <c r="R382" s="296"/>
      <c r="S382" s="300"/>
      <c r="T382" s="296"/>
      <c r="U382" s="296"/>
      <c r="V382" s="296"/>
      <c r="W382" s="296"/>
      <c r="X382" s="296"/>
      <c r="Y382" s="296"/>
      <c r="Z382" s="296"/>
      <c r="AA382" s="296"/>
      <c r="AB382" s="296"/>
      <c r="AC382" s="296"/>
      <c r="AD382" s="296"/>
      <c r="AE382" s="296"/>
      <c r="AF382" s="296"/>
      <c r="AG382" s="296"/>
      <c r="AH382" s="296"/>
      <c r="AI382" s="296"/>
      <c r="AJ382" s="296"/>
      <c r="AK382" s="296"/>
      <c r="AL382" s="296"/>
      <c r="AM382" s="296"/>
      <c r="AN382" s="296"/>
      <c r="AO382" s="296"/>
      <c r="AP382" s="296"/>
      <c r="AQ382" s="296"/>
      <c r="AR382" s="296"/>
      <c r="AS382" s="296"/>
      <c r="AT382" s="296"/>
      <c r="AU382" s="296"/>
      <c r="AV382" s="296"/>
      <c r="AW382" s="296"/>
      <c r="AX382" s="296"/>
      <c r="AY382" s="296"/>
      <c r="AZ382" s="296"/>
      <c r="BA382" s="296"/>
      <c r="BB382" s="296"/>
      <c r="BC382" s="296"/>
      <c r="BD382" s="296"/>
      <c r="BE382" s="296"/>
      <c r="BF382" s="296"/>
      <c r="BG382" s="296"/>
      <c r="BH382" s="296"/>
      <c r="BI382" s="296"/>
      <c r="BJ382" s="296"/>
      <c r="BK382" s="296"/>
      <c r="BL382" s="296"/>
      <c r="BM382" s="296"/>
      <c r="BN382" s="296"/>
      <c r="BO382" s="296"/>
    </row>
    <row r="383" spans="18:67" s="192" customFormat="1" x14ac:dyDescent="0.2">
      <c r="R383" s="296"/>
      <c r="S383" s="300"/>
      <c r="T383" s="296"/>
      <c r="U383" s="296"/>
      <c r="V383" s="296"/>
      <c r="W383" s="296"/>
      <c r="X383" s="296"/>
      <c r="Y383" s="296"/>
      <c r="Z383" s="296"/>
      <c r="AA383" s="296"/>
      <c r="AB383" s="296"/>
      <c r="AC383" s="296"/>
      <c r="AD383" s="296"/>
      <c r="AE383" s="296"/>
      <c r="AF383" s="296"/>
      <c r="AG383" s="296"/>
      <c r="AH383" s="296"/>
      <c r="AI383" s="296"/>
      <c r="AJ383" s="296"/>
      <c r="AK383" s="296"/>
      <c r="AL383" s="296"/>
      <c r="AM383" s="296"/>
      <c r="AN383" s="296"/>
      <c r="AO383" s="296"/>
      <c r="AP383" s="296"/>
      <c r="AQ383" s="296"/>
      <c r="AR383" s="296"/>
      <c r="AS383" s="296"/>
      <c r="AT383" s="296"/>
      <c r="AU383" s="296"/>
      <c r="AV383" s="296"/>
      <c r="AW383" s="296"/>
      <c r="AX383" s="296"/>
      <c r="AY383" s="296"/>
      <c r="AZ383" s="296"/>
      <c r="BA383" s="296"/>
      <c r="BB383" s="296"/>
      <c r="BC383" s="296"/>
      <c r="BD383" s="296"/>
      <c r="BE383" s="296"/>
      <c r="BF383" s="296"/>
      <c r="BG383" s="296"/>
      <c r="BH383" s="296"/>
      <c r="BI383" s="296"/>
      <c r="BJ383" s="296"/>
      <c r="BK383" s="296"/>
      <c r="BL383" s="296"/>
      <c r="BM383" s="296"/>
      <c r="BN383" s="296"/>
      <c r="BO383" s="296"/>
    </row>
    <row r="384" spans="18:67" s="192" customFormat="1" x14ac:dyDescent="0.2">
      <c r="R384" s="296"/>
      <c r="S384" s="300"/>
      <c r="T384" s="296"/>
      <c r="U384" s="296"/>
      <c r="V384" s="296"/>
      <c r="W384" s="296"/>
      <c r="X384" s="296"/>
      <c r="Y384" s="296"/>
      <c r="Z384" s="296"/>
      <c r="AA384" s="296"/>
      <c r="AB384" s="296"/>
      <c r="AC384" s="296"/>
      <c r="AD384" s="296"/>
      <c r="AE384" s="296"/>
      <c r="AF384" s="296"/>
      <c r="AG384" s="296"/>
      <c r="AH384" s="296"/>
      <c r="AI384" s="296"/>
      <c r="AJ384" s="296"/>
      <c r="AK384" s="296"/>
      <c r="AL384" s="296"/>
      <c r="AM384" s="296"/>
      <c r="AN384" s="296"/>
      <c r="AO384" s="296"/>
      <c r="AP384" s="296"/>
      <c r="AQ384" s="296"/>
      <c r="AR384" s="296"/>
      <c r="AS384" s="296"/>
      <c r="AT384" s="296"/>
      <c r="AU384" s="296"/>
      <c r="AV384" s="296"/>
      <c r="AW384" s="296"/>
      <c r="AX384" s="296"/>
      <c r="AY384" s="296"/>
      <c r="AZ384" s="296"/>
      <c r="BA384" s="296"/>
      <c r="BB384" s="296"/>
      <c r="BC384" s="296"/>
      <c r="BD384" s="296"/>
      <c r="BE384" s="296"/>
      <c r="BF384" s="296"/>
      <c r="BG384" s="296"/>
      <c r="BH384" s="296"/>
      <c r="BI384" s="296"/>
      <c r="BJ384" s="296"/>
      <c r="BK384" s="296"/>
      <c r="BL384" s="296"/>
      <c r="BM384" s="296"/>
      <c r="BN384" s="296"/>
      <c r="BO384" s="296"/>
    </row>
    <row r="385" spans="16:67" s="192" customFormat="1" x14ac:dyDescent="0.2">
      <c r="R385" s="296"/>
      <c r="S385" s="300"/>
      <c r="T385" s="296"/>
      <c r="U385" s="296"/>
      <c r="V385" s="296"/>
      <c r="W385" s="296"/>
      <c r="X385" s="296"/>
      <c r="Y385" s="296"/>
      <c r="Z385" s="296"/>
      <c r="AA385" s="296"/>
      <c r="AB385" s="296"/>
      <c r="AC385" s="296"/>
      <c r="AD385" s="296"/>
      <c r="AE385" s="296"/>
      <c r="AF385" s="296"/>
      <c r="AG385" s="296"/>
      <c r="AH385" s="296"/>
      <c r="AI385" s="296"/>
      <c r="AJ385" s="296"/>
      <c r="AK385" s="296"/>
      <c r="AL385" s="296"/>
      <c r="AM385" s="296"/>
      <c r="AN385" s="296"/>
      <c r="AO385" s="296"/>
      <c r="AP385" s="296"/>
      <c r="AQ385" s="296"/>
      <c r="AR385" s="296"/>
      <c r="AS385" s="296"/>
      <c r="AT385" s="296"/>
      <c r="AU385" s="296"/>
      <c r="AV385" s="296"/>
      <c r="AW385" s="296"/>
      <c r="AX385" s="296"/>
      <c r="AY385" s="296"/>
      <c r="AZ385" s="296"/>
      <c r="BA385" s="296"/>
      <c r="BB385" s="296"/>
      <c r="BC385" s="296"/>
      <c r="BD385" s="296"/>
      <c r="BE385" s="296"/>
      <c r="BF385" s="296"/>
      <c r="BG385" s="296"/>
      <c r="BH385" s="296"/>
      <c r="BI385" s="296"/>
      <c r="BJ385" s="296"/>
      <c r="BK385" s="296"/>
      <c r="BL385" s="296"/>
      <c r="BM385" s="296"/>
      <c r="BN385" s="296"/>
      <c r="BO385" s="296"/>
    </row>
    <row r="386" spans="16:67" s="192" customFormat="1" x14ac:dyDescent="0.2">
      <c r="R386" s="296"/>
      <c r="S386" s="300"/>
      <c r="T386" s="296"/>
      <c r="U386" s="296"/>
      <c r="V386" s="296"/>
      <c r="W386" s="296"/>
      <c r="X386" s="296"/>
      <c r="Y386" s="296"/>
      <c r="Z386" s="296"/>
      <c r="AA386" s="296"/>
      <c r="AB386" s="296"/>
      <c r="AC386" s="296"/>
      <c r="AD386" s="296"/>
      <c r="AE386" s="296"/>
      <c r="AF386" s="296"/>
      <c r="AG386" s="296"/>
      <c r="AH386" s="296"/>
      <c r="AI386" s="296"/>
      <c r="AJ386" s="296"/>
      <c r="AK386" s="296"/>
      <c r="AL386" s="296"/>
      <c r="AM386" s="296"/>
      <c r="AN386" s="296"/>
      <c r="AO386" s="296"/>
      <c r="AP386" s="296"/>
      <c r="AQ386" s="296"/>
      <c r="AR386" s="296"/>
      <c r="AS386" s="296"/>
      <c r="AT386" s="296"/>
      <c r="AU386" s="296"/>
      <c r="AV386" s="296"/>
      <c r="AW386" s="296"/>
      <c r="AX386" s="296"/>
      <c r="AY386" s="296"/>
      <c r="AZ386" s="296"/>
      <c r="BA386" s="296"/>
      <c r="BB386" s="296"/>
      <c r="BC386" s="296"/>
      <c r="BD386" s="296"/>
      <c r="BE386" s="296"/>
      <c r="BF386" s="296"/>
      <c r="BG386" s="296"/>
      <c r="BH386" s="296"/>
      <c r="BI386" s="296"/>
      <c r="BJ386" s="296"/>
      <c r="BK386" s="296"/>
      <c r="BL386" s="296"/>
      <c r="BM386" s="296"/>
      <c r="BN386" s="296"/>
      <c r="BO386" s="296"/>
    </row>
    <row r="387" spans="16:67" s="192" customFormat="1" x14ac:dyDescent="0.2">
      <c r="R387" s="296"/>
      <c r="S387" s="300"/>
      <c r="T387" s="296"/>
      <c r="U387" s="296"/>
      <c r="V387" s="296"/>
      <c r="W387" s="296"/>
      <c r="X387" s="296"/>
      <c r="Y387" s="296"/>
      <c r="Z387" s="296"/>
      <c r="AA387" s="296"/>
      <c r="AB387" s="296"/>
      <c r="AC387" s="296"/>
      <c r="AD387" s="296"/>
      <c r="AE387" s="296"/>
      <c r="AF387" s="296"/>
      <c r="AG387" s="296"/>
      <c r="AH387" s="296"/>
      <c r="AI387" s="296"/>
      <c r="AJ387" s="296"/>
      <c r="AK387" s="296"/>
      <c r="AL387" s="296"/>
      <c r="AM387" s="296"/>
      <c r="AN387" s="296"/>
      <c r="AO387" s="296"/>
      <c r="AP387" s="296"/>
      <c r="AQ387" s="296"/>
      <c r="AR387" s="296"/>
      <c r="AS387" s="296"/>
      <c r="AT387" s="296"/>
      <c r="AU387" s="296"/>
      <c r="AV387" s="296"/>
      <c r="AW387" s="296"/>
      <c r="AX387" s="296"/>
      <c r="AY387" s="296"/>
      <c r="AZ387" s="296"/>
      <c r="BA387" s="296"/>
      <c r="BB387" s="296"/>
      <c r="BC387" s="296"/>
      <c r="BD387" s="296"/>
      <c r="BE387" s="296"/>
      <c r="BF387" s="296"/>
      <c r="BG387" s="296"/>
      <c r="BH387" s="296"/>
      <c r="BI387" s="296"/>
      <c r="BJ387" s="296"/>
      <c r="BK387" s="296"/>
      <c r="BL387" s="296"/>
      <c r="BM387" s="296"/>
      <c r="BN387" s="296"/>
      <c r="BO387" s="296"/>
    </row>
    <row r="388" spans="16:67" s="192" customFormat="1" x14ac:dyDescent="0.2">
      <c r="R388" s="296"/>
      <c r="S388" s="300"/>
      <c r="T388" s="296"/>
      <c r="U388" s="296"/>
      <c r="V388" s="296"/>
      <c r="W388" s="296"/>
      <c r="X388" s="296"/>
      <c r="Y388" s="296"/>
      <c r="Z388" s="296"/>
      <c r="AA388" s="296"/>
      <c r="AB388" s="296"/>
      <c r="AC388" s="296"/>
      <c r="AD388" s="296"/>
      <c r="AE388" s="296"/>
      <c r="AF388" s="296"/>
      <c r="AG388" s="296"/>
      <c r="AH388" s="296"/>
      <c r="AI388" s="296"/>
      <c r="AJ388" s="296"/>
      <c r="AK388" s="296"/>
      <c r="AL388" s="296"/>
      <c r="AM388" s="296"/>
      <c r="AN388" s="296"/>
      <c r="AO388" s="296"/>
      <c r="AP388" s="296"/>
      <c r="AQ388" s="296"/>
      <c r="AR388" s="296"/>
      <c r="AS388" s="296"/>
      <c r="AT388" s="296"/>
      <c r="AU388" s="296"/>
      <c r="AV388" s="296"/>
      <c r="AW388" s="296"/>
      <c r="AX388" s="296"/>
      <c r="AY388" s="296"/>
      <c r="AZ388" s="296"/>
      <c r="BA388" s="296"/>
      <c r="BB388" s="296"/>
      <c r="BC388" s="296"/>
      <c r="BD388" s="296"/>
      <c r="BE388" s="296"/>
      <c r="BF388" s="296"/>
      <c r="BG388" s="296"/>
      <c r="BH388" s="296"/>
      <c r="BI388" s="296"/>
      <c r="BJ388" s="296"/>
      <c r="BK388" s="296"/>
      <c r="BL388" s="296"/>
      <c r="BM388" s="296"/>
      <c r="BN388" s="296"/>
      <c r="BO388" s="296"/>
    </row>
    <row r="389" spans="16:67" s="192" customFormat="1" x14ac:dyDescent="0.2">
      <c r="R389" s="296"/>
      <c r="S389" s="300"/>
      <c r="T389" s="296"/>
      <c r="U389" s="296"/>
      <c r="V389" s="296"/>
      <c r="W389" s="296"/>
      <c r="X389" s="296"/>
      <c r="Y389" s="296"/>
      <c r="Z389" s="296"/>
      <c r="AA389" s="296"/>
      <c r="AB389" s="296"/>
      <c r="AC389" s="296"/>
      <c r="AD389" s="296"/>
      <c r="AE389" s="296"/>
      <c r="AF389" s="296"/>
      <c r="AG389" s="296"/>
      <c r="AH389" s="296"/>
      <c r="AI389" s="296"/>
      <c r="AJ389" s="296"/>
      <c r="AK389" s="296"/>
      <c r="AL389" s="296"/>
      <c r="AM389" s="296"/>
      <c r="AN389" s="296"/>
      <c r="AO389" s="296"/>
      <c r="AP389" s="296"/>
      <c r="AQ389" s="296"/>
      <c r="AR389" s="296"/>
      <c r="AS389" s="296"/>
      <c r="AT389" s="296"/>
      <c r="AU389" s="296"/>
      <c r="AV389" s="296"/>
      <c r="AW389" s="296"/>
      <c r="AX389" s="296"/>
      <c r="AY389" s="296"/>
      <c r="AZ389" s="296"/>
      <c r="BA389" s="296"/>
      <c r="BB389" s="296"/>
      <c r="BC389" s="296"/>
      <c r="BD389" s="296"/>
      <c r="BE389" s="296"/>
      <c r="BF389" s="296"/>
      <c r="BG389" s="296"/>
      <c r="BH389" s="296"/>
      <c r="BI389" s="296"/>
      <c r="BJ389" s="296"/>
      <c r="BK389" s="296"/>
      <c r="BL389" s="296"/>
      <c r="BM389" s="296"/>
      <c r="BN389" s="296"/>
      <c r="BO389" s="296"/>
    </row>
    <row r="390" spans="16:67" s="196" customFormat="1" x14ac:dyDescent="0.2">
      <c r="P390" s="195"/>
      <c r="Q390" s="192"/>
      <c r="R390" s="296"/>
      <c r="S390" s="300"/>
      <c r="T390" s="296"/>
      <c r="U390" s="296"/>
      <c r="V390" s="296"/>
      <c r="W390" s="296"/>
      <c r="X390" s="296"/>
      <c r="Y390" s="296"/>
      <c r="Z390" s="296"/>
      <c r="AA390" s="296"/>
      <c r="AB390" s="296"/>
      <c r="AC390" s="296"/>
      <c r="AD390" s="296"/>
      <c r="AE390" s="296"/>
      <c r="AF390" s="296"/>
      <c r="AG390" s="296"/>
      <c r="AH390" s="296"/>
      <c r="AI390" s="296"/>
      <c r="AJ390" s="296"/>
      <c r="AK390" s="296"/>
      <c r="AL390" s="296"/>
      <c r="AM390" s="29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97"/>
      <c r="BI390" s="197"/>
      <c r="BJ390" s="197"/>
      <c r="BK390" s="197"/>
      <c r="BL390" s="197"/>
      <c r="BM390" s="197"/>
      <c r="BN390" s="197"/>
      <c r="BO390" s="197"/>
    </row>
    <row r="391" spans="16:67" s="196" customFormat="1" x14ac:dyDescent="0.2">
      <c r="P391" s="195"/>
      <c r="Q391" s="192"/>
      <c r="R391" s="296"/>
      <c r="S391" s="300"/>
      <c r="T391" s="296"/>
      <c r="U391" s="296"/>
      <c r="V391" s="296"/>
      <c r="W391" s="296"/>
      <c r="X391" s="296"/>
      <c r="Y391" s="296"/>
      <c r="Z391" s="296"/>
      <c r="AA391" s="296"/>
      <c r="AB391" s="296"/>
      <c r="AC391" s="296"/>
      <c r="AD391" s="296"/>
      <c r="AE391" s="296"/>
      <c r="AF391" s="296"/>
      <c r="AG391" s="296"/>
      <c r="AH391" s="296"/>
      <c r="AI391" s="296"/>
      <c r="AJ391" s="296"/>
      <c r="AK391" s="296"/>
      <c r="AL391" s="296"/>
      <c r="AM391" s="296"/>
      <c r="AN391" s="186"/>
      <c r="AO391" s="186"/>
      <c r="AP391" s="186"/>
      <c r="AQ391" s="186"/>
      <c r="AR391" s="186"/>
      <c r="AS391" s="186"/>
      <c r="AT391" s="186"/>
      <c r="AU391" s="186"/>
      <c r="AV391" s="186"/>
      <c r="AW391" s="186"/>
      <c r="AX391" s="186"/>
      <c r="AY391" s="186"/>
      <c r="AZ391" s="186"/>
      <c r="BA391" s="186"/>
      <c r="BB391" s="186"/>
      <c r="BC391" s="186"/>
      <c r="BD391" s="186"/>
      <c r="BE391" s="186"/>
      <c r="BF391" s="186"/>
      <c r="BG391" s="186"/>
      <c r="BH391" s="197"/>
      <c r="BI391" s="197"/>
      <c r="BJ391" s="197"/>
      <c r="BK391" s="197"/>
      <c r="BL391" s="197"/>
      <c r="BM391" s="197"/>
      <c r="BN391" s="197"/>
      <c r="BO391" s="197"/>
    </row>
    <row r="392" spans="16:67" s="196" customFormat="1" x14ac:dyDescent="0.2">
      <c r="P392" s="195"/>
      <c r="Q392" s="192"/>
      <c r="R392" s="296"/>
      <c r="S392" s="300"/>
      <c r="T392" s="296"/>
      <c r="U392" s="296"/>
      <c r="V392" s="296"/>
      <c r="W392" s="296"/>
      <c r="X392" s="296"/>
      <c r="Y392" s="296"/>
      <c r="Z392" s="296"/>
      <c r="AA392" s="296"/>
      <c r="AB392" s="296"/>
      <c r="AC392" s="296"/>
      <c r="AD392" s="296"/>
      <c r="AE392" s="296"/>
      <c r="AF392" s="296"/>
      <c r="AG392" s="296"/>
      <c r="AH392" s="296"/>
      <c r="AI392" s="296"/>
      <c r="AJ392" s="296"/>
      <c r="AK392" s="296"/>
      <c r="AL392" s="296"/>
      <c r="AM392" s="296"/>
      <c r="AN392" s="186"/>
      <c r="AO392" s="186"/>
      <c r="AP392" s="186"/>
      <c r="AQ392" s="186"/>
      <c r="AR392" s="186"/>
      <c r="AS392" s="186"/>
      <c r="AT392" s="186"/>
      <c r="AU392" s="186"/>
      <c r="AV392" s="186"/>
      <c r="AW392" s="186"/>
      <c r="AX392" s="186"/>
      <c r="AY392" s="186"/>
      <c r="AZ392" s="186"/>
      <c r="BA392" s="186"/>
      <c r="BB392" s="186"/>
      <c r="BC392" s="186"/>
      <c r="BD392" s="186"/>
      <c r="BE392" s="186"/>
      <c r="BF392" s="186"/>
      <c r="BG392" s="186"/>
      <c r="BH392" s="197"/>
      <c r="BI392" s="197"/>
      <c r="BJ392" s="197"/>
      <c r="BK392" s="197"/>
      <c r="BL392" s="197"/>
      <c r="BM392" s="197"/>
      <c r="BN392" s="197"/>
      <c r="BO392" s="197"/>
    </row>
    <row r="393" spans="16:67" s="196" customFormat="1" x14ac:dyDescent="0.2">
      <c r="P393" s="195"/>
      <c r="Q393" s="192"/>
      <c r="R393" s="296"/>
      <c r="S393" s="300"/>
      <c r="T393" s="296"/>
      <c r="U393" s="296"/>
      <c r="V393" s="296"/>
      <c r="W393" s="296"/>
      <c r="X393" s="296"/>
      <c r="Y393" s="296"/>
      <c r="Z393" s="296"/>
      <c r="AA393" s="296"/>
      <c r="AB393" s="296"/>
      <c r="AC393" s="296"/>
      <c r="AD393" s="296"/>
      <c r="AE393" s="296"/>
      <c r="AF393" s="296"/>
      <c r="AG393" s="296"/>
      <c r="AH393" s="296"/>
      <c r="AI393" s="296"/>
      <c r="AJ393" s="296"/>
      <c r="AK393" s="296"/>
      <c r="AL393" s="296"/>
      <c r="AM393" s="296"/>
      <c r="AN393" s="186"/>
      <c r="AO393" s="186"/>
      <c r="AP393" s="186"/>
      <c r="AQ393" s="186"/>
      <c r="AR393" s="186"/>
      <c r="AS393" s="186"/>
      <c r="AT393" s="186"/>
      <c r="AU393" s="186"/>
      <c r="AV393" s="186"/>
      <c r="AW393" s="186"/>
      <c r="AX393" s="186"/>
      <c r="AY393" s="186"/>
      <c r="AZ393" s="186"/>
      <c r="BA393" s="186"/>
      <c r="BB393" s="186"/>
      <c r="BC393" s="186"/>
      <c r="BD393" s="186"/>
      <c r="BE393" s="186"/>
      <c r="BF393" s="186"/>
      <c r="BG393" s="186"/>
      <c r="BH393" s="197"/>
      <c r="BI393" s="197"/>
      <c r="BJ393" s="197"/>
      <c r="BK393" s="197"/>
      <c r="BL393" s="197"/>
      <c r="BM393" s="197"/>
      <c r="BN393" s="197"/>
      <c r="BO393" s="197"/>
    </row>
    <row r="394" spans="16:67" s="196" customFormat="1" x14ac:dyDescent="0.2">
      <c r="P394" s="195"/>
      <c r="Q394" s="192"/>
      <c r="R394" s="296"/>
      <c r="S394" s="300"/>
      <c r="T394" s="296"/>
      <c r="U394" s="296"/>
      <c r="V394" s="296"/>
      <c r="W394" s="296"/>
      <c r="X394" s="296"/>
      <c r="Y394" s="296"/>
      <c r="Z394" s="296"/>
      <c r="AA394" s="296"/>
      <c r="AB394" s="296"/>
      <c r="AC394" s="296"/>
      <c r="AD394" s="296"/>
      <c r="AE394" s="296"/>
      <c r="AF394" s="296"/>
      <c r="AG394" s="296"/>
      <c r="AH394" s="296"/>
      <c r="AI394" s="296"/>
      <c r="AJ394" s="296"/>
      <c r="AK394" s="296"/>
      <c r="AL394" s="296"/>
      <c r="AM394" s="296"/>
      <c r="AN394" s="186"/>
      <c r="AO394" s="186"/>
      <c r="AP394" s="186"/>
      <c r="AQ394" s="186"/>
      <c r="AR394" s="186"/>
      <c r="AS394" s="186"/>
      <c r="AT394" s="186"/>
      <c r="AU394" s="186"/>
      <c r="AV394" s="186"/>
      <c r="AW394" s="186"/>
      <c r="AX394" s="186"/>
      <c r="AY394" s="186"/>
      <c r="AZ394" s="186"/>
      <c r="BA394" s="186"/>
      <c r="BB394" s="186"/>
      <c r="BC394" s="186"/>
      <c r="BD394" s="186"/>
      <c r="BE394" s="186"/>
      <c r="BF394" s="186"/>
      <c r="BG394" s="186"/>
      <c r="BH394" s="197"/>
      <c r="BI394" s="197"/>
      <c r="BJ394" s="197"/>
      <c r="BK394" s="197"/>
      <c r="BL394" s="197"/>
      <c r="BM394" s="197"/>
      <c r="BN394" s="197"/>
      <c r="BO394" s="197"/>
    </row>
    <row r="395" spans="16:67" s="196" customFormat="1" x14ac:dyDescent="0.2">
      <c r="P395" s="195"/>
      <c r="Q395" s="192"/>
      <c r="R395" s="296"/>
      <c r="S395" s="300"/>
      <c r="T395" s="296"/>
      <c r="U395" s="296"/>
      <c r="V395" s="296"/>
      <c r="W395" s="296"/>
      <c r="X395" s="296"/>
      <c r="Y395" s="296"/>
      <c r="Z395" s="296"/>
      <c r="AA395" s="296"/>
      <c r="AB395" s="296"/>
      <c r="AC395" s="296"/>
      <c r="AD395" s="296"/>
      <c r="AE395" s="296"/>
      <c r="AF395" s="296"/>
      <c r="AG395" s="296"/>
      <c r="AH395" s="296"/>
      <c r="AI395" s="296"/>
      <c r="AJ395" s="296"/>
      <c r="AK395" s="296"/>
      <c r="AL395" s="296"/>
      <c r="AM395" s="296"/>
      <c r="AN395" s="186"/>
      <c r="AO395" s="186"/>
      <c r="AP395" s="186"/>
      <c r="AQ395" s="186"/>
      <c r="AR395" s="186"/>
      <c r="AS395" s="186"/>
      <c r="AT395" s="186"/>
      <c r="AU395" s="186"/>
      <c r="AV395" s="186"/>
      <c r="AW395" s="186"/>
      <c r="AX395" s="186"/>
      <c r="AY395" s="186"/>
      <c r="AZ395" s="186"/>
      <c r="BA395" s="186"/>
      <c r="BB395" s="186"/>
      <c r="BC395" s="186"/>
      <c r="BD395" s="186"/>
      <c r="BE395" s="186"/>
      <c r="BF395" s="186"/>
      <c r="BG395" s="186"/>
      <c r="BH395" s="197"/>
      <c r="BI395" s="197"/>
      <c r="BJ395" s="197"/>
      <c r="BK395" s="197"/>
      <c r="BL395" s="197"/>
      <c r="BM395" s="197"/>
      <c r="BN395" s="197"/>
      <c r="BO395" s="197"/>
    </row>
    <row r="396" spans="16:67" s="196" customFormat="1" x14ac:dyDescent="0.2">
      <c r="P396" s="195"/>
      <c r="Q396" s="192"/>
      <c r="R396" s="296"/>
      <c r="S396" s="300"/>
      <c r="T396" s="296"/>
      <c r="U396" s="296"/>
      <c r="V396" s="296"/>
      <c r="W396" s="296"/>
      <c r="X396" s="296"/>
      <c r="Y396" s="296"/>
      <c r="Z396" s="296"/>
      <c r="AA396" s="296"/>
      <c r="AB396" s="296"/>
      <c r="AC396" s="296"/>
      <c r="AD396" s="296"/>
      <c r="AE396" s="296"/>
      <c r="AF396" s="296"/>
      <c r="AG396" s="296"/>
      <c r="AH396" s="296"/>
      <c r="AI396" s="296"/>
      <c r="AJ396" s="296"/>
      <c r="AK396" s="296"/>
      <c r="AL396" s="296"/>
      <c r="AM396" s="296"/>
      <c r="AN396" s="186"/>
      <c r="AO396" s="186"/>
      <c r="AP396" s="186"/>
      <c r="AQ396" s="186"/>
      <c r="AR396" s="186"/>
      <c r="AS396" s="186"/>
      <c r="AT396" s="186"/>
      <c r="AU396" s="186"/>
      <c r="AV396" s="186"/>
      <c r="AW396" s="186"/>
      <c r="AX396" s="186"/>
      <c r="AY396" s="186"/>
      <c r="AZ396" s="186"/>
      <c r="BA396" s="186"/>
      <c r="BB396" s="186"/>
      <c r="BC396" s="186"/>
      <c r="BD396" s="186"/>
      <c r="BE396" s="186"/>
      <c r="BF396" s="186"/>
      <c r="BG396" s="186"/>
      <c r="BH396" s="197"/>
      <c r="BI396" s="197"/>
      <c r="BJ396" s="197"/>
      <c r="BK396" s="197"/>
      <c r="BL396" s="197"/>
      <c r="BM396" s="197"/>
      <c r="BN396" s="197"/>
      <c r="BO396" s="197"/>
    </row>
    <row r="397" spans="16:67" s="196" customFormat="1" x14ac:dyDescent="0.2">
      <c r="P397" s="195"/>
      <c r="Q397" s="192"/>
      <c r="R397" s="296"/>
      <c r="S397" s="300"/>
      <c r="T397" s="296"/>
      <c r="U397" s="296"/>
      <c r="V397" s="296"/>
      <c r="W397" s="296"/>
      <c r="X397" s="296"/>
      <c r="Y397" s="296"/>
      <c r="Z397" s="296"/>
      <c r="AA397" s="296"/>
      <c r="AB397" s="296"/>
      <c r="AC397" s="296"/>
      <c r="AD397" s="296"/>
      <c r="AE397" s="296"/>
      <c r="AF397" s="296"/>
      <c r="AG397" s="296"/>
      <c r="AH397" s="296"/>
      <c r="AI397" s="296"/>
      <c r="AJ397" s="296"/>
      <c r="AK397" s="296"/>
      <c r="AL397" s="296"/>
      <c r="AM397" s="296"/>
      <c r="AN397" s="186"/>
      <c r="AO397" s="186"/>
      <c r="AP397" s="186"/>
      <c r="AQ397" s="186"/>
      <c r="AR397" s="186"/>
      <c r="AS397" s="186"/>
      <c r="AT397" s="186"/>
      <c r="AU397" s="186"/>
      <c r="AV397" s="186"/>
      <c r="AW397" s="186"/>
      <c r="AX397" s="186"/>
      <c r="AY397" s="186"/>
      <c r="AZ397" s="186"/>
      <c r="BA397" s="186"/>
      <c r="BB397" s="186"/>
      <c r="BC397" s="186"/>
      <c r="BD397" s="186"/>
      <c r="BE397" s="186"/>
      <c r="BF397" s="186"/>
      <c r="BG397" s="186"/>
      <c r="BH397" s="197"/>
      <c r="BI397" s="197"/>
      <c r="BJ397" s="197"/>
      <c r="BK397" s="197"/>
      <c r="BL397" s="197"/>
      <c r="BM397" s="197"/>
      <c r="BN397" s="197"/>
      <c r="BO397" s="197"/>
    </row>
    <row r="398" spans="16:67" s="196" customFormat="1" x14ac:dyDescent="0.2">
      <c r="P398" s="195"/>
      <c r="Q398" s="192"/>
      <c r="R398" s="296"/>
      <c r="S398" s="300"/>
      <c r="T398" s="296"/>
      <c r="U398" s="296"/>
      <c r="V398" s="296"/>
      <c r="W398" s="296"/>
      <c r="X398" s="296"/>
      <c r="Y398" s="296"/>
      <c r="Z398" s="296"/>
      <c r="AA398" s="296"/>
      <c r="AB398" s="296"/>
      <c r="AC398" s="296"/>
      <c r="AD398" s="296"/>
      <c r="AE398" s="296"/>
      <c r="AF398" s="296"/>
      <c r="AG398" s="296"/>
      <c r="AH398" s="296"/>
      <c r="AI398" s="296"/>
      <c r="AJ398" s="296"/>
      <c r="AK398" s="296"/>
      <c r="AL398" s="296"/>
      <c r="AM398" s="296"/>
      <c r="AN398" s="186"/>
      <c r="AO398" s="186"/>
      <c r="AP398" s="186"/>
      <c r="AQ398" s="186"/>
      <c r="AR398" s="186"/>
      <c r="AS398" s="186"/>
      <c r="AT398" s="186"/>
      <c r="AU398" s="186"/>
      <c r="AV398" s="186"/>
      <c r="AW398" s="186"/>
      <c r="AX398" s="186"/>
      <c r="AY398" s="186"/>
      <c r="AZ398" s="186"/>
      <c r="BA398" s="186"/>
      <c r="BB398" s="186"/>
      <c r="BC398" s="186"/>
      <c r="BD398" s="186"/>
      <c r="BE398" s="186"/>
      <c r="BF398" s="186"/>
      <c r="BG398" s="186"/>
      <c r="BH398" s="197"/>
      <c r="BI398" s="197"/>
      <c r="BJ398" s="197"/>
      <c r="BK398" s="197"/>
      <c r="BL398" s="197"/>
      <c r="BM398" s="197"/>
      <c r="BN398" s="197"/>
      <c r="BO398" s="197"/>
    </row>
    <row r="399" spans="16:67" s="196" customFormat="1" x14ac:dyDescent="0.2">
      <c r="P399" s="195"/>
      <c r="Q399" s="192"/>
      <c r="R399" s="296"/>
      <c r="S399" s="300"/>
      <c r="T399" s="296"/>
      <c r="U399" s="296"/>
      <c r="V399" s="296"/>
      <c r="W399" s="296"/>
      <c r="X399" s="296"/>
      <c r="Y399" s="296"/>
      <c r="Z399" s="296"/>
      <c r="AA399" s="296"/>
      <c r="AB399" s="296"/>
      <c r="AC399" s="296"/>
      <c r="AD399" s="296"/>
      <c r="AE399" s="296"/>
      <c r="AF399" s="296"/>
      <c r="AG399" s="296"/>
      <c r="AH399" s="296"/>
      <c r="AI399" s="296"/>
      <c r="AJ399" s="296"/>
      <c r="AK399" s="296"/>
      <c r="AL399" s="296"/>
      <c r="AM399" s="296"/>
      <c r="AN399" s="186"/>
      <c r="AO399" s="186"/>
      <c r="AP399" s="186"/>
      <c r="AQ399" s="186"/>
      <c r="AR399" s="186"/>
      <c r="AS399" s="186"/>
      <c r="AT399" s="186"/>
      <c r="AU399" s="186"/>
      <c r="AV399" s="186"/>
      <c r="AW399" s="186"/>
      <c r="AX399" s="186"/>
      <c r="AY399" s="186"/>
      <c r="AZ399" s="186"/>
      <c r="BA399" s="186"/>
      <c r="BB399" s="186"/>
      <c r="BC399" s="186"/>
      <c r="BD399" s="186"/>
      <c r="BE399" s="186"/>
      <c r="BF399" s="186"/>
      <c r="BG399" s="186"/>
      <c r="BH399" s="197"/>
      <c r="BI399" s="197"/>
      <c r="BJ399" s="197"/>
      <c r="BK399" s="197"/>
      <c r="BL399" s="197"/>
      <c r="BM399" s="197"/>
      <c r="BN399" s="197"/>
      <c r="BO399" s="197"/>
    </row>
    <row r="400" spans="16:67" s="196" customFormat="1" x14ac:dyDescent="0.2">
      <c r="P400" s="195"/>
      <c r="Q400" s="192"/>
      <c r="R400" s="296"/>
      <c r="S400" s="300"/>
      <c r="T400" s="296"/>
      <c r="U400" s="296"/>
      <c r="V400" s="296"/>
      <c r="W400" s="296"/>
      <c r="X400" s="296"/>
      <c r="Y400" s="296"/>
      <c r="Z400" s="296"/>
      <c r="AA400" s="296"/>
      <c r="AB400" s="296"/>
      <c r="AC400" s="296"/>
      <c r="AD400" s="296"/>
      <c r="AE400" s="296"/>
      <c r="AF400" s="296"/>
      <c r="AG400" s="296"/>
      <c r="AH400" s="296"/>
      <c r="AI400" s="296"/>
      <c r="AJ400" s="296"/>
      <c r="AK400" s="296"/>
      <c r="AL400" s="296"/>
      <c r="AM400" s="29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97"/>
      <c r="BI400" s="197"/>
      <c r="BJ400" s="197"/>
      <c r="BK400" s="197"/>
      <c r="BL400" s="197"/>
      <c r="BM400" s="197"/>
      <c r="BN400" s="197"/>
      <c r="BO400" s="197"/>
    </row>
    <row r="401" spans="16:67" s="196" customFormat="1" x14ac:dyDescent="0.2">
      <c r="P401" s="195"/>
      <c r="Q401" s="192"/>
      <c r="R401" s="296"/>
      <c r="S401" s="300"/>
      <c r="T401" s="296"/>
      <c r="U401" s="296"/>
      <c r="V401" s="296"/>
      <c r="W401" s="296"/>
      <c r="X401" s="296"/>
      <c r="Y401" s="296"/>
      <c r="Z401" s="296"/>
      <c r="AA401" s="296"/>
      <c r="AB401" s="296"/>
      <c r="AC401" s="296"/>
      <c r="AD401" s="296"/>
      <c r="AE401" s="296"/>
      <c r="AF401" s="296"/>
      <c r="AG401" s="296"/>
      <c r="AH401" s="296"/>
      <c r="AI401" s="296"/>
      <c r="AJ401" s="296"/>
      <c r="AK401" s="296"/>
      <c r="AL401" s="296"/>
      <c r="AM401" s="29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97"/>
      <c r="BI401" s="197"/>
      <c r="BJ401" s="197"/>
      <c r="BK401" s="197"/>
      <c r="BL401" s="197"/>
      <c r="BM401" s="197"/>
      <c r="BN401" s="197"/>
      <c r="BO401" s="197"/>
    </row>
    <row r="402" spans="16:67" s="196" customFormat="1" x14ac:dyDescent="0.2">
      <c r="P402" s="195"/>
      <c r="Q402" s="192"/>
      <c r="R402" s="296"/>
      <c r="S402" s="300"/>
      <c r="T402" s="296"/>
      <c r="U402" s="296"/>
      <c r="V402" s="296"/>
      <c r="W402" s="296"/>
      <c r="X402" s="296"/>
      <c r="Y402" s="296"/>
      <c r="Z402" s="296"/>
      <c r="AA402" s="296"/>
      <c r="AB402" s="296"/>
      <c r="AC402" s="296"/>
      <c r="AD402" s="296"/>
      <c r="AE402" s="296"/>
      <c r="AF402" s="296"/>
      <c r="AG402" s="296"/>
      <c r="AH402" s="296"/>
      <c r="AI402" s="296"/>
      <c r="AJ402" s="296"/>
      <c r="AK402" s="296"/>
      <c r="AL402" s="296"/>
      <c r="AM402" s="29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97"/>
      <c r="BI402" s="197"/>
      <c r="BJ402" s="197"/>
      <c r="BK402" s="197"/>
      <c r="BL402" s="197"/>
      <c r="BM402" s="197"/>
      <c r="BN402" s="197"/>
      <c r="BO402" s="197"/>
    </row>
    <row r="403" spans="16:67" s="196" customFormat="1" x14ac:dyDescent="0.2">
      <c r="P403" s="195"/>
      <c r="Q403" s="192"/>
      <c r="R403" s="296"/>
      <c r="S403" s="300"/>
      <c r="T403" s="296"/>
      <c r="U403" s="296"/>
      <c r="V403" s="296"/>
      <c r="W403" s="296"/>
      <c r="X403" s="296"/>
      <c r="Y403" s="296"/>
      <c r="Z403" s="296"/>
      <c r="AA403" s="296"/>
      <c r="AB403" s="296"/>
      <c r="AC403" s="296"/>
      <c r="AD403" s="296"/>
      <c r="AE403" s="296"/>
      <c r="AF403" s="296"/>
      <c r="AG403" s="296"/>
      <c r="AH403" s="296"/>
      <c r="AI403" s="296"/>
      <c r="AJ403" s="296"/>
      <c r="AK403" s="296"/>
      <c r="AL403" s="296"/>
      <c r="AM403" s="29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97"/>
      <c r="BI403" s="197"/>
      <c r="BJ403" s="197"/>
      <c r="BK403" s="197"/>
      <c r="BL403" s="197"/>
      <c r="BM403" s="197"/>
      <c r="BN403" s="197"/>
      <c r="BO403" s="197"/>
    </row>
    <row r="404" spans="16:67" s="196" customFormat="1" x14ac:dyDescent="0.2">
      <c r="P404" s="195"/>
      <c r="Q404" s="192"/>
      <c r="R404" s="296"/>
      <c r="S404" s="300"/>
      <c r="T404" s="296"/>
      <c r="U404" s="296"/>
      <c r="V404" s="296"/>
      <c r="W404" s="296"/>
      <c r="X404" s="296"/>
      <c r="Y404" s="296"/>
      <c r="Z404" s="296"/>
      <c r="AA404" s="296"/>
      <c r="AB404" s="296"/>
      <c r="AC404" s="296"/>
      <c r="AD404" s="296"/>
      <c r="AE404" s="296"/>
      <c r="AF404" s="296"/>
      <c r="AG404" s="296"/>
      <c r="AH404" s="296"/>
      <c r="AI404" s="296"/>
      <c r="AJ404" s="296"/>
      <c r="AK404" s="296"/>
      <c r="AL404" s="296"/>
      <c r="AM404" s="29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97"/>
      <c r="BI404" s="197"/>
      <c r="BJ404" s="197"/>
      <c r="BK404" s="197"/>
      <c r="BL404" s="197"/>
      <c r="BM404" s="197"/>
      <c r="BN404" s="197"/>
      <c r="BO404" s="197"/>
    </row>
    <row r="405" spans="16:67" s="196" customFormat="1" x14ac:dyDescent="0.2">
      <c r="P405" s="195"/>
      <c r="Q405" s="192"/>
      <c r="R405" s="296"/>
      <c r="S405" s="300"/>
      <c r="T405" s="296"/>
      <c r="U405" s="296"/>
      <c r="V405" s="296"/>
      <c r="W405" s="296"/>
      <c r="X405" s="296"/>
      <c r="Y405" s="296"/>
      <c r="Z405" s="296"/>
      <c r="AA405" s="296"/>
      <c r="AB405" s="296"/>
      <c r="AC405" s="296"/>
      <c r="AD405" s="296"/>
      <c r="AE405" s="296"/>
      <c r="AF405" s="296"/>
      <c r="AG405" s="296"/>
      <c r="AH405" s="296"/>
      <c r="AI405" s="296"/>
      <c r="AJ405" s="296"/>
      <c r="AK405" s="296"/>
      <c r="AL405" s="296"/>
      <c r="AM405" s="29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97"/>
      <c r="BI405" s="197"/>
      <c r="BJ405" s="197"/>
      <c r="BK405" s="197"/>
      <c r="BL405" s="197"/>
      <c r="BM405" s="197"/>
      <c r="BN405" s="197"/>
      <c r="BO405" s="197"/>
    </row>
    <row r="406" spans="16:67" s="196" customFormat="1" x14ac:dyDescent="0.2">
      <c r="P406" s="195"/>
      <c r="Q406" s="192"/>
      <c r="R406" s="296"/>
      <c r="S406" s="300"/>
      <c r="T406" s="296"/>
      <c r="U406" s="296"/>
      <c r="V406" s="296"/>
      <c r="W406" s="296"/>
      <c r="X406" s="296"/>
      <c r="Y406" s="296"/>
      <c r="Z406" s="296"/>
      <c r="AA406" s="296"/>
      <c r="AB406" s="296"/>
      <c r="AC406" s="296"/>
      <c r="AD406" s="296"/>
      <c r="AE406" s="296"/>
      <c r="AF406" s="296"/>
      <c r="AG406" s="296"/>
      <c r="AH406" s="296"/>
      <c r="AI406" s="296"/>
      <c r="AJ406" s="296"/>
      <c r="AK406" s="296"/>
      <c r="AL406" s="296"/>
      <c r="AM406" s="29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97"/>
      <c r="BI406" s="197"/>
      <c r="BJ406" s="197"/>
      <c r="BK406" s="197"/>
      <c r="BL406" s="197"/>
      <c r="BM406" s="197"/>
      <c r="BN406" s="197"/>
      <c r="BO406" s="197"/>
    </row>
    <row r="407" spans="16:67" s="196" customFormat="1" x14ac:dyDescent="0.2">
      <c r="P407" s="195"/>
      <c r="Q407" s="192"/>
      <c r="R407" s="296"/>
      <c r="S407" s="300"/>
      <c r="T407" s="296"/>
      <c r="U407" s="296"/>
      <c r="V407" s="296"/>
      <c r="W407" s="296"/>
      <c r="X407" s="296"/>
      <c r="Y407" s="296"/>
      <c r="Z407" s="296"/>
      <c r="AA407" s="296"/>
      <c r="AB407" s="296"/>
      <c r="AC407" s="296"/>
      <c r="AD407" s="296"/>
      <c r="AE407" s="296"/>
      <c r="AF407" s="296"/>
      <c r="AG407" s="296"/>
      <c r="AH407" s="296"/>
      <c r="AI407" s="296"/>
      <c r="AJ407" s="296"/>
      <c r="AK407" s="296"/>
      <c r="AL407" s="296"/>
      <c r="AM407" s="29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97"/>
      <c r="BI407" s="197"/>
      <c r="BJ407" s="197"/>
      <c r="BK407" s="197"/>
      <c r="BL407" s="197"/>
      <c r="BM407" s="197"/>
      <c r="BN407" s="197"/>
      <c r="BO407" s="197"/>
    </row>
    <row r="408" spans="16:67" s="196" customFormat="1" x14ac:dyDescent="0.2">
      <c r="P408" s="195"/>
      <c r="Q408" s="192"/>
      <c r="R408" s="296"/>
      <c r="S408" s="300"/>
      <c r="T408" s="296"/>
      <c r="U408" s="296"/>
      <c r="V408" s="296"/>
      <c r="W408" s="296"/>
      <c r="X408" s="296"/>
      <c r="Y408" s="296"/>
      <c r="Z408" s="296"/>
      <c r="AA408" s="296"/>
      <c r="AB408" s="296"/>
      <c r="AC408" s="296"/>
      <c r="AD408" s="296"/>
      <c r="AE408" s="296"/>
      <c r="AF408" s="296"/>
      <c r="AG408" s="296"/>
      <c r="AH408" s="296"/>
      <c r="AI408" s="296"/>
      <c r="AJ408" s="296"/>
      <c r="AK408" s="296"/>
      <c r="AL408" s="296"/>
      <c r="AM408" s="29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97"/>
      <c r="BI408" s="197"/>
      <c r="BJ408" s="197"/>
      <c r="BK408" s="197"/>
      <c r="BL408" s="197"/>
      <c r="BM408" s="197"/>
      <c r="BN408" s="197"/>
      <c r="BO408" s="197"/>
    </row>
    <row r="409" spans="16:67" s="196" customFormat="1" x14ac:dyDescent="0.2">
      <c r="P409" s="195"/>
      <c r="Q409" s="192"/>
      <c r="R409" s="296"/>
      <c r="S409" s="300"/>
      <c r="T409" s="296"/>
      <c r="U409" s="296"/>
      <c r="V409" s="296"/>
      <c r="W409" s="296"/>
      <c r="X409" s="296"/>
      <c r="Y409" s="296"/>
      <c r="Z409" s="296"/>
      <c r="AA409" s="296"/>
      <c r="AB409" s="296"/>
      <c r="AC409" s="296"/>
      <c r="AD409" s="296"/>
      <c r="AE409" s="296"/>
      <c r="AF409" s="296"/>
      <c r="AG409" s="296"/>
      <c r="AH409" s="296"/>
      <c r="AI409" s="296"/>
      <c r="AJ409" s="296"/>
      <c r="AK409" s="296"/>
      <c r="AL409" s="296"/>
      <c r="AM409" s="29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97"/>
      <c r="BI409" s="197"/>
      <c r="BJ409" s="197"/>
      <c r="BK409" s="197"/>
      <c r="BL409" s="197"/>
      <c r="BM409" s="197"/>
      <c r="BN409" s="197"/>
      <c r="BO409" s="197"/>
    </row>
    <row r="410" spans="16:67" s="196" customFormat="1" x14ac:dyDescent="0.2">
      <c r="P410" s="195"/>
      <c r="Q410" s="192"/>
      <c r="R410" s="296"/>
      <c r="S410" s="300"/>
      <c r="T410" s="296"/>
      <c r="U410" s="296"/>
      <c r="V410" s="296"/>
      <c r="W410" s="296"/>
      <c r="X410" s="296"/>
      <c r="Y410" s="296"/>
      <c r="Z410" s="296"/>
      <c r="AA410" s="296"/>
      <c r="AB410" s="296"/>
      <c r="AC410" s="296"/>
      <c r="AD410" s="296"/>
      <c r="AE410" s="296"/>
      <c r="AF410" s="296"/>
      <c r="AG410" s="296"/>
      <c r="AH410" s="296"/>
      <c r="AI410" s="296"/>
      <c r="AJ410" s="296"/>
      <c r="AK410" s="296"/>
      <c r="AL410" s="296"/>
      <c r="AM410" s="29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97"/>
      <c r="BI410" s="197"/>
      <c r="BJ410" s="197"/>
      <c r="BK410" s="197"/>
      <c r="BL410" s="197"/>
      <c r="BM410" s="197"/>
      <c r="BN410" s="197"/>
      <c r="BO410" s="197"/>
    </row>
    <row r="411" spans="16:67" s="196" customFormat="1" x14ac:dyDescent="0.2">
      <c r="P411" s="195"/>
      <c r="Q411" s="192"/>
      <c r="R411" s="296"/>
      <c r="S411" s="300"/>
      <c r="T411" s="296"/>
      <c r="U411" s="296"/>
      <c r="V411" s="296"/>
      <c r="W411" s="296"/>
      <c r="X411" s="296"/>
      <c r="Y411" s="296"/>
      <c r="Z411" s="296"/>
      <c r="AA411" s="296"/>
      <c r="AB411" s="296"/>
      <c r="AC411" s="296"/>
      <c r="AD411" s="296"/>
      <c r="AE411" s="296"/>
      <c r="AF411" s="296"/>
      <c r="AG411" s="296"/>
      <c r="AH411" s="296"/>
      <c r="AI411" s="296"/>
      <c r="AJ411" s="296"/>
      <c r="AK411" s="296"/>
      <c r="AL411" s="296"/>
      <c r="AM411" s="29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97"/>
      <c r="BI411" s="197"/>
      <c r="BJ411" s="197"/>
      <c r="BK411" s="197"/>
      <c r="BL411" s="197"/>
      <c r="BM411" s="197"/>
      <c r="BN411" s="197"/>
      <c r="BO411" s="197"/>
    </row>
    <row r="412" spans="16:67" s="196" customFormat="1" x14ac:dyDescent="0.2">
      <c r="P412" s="195"/>
      <c r="Q412" s="192"/>
      <c r="R412" s="296"/>
      <c r="S412" s="300"/>
      <c r="T412" s="296"/>
      <c r="U412" s="296"/>
      <c r="V412" s="296"/>
      <c r="W412" s="296"/>
      <c r="X412" s="296"/>
      <c r="Y412" s="296"/>
      <c r="Z412" s="296"/>
      <c r="AA412" s="296"/>
      <c r="AB412" s="296"/>
      <c r="AC412" s="296"/>
      <c r="AD412" s="296"/>
      <c r="AE412" s="296"/>
      <c r="AF412" s="296"/>
      <c r="AG412" s="296"/>
      <c r="AH412" s="296"/>
      <c r="AI412" s="296"/>
      <c r="AJ412" s="296"/>
      <c r="AK412" s="296"/>
      <c r="AL412" s="296"/>
      <c r="AM412" s="29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97"/>
      <c r="BI412" s="197"/>
      <c r="BJ412" s="197"/>
      <c r="BK412" s="197"/>
      <c r="BL412" s="197"/>
      <c r="BM412" s="197"/>
      <c r="BN412" s="197"/>
      <c r="BO412" s="197"/>
    </row>
    <row r="413" spans="16:67" s="196" customFormat="1" x14ac:dyDescent="0.2">
      <c r="P413" s="195"/>
      <c r="Q413" s="192"/>
      <c r="R413" s="296"/>
      <c r="S413" s="300"/>
      <c r="T413" s="296"/>
      <c r="U413" s="296"/>
      <c r="V413" s="296"/>
      <c r="W413" s="296"/>
      <c r="X413" s="296"/>
      <c r="Y413" s="296"/>
      <c r="Z413" s="296"/>
      <c r="AA413" s="296"/>
      <c r="AB413" s="296"/>
      <c r="AC413" s="296"/>
      <c r="AD413" s="296"/>
      <c r="AE413" s="296"/>
      <c r="AF413" s="296"/>
      <c r="AG413" s="296"/>
      <c r="AH413" s="296"/>
      <c r="AI413" s="296"/>
      <c r="AJ413" s="296"/>
      <c r="AK413" s="296"/>
      <c r="AL413" s="296"/>
      <c r="AM413" s="296"/>
      <c r="AN413" s="186"/>
      <c r="AO413" s="186"/>
      <c r="AP413" s="186"/>
      <c r="AQ413" s="186"/>
      <c r="AR413" s="186"/>
      <c r="AS413" s="186"/>
      <c r="AT413" s="186"/>
      <c r="AU413" s="186"/>
      <c r="AV413" s="186"/>
      <c r="AW413" s="186"/>
      <c r="AX413" s="186"/>
      <c r="AY413" s="186"/>
      <c r="AZ413" s="186"/>
      <c r="BA413" s="186"/>
      <c r="BB413" s="186"/>
      <c r="BC413" s="186"/>
      <c r="BD413" s="186"/>
      <c r="BE413" s="186"/>
      <c r="BF413" s="186"/>
      <c r="BG413" s="186"/>
      <c r="BH413" s="197"/>
      <c r="BI413" s="197"/>
      <c r="BJ413" s="197"/>
      <c r="BK413" s="197"/>
      <c r="BL413" s="197"/>
      <c r="BM413" s="197"/>
      <c r="BN413" s="197"/>
      <c r="BO413" s="197"/>
    </row>
    <row r="414" spans="16:67" s="196" customFormat="1" x14ac:dyDescent="0.2">
      <c r="P414" s="195"/>
      <c r="Q414" s="192"/>
      <c r="R414" s="296"/>
      <c r="S414" s="300"/>
      <c r="T414" s="296"/>
      <c r="U414" s="296"/>
      <c r="V414" s="296"/>
      <c r="W414" s="296"/>
      <c r="X414" s="296"/>
      <c r="Y414" s="296"/>
      <c r="Z414" s="296"/>
      <c r="AA414" s="296"/>
      <c r="AB414" s="296"/>
      <c r="AC414" s="296"/>
      <c r="AD414" s="296"/>
      <c r="AE414" s="296"/>
      <c r="AF414" s="296"/>
      <c r="AG414" s="296"/>
      <c r="AH414" s="296"/>
      <c r="AI414" s="296"/>
      <c r="AJ414" s="296"/>
      <c r="AK414" s="296"/>
      <c r="AL414" s="296"/>
      <c r="AM414" s="296"/>
      <c r="AN414" s="186"/>
      <c r="AO414" s="186"/>
      <c r="AP414" s="186"/>
      <c r="AQ414" s="186"/>
      <c r="AR414" s="186"/>
      <c r="AS414" s="186"/>
      <c r="AT414" s="186"/>
      <c r="AU414" s="186"/>
      <c r="AV414" s="186"/>
      <c r="AW414" s="186"/>
      <c r="AX414" s="186"/>
      <c r="AY414" s="186"/>
      <c r="AZ414" s="186"/>
      <c r="BA414" s="186"/>
      <c r="BB414" s="186"/>
      <c r="BC414" s="186"/>
      <c r="BD414" s="186"/>
      <c r="BE414" s="186"/>
      <c r="BF414" s="186"/>
      <c r="BG414" s="186"/>
      <c r="BH414" s="197"/>
      <c r="BI414" s="197"/>
      <c r="BJ414" s="197"/>
      <c r="BK414" s="197"/>
      <c r="BL414" s="197"/>
      <c r="BM414" s="197"/>
      <c r="BN414" s="197"/>
      <c r="BO414" s="197"/>
    </row>
    <row r="415" spans="16:67" s="196" customFormat="1" x14ac:dyDescent="0.2">
      <c r="P415" s="195"/>
      <c r="Q415" s="192"/>
      <c r="R415" s="296"/>
      <c r="S415" s="300"/>
      <c r="T415" s="296"/>
      <c r="U415" s="296"/>
      <c r="V415" s="296"/>
      <c r="W415" s="296"/>
      <c r="X415" s="296"/>
      <c r="Y415" s="296"/>
      <c r="Z415" s="296"/>
      <c r="AA415" s="296"/>
      <c r="AB415" s="296"/>
      <c r="AC415" s="296"/>
      <c r="AD415" s="296"/>
      <c r="AE415" s="296"/>
      <c r="AF415" s="296"/>
      <c r="AG415" s="296"/>
      <c r="AH415" s="296"/>
      <c r="AI415" s="296"/>
      <c r="AJ415" s="296"/>
      <c r="AK415" s="296"/>
      <c r="AL415" s="296"/>
      <c r="AM415" s="29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97"/>
      <c r="BI415" s="197"/>
      <c r="BJ415" s="197"/>
      <c r="BK415" s="197"/>
      <c r="BL415" s="197"/>
      <c r="BM415" s="197"/>
      <c r="BN415" s="197"/>
      <c r="BO415" s="197"/>
    </row>
    <row r="416" spans="16:67" s="196" customFormat="1" x14ac:dyDescent="0.2">
      <c r="P416" s="195"/>
      <c r="Q416" s="192"/>
      <c r="R416" s="296"/>
      <c r="S416" s="300"/>
      <c r="T416" s="296"/>
      <c r="U416" s="296"/>
      <c r="V416" s="296"/>
      <c r="W416" s="296"/>
      <c r="X416" s="296"/>
      <c r="Y416" s="296"/>
      <c r="Z416" s="296"/>
      <c r="AA416" s="296"/>
      <c r="AB416" s="296"/>
      <c r="AC416" s="296"/>
      <c r="AD416" s="296"/>
      <c r="AE416" s="296"/>
      <c r="AF416" s="296"/>
      <c r="AG416" s="296"/>
      <c r="AH416" s="296"/>
      <c r="AI416" s="296"/>
      <c r="AJ416" s="296"/>
      <c r="AK416" s="296"/>
      <c r="AL416" s="296"/>
      <c r="AM416" s="29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97"/>
      <c r="BI416" s="197"/>
      <c r="BJ416" s="197"/>
      <c r="BK416" s="197"/>
      <c r="BL416" s="197"/>
      <c r="BM416" s="197"/>
      <c r="BN416" s="197"/>
      <c r="BO416" s="197"/>
    </row>
    <row r="417" spans="16:68" s="196" customFormat="1" x14ac:dyDescent="0.2">
      <c r="P417" s="195"/>
      <c r="Q417" s="192"/>
      <c r="R417" s="192"/>
      <c r="S417" s="296"/>
      <c r="T417" s="300"/>
      <c r="U417" s="296"/>
      <c r="V417" s="296"/>
      <c r="W417" s="296"/>
      <c r="X417" s="296"/>
      <c r="Y417" s="296"/>
      <c r="Z417" s="296"/>
      <c r="AA417" s="296"/>
      <c r="AB417" s="296"/>
      <c r="AC417" s="296"/>
      <c r="AD417" s="296"/>
      <c r="AE417" s="296"/>
      <c r="AF417" s="296"/>
      <c r="AG417" s="296"/>
      <c r="AH417" s="296"/>
      <c r="AI417" s="296"/>
      <c r="AJ417" s="296"/>
      <c r="AK417" s="296"/>
      <c r="AL417" s="296"/>
      <c r="AM417" s="296"/>
      <c r="AN417" s="186"/>
      <c r="AO417" s="186"/>
      <c r="AP417" s="186"/>
      <c r="AQ417" s="186"/>
      <c r="AR417" s="186"/>
      <c r="AS417" s="186"/>
      <c r="AT417" s="186"/>
      <c r="AU417" s="186"/>
      <c r="AV417" s="186"/>
      <c r="AW417" s="186"/>
      <c r="AX417" s="186"/>
      <c r="AY417" s="186"/>
      <c r="AZ417" s="186"/>
      <c r="BA417" s="186"/>
      <c r="BB417" s="186"/>
      <c r="BC417" s="186"/>
      <c r="BD417" s="186"/>
      <c r="BE417" s="186"/>
      <c r="BF417" s="186"/>
      <c r="BG417" s="186"/>
      <c r="BH417" s="197"/>
      <c r="BI417" s="197"/>
      <c r="BJ417" s="197"/>
      <c r="BK417" s="197"/>
      <c r="BL417" s="197"/>
      <c r="BM417" s="197"/>
      <c r="BN417" s="197"/>
      <c r="BO417" s="197"/>
      <c r="BP417" s="197"/>
    </row>
    <row r="418" spans="16:68" s="196" customFormat="1" x14ac:dyDescent="0.2">
      <c r="P418" s="195"/>
      <c r="Q418" s="192"/>
      <c r="R418" s="192"/>
      <c r="S418" s="296"/>
      <c r="T418" s="300"/>
      <c r="U418" s="296"/>
      <c r="V418" s="296"/>
      <c r="W418" s="296"/>
      <c r="X418" s="296"/>
      <c r="Y418" s="296"/>
      <c r="Z418" s="296"/>
      <c r="AA418" s="296"/>
      <c r="AB418" s="296"/>
      <c r="AC418" s="296"/>
      <c r="AD418" s="296"/>
      <c r="AE418" s="296"/>
      <c r="AF418" s="296"/>
      <c r="AG418" s="296"/>
      <c r="AH418" s="296"/>
      <c r="AI418" s="296"/>
      <c r="AJ418" s="296"/>
      <c r="AK418" s="296"/>
      <c r="AL418" s="296"/>
      <c r="AM418" s="29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97"/>
      <c r="BI418" s="197"/>
      <c r="BJ418" s="197"/>
      <c r="BK418" s="197"/>
      <c r="BL418" s="197"/>
      <c r="BM418" s="197"/>
      <c r="BN418" s="197"/>
      <c r="BO418" s="197"/>
      <c r="BP418" s="197"/>
    </row>
    <row r="419" spans="16:68" s="196" customFormat="1" x14ac:dyDescent="0.2">
      <c r="P419" s="195"/>
      <c r="Q419" s="192"/>
      <c r="R419" s="192"/>
      <c r="S419" s="296"/>
      <c r="T419" s="300"/>
      <c r="U419" s="296"/>
      <c r="V419" s="296"/>
      <c r="W419" s="296"/>
      <c r="X419" s="296"/>
      <c r="Y419" s="296"/>
      <c r="Z419" s="296"/>
      <c r="AA419" s="296"/>
      <c r="AB419" s="296"/>
      <c r="AC419" s="296"/>
      <c r="AD419" s="296"/>
      <c r="AE419" s="296"/>
      <c r="AF419" s="296"/>
      <c r="AG419" s="296"/>
      <c r="AH419" s="296"/>
      <c r="AI419" s="296"/>
      <c r="AJ419" s="296"/>
      <c r="AK419" s="296"/>
      <c r="AL419" s="296"/>
      <c r="AM419" s="296"/>
      <c r="AN419" s="186"/>
      <c r="AO419" s="186"/>
      <c r="AP419" s="186"/>
      <c r="AQ419" s="186"/>
      <c r="AR419" s="186"/>
      <c r="AS419" s="186"/>
      <c r="AT419" s="186"/>
      <c r="AU419" s="186"/>
      <c r="AV419" s="186"/>
      <c r="AW419" s="186"/>
      <c r="AX419" s="186"/>
      <c r="AY419" s="186"/>
      <c r="AZ419" s="186"/>
      <c r="BA419" s="186"/>
      <c r="BB419" s="186"/>
      <c r="BC419" s="186"/>
      <c r="BD419" s="186"/>
      <c r="BE419" s="186"/>
      <c r="BF419" s="186"/>
      <c r="BG419" s="186"/>
      <c r="BH419" s="197"/>
      <c r="BI419" s="197"/>
      <c r="BJ419" s="197"/>
      <c r="BK419" s="197"/>
      <c r="BL419" s="197"/>
      <c r="BM419" s="197"/>
      <c r="BN419" s="197"/>
      <c r="BO419" s="197"/>
      <c r="BP419" s="197"/>
    </row>
    <row r="420" spans="16:68" s="196" customFormat="1" x14ac:dyDescent="0.2">
      <c r="P420" s="195"/>
      <c r="Q420" s="192"/>
      <c r="R420" s="192"/>
      <c r="S420" s="296"/>
      <c r="T420" s="300"/>
      <c r="U420" s="296"/>
      <c r="V420" s="296"/>
      <c r="W420" s="296"/>
      <c r="X420" s="296"/>
      <c r="Y420" s="296"/>
      <c r="Z420" s="296"/>
      <c r="AA420" s="296"/>
      <c r="AB420" s="296"/>
      <c r="AC420" s="296"/>
      <c r="AD420" s="296"/>
      <c r="AE420" s="296"/>
      <c r="AF420" s="296"/>
      <c r="AG420" s="296"/>
      <c r="AH420" s="296"/>
      <c r="AI420" s="296"/>
      <c r="AJ420" s="296"/>
      <c r="AK420" s="296"/>
      <c r="AL420" s="296"/>
      <c r="AM420" s="29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97"/>
      <c r="BI420" s="197"/>
      <c r="BJ420" s="197"/>
      <c r="BK420" s="197"/>
      <c r="BL420" s="197"/>
      <c r="BM420" s="197"/>
      <c r="BN420" s="197"/>
      <c r="BO420" s="197"/>
      <c r="BP420" s="197"/>
    </row>
    <row r="421" spans="16:68" s="196" customFormat="1" x14ac:dyDescent="0.2">
      <c r="P421" s="195"/>
      <c r="Q421" s="192"/>
      <c r="R421" s="192"/>
      <c r="S421" s="296"/>
      <c r="T421" s="300"/>
      <c r="U421" s="296"/>
      <c r="V421" s="296"/>
      <c r="W421" s="296"/>
      <c r="X421" s="296"/>
      <c r="Y421" s="296"/>
      <c r="Z421" s="296"/>
      <c r="AA421" s="296"/>
      <c r="AB421" s="296"/>
      <c r="AC421" s="296"/>
      <c r="AD421" s="296"/>
      <c r="AE421" s="296"/>
      <c r="AF421" s="296"/>
      <c r="AG421" s="296"/>
      <c r="AH421" s="296"/>
      <c r="AI421" s="296"/>
      <c r="AJ421" s="296"/>
      <c r="AK421" s="296"/>
      <c r="AL421" s="296"/>
      <c r="AM421" s="296"/>
      <c r="AN421" s="186"/>
      <c r="AO421" s="186"/>
      <c r="AP421" s="186"/>
      <c r="AQ421" s="186"/>
      <c r="AR421" s="186"/>
      <c r="AS421" s="186"/>
      <c r="AT421" s="186"/>
      <c r="AU421" s="186"/>
      <c r="AV421" s="186"/>
      <c r="AW421" s="186"/>
      <c r="AX421" s="186"/>
      <c r="AY421" s="186"/>
      <c r="AZ421" s="186"/>
      <c r="BA421" s="186"/>
      <c r="BB421" s="186"/>
      <c r="BC421" s="186"/>
      <c r="BD421" s="186"/>
      <c r="BE421" s="186"/>
      <c r="BF421" s="186"/>
      <c r="BG421" s="186"/>
      <c r="BH421" s="197"/>
      <c r="BI421" s="197"/>
      <c r="BJ421" s="197"/>
      <c r="BK421" s="197"/>
      <c r="BL421" s="197"/>
      <c r="BM421" s="197"/>
      <c r="BN421" s="197"/>
      <c r="BO421" s="197"/>
      <c r="BP421" s="197"/>
    </row>
    <row r="422" spans="16:68" s="196" customFormat="1" x14ac:dyDescent="0.2">
      <c r="P422" s="195"/>
      <c r="Q422" s="192"/>
      <c r="R422" s="192"/>
      <c r="S422" s="296"/>
      <c r="T422" s="300"/>
      <c r="U422" s="296"/>
      <c r="V422" s="296"/>
      <c r="W422" s="296"/>
      <c r="X422" s="296"/>
      <c r="Y422" s="296"/>
      <c r="Z422" s="296"/>
      <c r="AA422" s="296"/>
      <c r="AB422" s="296"/>
      <c r="AC422" s="296"/>
      <c r="AD422" s="296"/>
      <c r="AE422" s="296"/>
      <c r="AF422" s="296"/>
      <c r="AG422" s="296"/>
      <c r="AH422" s="296"/>
      <c r="AI422" s="296"/>
      <c r="AJ422" s="296"/>
      <c r="AK422" s="296"/>
      <c r="AL422" s="296"/>
      <c r="AM422" s="296"/>
      <c r="AN422" s="186"/>
      <c r="AO422" s="186"/>
      <c r="AP422" s="186"/>
      <c r="AQ422" s="186"/>
      <c r="AR422" s="186"/>
      <c r="AS422" s="186"/>
      <c r="AT422" s="186"/>
      <c r="AU422" s="186"/>
      <c r="AV422" s="186"/>
      <c r="AW422" s="186"/>
      <c r="AX422" s="186"/>
      <c r="AY422" s="186"/>
      <c r="AZ422" s="186"/>
      <c r="BA422" s="186"/>
      <c r="BB422" s="186"/>
      <c r="BC422" s="186"/>
      <c r="BD422" s="186"/>
      <c r="BE422" s="186"/>
      <c r="BF422" s="186"/>
      <c r="BG422" s="186"/>
      <c r="BH422" s="197"/>
      <c r="BI422" s="197"/>
      <c r="BJ422" s="197"/>
      <c r="BK422" s="197"/>
      <c r="BL422" s="197"/>
      <c r="BM422" s="197"/>
      <c r="BN422" s="197"/>
      <c r="BO422" s="197"/>
      <c r="BP422" s="197"/>
    </row>
    <row r="423" spans="16:68" s="196" customFormat="1" x14ac:dyDescent="0.2">
      <c r="P423" s="195"/>
      <c r="Q423" s="192"/>
      <c r="R423" s="192"/>
      <c r="S423" s="296"/>
      <c r="T423" s="300"/>
      <c r="U423" s="296"/>
      <c r="V423" s="296"/>
      <c r="W423" s="296"/>
      <c r="X423" s="296"/>
      <c r="Y423" s="296"/>
      <c r="Z423" s="296"/>
      <c r="AA423" s="296"/>
      <c r="AB423" s="296"/>
      <c r="AC423" s="296"/>
      <c r="AD423" s="296"/>
      <c r="AE423" s="296"/>
      <c r="AF423" s="296"/>
      <c r="AG423" s="296"/>
      <c r="AH423" s="296"/>
      <c r="AI423" s="296"/>
      <c r="AJ423" s="296"/>
      <c r="AK423" s="296"/>
      <c r="AL423" s="296"/>
      <c r="AM423" s="296"/>
      <c r="AN423" s="186"/>
      <c r="AO423" s="186"/>
      <c r="AP423" s="186"/>
      <c r="AQ423" s="186"/>
      <c r="AR423" s="186"/>
      <c r="AS423" s="186"/>
      <c r="AT423" s="186"/>
      <c r="AU423" s="186"/>
      <c r="AV423" s="186"/>
      <c r="AW423" s="186"/>
      <c r="AX423" s="186"/>
      <c r="AY423" s="186"/>
      <c r="AZ423" s="186"/>
      <c r="BA423" s="186"/>
      <c r="BB423" s="186"/>
      <c r="BC423" s="186"/>
      <c r="BD423" s="186"/>
      <c r="BE423" s="186"/>
      <c r="BF423" s="186"/>
      <c r="BG423" s="186"/>
      <c r="BH423" s="197"/>
      <c r="BI423" s="197"/>
      <c r="BJ423" s="197"/>
      <c r="BK423" s="197"/>
      <c r="BL423" s="197"/>
      <c r="BM423" s="197"/>
      <c r="BN423" s="197"/>
      <c r="BO423" s="197"/>
      <c r="BP423" s="197"/>
    </row>
    <row r="424" spans="16:68" s="196" customFormat="1" x14ac:dyDescent="0.2">
      <c r="P424" s="195"/>
      <c r="Q424" s="192"/>
      <c r="R424" s="192"/>
      <c r="S424" s="296"/>
      <c r="T424" s="300"/>
      <c r="U424" s="296"/>
      <c r="V424" s="296"/>
      <c r="W424" s="296"/>
      <c r="X424" s="296"/>
      <c r="Y424" s="296"/>
      <c r="Z424" s="296"/>
      <c r="AA424" s="296"/>
      <c r="AB424" s="296"/>
      <c r="AC424" s="296"/>
      <c r="AD424" s="296"/>
      <c r="AE424" s="296"/>
      <c r="AF424" s="296"/>
      <c r="AG424" s="296"/>
      <c r="AH424" s="296"/>
      <c r="AI424" s="296"/>
      <c r="AJ424" s="296"/>
      <c r="AK424" s="296"/>
      <c r="AL424" s="296"/>
      <c r="AM424" s="296"/>
      <c r="AN424" s="186"/>
      <c r="AO424" s="186"/>
      <c r="AP424" s="186"/>
      <c r="AQ424" s="186"/>
      <c r="AR424" s="186"/>
      <c r="AS424" s="186"/>
      <c r="AT424" s="186"/>
      <c r="AU424" s="186"/>
      <c r="AV424" s="186"/>
      <c r="AW424" s="186"/>
      <c r="AX424" s="186"/>
      <c r="AY424" s="186"/>
      <c r="AZ424" s="186"/>
      <c r="BA424" s="186"/>
      <c r="BB424" s="186"/>
      <c r="BC424" s="186"/>
      <c r="BD424" s="186"/>
      <c r="BE424" s="186"/>
      <c r="BF424" s="186"/>
      <c r="BG424" s="186"/>
      <c r="BH424" s="197"/>
      <c r="BI424" s="197"/>
      <c r="BJ424" s="197"/>
      <c r="BK424" s="197"/>
      <c r="BL424" s="197"/>
      <c r="BM424" s="197"/>
      <c r="BN424" s="197"/>
      <c r="BO424" s="197"/>
      <c r="BP424" s="197"/>
    </row>
    <row r="425" spans="16:68" s="196" customFormat="1" x14ac:dyDescent="0.2">
      <c r="P425" s="195"/>
      <c r="Q425" s="192"/>
      <c r="R425" s="192"/>
      <c r="S425" s="296"/>
      <c r="T425" s="300"/>
      <c r="U425" s="296"/>
      <c r="V425" s="296"/>
      <c r="W425" s="296"/>
      <c r="X425" s="296"/>
      <c r="Y425" s="296"/>
      <c r="Z425" s="296"/>
      <c r="AA425" s="296"/>
      <c r="AB425" s="296"/>
      <c r="AC425" s="296"/>
      <c r="AD425" s="296"/>
      <c r="AE425" s="296"/>
      <c r="AF425" s="296"/>
      <c r="AG425" s="296"/>
      <c r="AH425" s="296"/>
      <c r="AI425" s="296"/>
      <c r="AJ425" s="296"/>
      <c r="AK425" s="296"/>
      <c r="AL425" s="296"/>
      <c r="AM425" s="296"/>
      <c r="AN425" s="186"/>
      <c r="AO425" s="186"/>
      <c r="AP425" s="186"/>
      <c r="AQ425" s="186"/>
      <c r="AR425" s="186"/>
      <c r="AS425" s="186"/>
      <c r="AT425" s="186"/>
      <c r="AU425" s="186"/>
      <c r="AV425" s="186"/>
      <c r="AW425" s="186"/>
      <c r="AX425" s="186"/>
      <c r="AY425" s="186"/>
      <c r="AZ425" s="186"/>
      <c r="BA425" s="186"/>
      <c r="BB425" s="186"/>
      <c r="BC425" s="186"/>
      <c r="BD425" s="186"/>
      <c r="BE425" s="186"/>
      <c r="BF425" s="186"/>
      <c r="BG425" s="186"/>
      <c r="BH425" s="197"/>
      <c r="BI425" s="197"/>
      <c r="BJ425" s="197"/>
      <c r="BK425" s="197"/>
      <c r="BL425" s="197"/>
      <c r="BM425" s="197"/>
      <c r="BN425" s="197"/>
      <c r="BO425" s="197"/>
      <c r="BP425" s="197"/>
    </row>
    <row r="426" spans="16:68" s="196" customFormat="1" x14ac:dyDescent="0.2">
      <c r="P426" s="195"/>
      <c r="Q426" s="192"/>
      <c r="R426" s="192"/>
      <c r="S426" s="296"/>
      <c r="T426" s="300"/>
      <c r="U426" s="296"/>
      <c r="V426" s="296"/>
      <c r="W426" s="296"/>
      <c r="X426" s="296"/>
      <c r="Y426" s="296"/>
      <c r="Z426" s="296"/>
      <c r="AA426" s="296"/>
      <c r="AB426" s="296"/>
      <c r="AC426" s="296"/>
      <c r="AD426" s="296"/>
      <c r="AE426" s="296"/>
      <c r="AF426" s="296"/>
      <c r="AG426" s="296"/>
      <c r="AH426" s="296"/>
      <c r="AI426" s="296"/>
      <c r="AJ426" s="296"/>
      <c r="AK426" s="296"/>
      <c r="AL426" s="296"/>
      <c r="AM426" s="296"/>
      <c r="AN426" s="186"/>
      <c r="AO426" s="186"/>
      <c r="AP426" s="186"/>
      <c r="AQ426" s="186"/>
      <c r="AR426" s="186"/>
      <c r="AS426" s="186"/>
      <c r="AT426" s="186"/>
      <c r="AU426" s="186"/>
      <c r="AV426" s="186"/>
      <c r="AW426" s="186"/>
      <c r="AX426" s="186"/>
      <c r="AY426" s="186"/>
      <c r="AZ426" s="186"/>
      <c r="BA426" s="186"/>
      <c r="BB426" s="186"/>
      <c r="BC426" s="186"/>
      <c r="BD426" s="186"/>
      <c r="BE426" s="186"/>
      <c r="BF426" s="186"/>
      <c r="BG426" s="186"/>
      <c r="BH426" s="197"/>
      <c r="BI426" s="197"/>
      <c r="BJ426" s="197"/>
      <c r="BK426" s="197"/>
      <c r="BL426" s="197"/>
      <c r="BM426" s="197"/>
      <c r="BN426" s="197"/>
      <c r="BO426" s="197"/>
      <c r="BP426" s="197"/>
    </row>
    <row r="427" spans="16:68" s="196" customFormat="1" x14ac:dyDescent="0.2">
      <c r="P427" s="195"/>
      <c r="Q427" s="192"/>
      <c r="R427" s="192"/>
      <c r="S427" s="296"/>
      <c r="T427" s="300"/>
      <c r="U427" s="296"/>
      <c r="V427" s="296"/>
      <c r="W427" s="296"/>
      <c r="X427" s="296"/>
      <c r="Y427" s="296"/>
      <c r="Z427" s="296"/>
      <c r="AA427" s="296"/>
      <c r="AB427" s="296"/>
      <c r="AC427" s="296"/>
      <c r="AD427" s="296"/>
      <c r="AE427" s="296"/>
      <c r="AF427" s="296"/>
      <c r="AG427" s="296"/>
      <c r="AH427" s="296"/>
      <c r="AI427" s="296"/>
      <c r="AJ427" s="296"/>
      <c r="AK427" s="296"/>
      <c r="AL427" s="296"/>
      <c r="AM427" s="296"/>
      <c r="AN427" s="186"/>
      <c r="AO427" s="186"/>
      <c r="AP427" s="186"/>
      <c r="AQ427" s="186"/>
      <c r="AR427" s="186"/>
      <c r="AS427" s="186"/>
      <c r="AT427" s="186"/>
      <c r="AU427" s="186"/>
      <c r="AV427" s="186"/>
      <c r="AW427" s="186"/>
      <c r="AX427" s="186"/>
      <c r="AY427" s="186"/>
      <c r="AZ427" s="186"/>
      <c r="BA427" s="186"/>
      <c r="BB427" s="186"/>
      <c r="BC427" s="186"/>
      <c r="BD427" s="186"/>
      <c r="BE427" s="186"/>
      <c r="BF427" s="186"/>
      <c r="BG427" s="186"/>
      <c r="BH427" s="197"/>
      <c r="BI427" s="197"/>
      <c r="BJ427" s="197"/>
      <c r="BK427" s="197"/>
      <c r="BL427" s="197"/>
      <c r="BM427" s="197"/>
      <c r="BN427" s="197"/>
      <c r="BO427" s="197"/>
      <c r="BP427" s="197"/>
    </row>
    <row r="428" spans="16:68" s="196" customFormat="1" x14ac:dyDescent="0.2">
      <c r="P428" s="195"/>
      <c r="Q428" s="192"/>
      <c r="R428" s="192"/>
      <c r="S428" s="296"/>
      <c r="T428" s="300"/>
      <c r="U428" s="296"/>
      <c r="V428" s="296"/>
      <c r="W428" s="296"/>
      <c r="X428" s="296"/>
      <c r="Y428" s="296"/>
      <c r="Z428" s="296"/>
      <c r="AA428" s="296"/>
      <c r="AB428" s="296"/>
      <c r="AC428" s="296"/>
      <c r="AD428" s="296"/>
      <c r="AE428" s="296"/>
      <c r="AF428" s="296"/>
      <c r="AG428" s="296"/>
      <c r="AH428" s="296"/>
      <c r="AI428" s="296"/>
      <c r="AJ428" s="296"/>
      <c r="AK428" s="296"/>
      <c r="AL428" s="296"/>
      <c r="AM428" s="296"/>
      <c r="AN428" s="186"/>
      <c r="AO428" s="186"/>
      <c r="AP428" s="186"/>
      <c r="AQ428" s="186"/>
      <c r="AR428" s="186"/>
      <c r="AS428" s="186"/>
      <c r="AT428" s="186"/>
      <c r="AU428" s="186"/>
      <c r="AV428" s="186"/>
      <c r="AW428" s="186"/>
      <c r="AX428" s="186"/>
      <c r="AY428" s="186"/>
      <c r="AZ428" s="186"/>
      <c r="BA428" s="186"/>
      <c r="BB428" s="186"/>
      <c r="BC428" s="186"/>
      <c r="BD428" s="186"/>
      <c r="BE428" s="186"/>
      <c r="BF428" s="186"/>
      <c r="BG428" s="186"/>
      <c r="BH428" s="197"/>
      <c r="BI428" s="197"/>
      <c r="BJ428" s="197"/>
      <c r="BK428" s="197"/>
      <c r="BL428" s="197"/>
      <c r="BM428" s="197"/>
      <c r="BN428" s="197"/>
      <c r="BO428" s="197"/>
      <c r="BP428" s="197"/>
    </row>
    <row r="429" spans="16:68" s="196" customFormat="1" x14ac:dyDescent="0.2">
      <c r="P429" s="195"/>
      <c r="Q429" s="192"/>
      <c r="R429" s="192"/>
      <c r="S429" s="296"/>
      <c r="T429" s="300"/>
      <c r="U429" s="296"/>
      <c r="V429" s="296"/>
      <c r="W429" s="296"/>
      <c r="X429" s="296"/>
      <c r="Y429" s="296"/>
      <c r="Z429" s="296"/>
      <c r="AA429" s="296"/>
      <c r="AB429" s="296"/>
      <c r="AC429" s="296"/>
      <c r="AD429" s="296"/>
      <c r="AE429" s="296"/>
      <c r="AF429" s="296"/>
      <c r="AG429" s="296"/>
      <c r="AH429" s="296"/>
      <c r="AI429" s="296"/>
      <c r="AJ429" s="296"/>
      <c r="AK429" s="296"/>
      <c r="AL429" s="296"/>
      <c r="AM429" s="296"/>
      <c r="AN429" s="186"/>
      <c r="AO429" s="186"/>
      <c r="AP429" s="186"/>
      <c r="AQ429" s="186"/>
      <c r="AR429" s="186"/>
      <c r="AS429" s="186"/>
      <c r="AT429" s="186"/>
      <c r="AU429" s="186"/>
      <c r="AV429" s="186"/>
      <c r="AW429" s="186"/>
      <c r="AX429" s="186"/>
      <c r="AY429" s="186"/>
      <c r="AZ429" s="186"/>
      <c r="BA429" s="186"/>
      <c r="BB429" s="186"/>
      <c r="BC429" s="186"/>
      <c r="BD429" s="186"/>
      <c r="BE429" s="186"/>
      <c r="BF429" s="186"/>
      <c r="BG429" s="186"/>
      <c r="BH429" s="197"/>
      <c r="BI429" s="197"/>
      <c r="BJ429" s="197"/>
      <c r="BK429" s="197"/>
      <c r="BL429" s="197"/>
      <c r="BM429" s="197"/>
      <c r="BN429" s="197"/>
      <c r="BO429" s="197"/>
      <c r="BP429" s="197"/>
    </row>
    <row r="430" spans="16:68" s="196" customFormat="1" x14ac:dyDescent="0.2">
      <c r="P430" s="195"/>
      <c r="Q430" s="192"/>
      <c r="R430" s="192"/>
      <c r="S430" s="296"/>
      <c r="T430" s="300"/>
      <c r="U430" s="296"/>
      <c r="V430" s="296"/>
      <c r="W430" s="296"/>
      <c r="X430" s="296"/>
      <c r="Y430" s="296"/>
      <c r="Z430" s="296"/>
      <c r="AA430" s="296"/>
      <c r="AB430" s="296"/>
      <c r="AC430" s="296"/>
      <c r="AD430" s="296"/>
      <c r="AE430" s="296"/>
      <c r="AF430" s="296"/>
      <c r="AG430" s="296"/>
      <c r="AH430" s="296"/>
      <c r="AI430" s="296"/>
      <c r="AJ430" s="296"/>
      <c r="AK430" s="296"/>
      <c r="AL430" s="296"/>
      <c r="AM430" s="296"/>
      <c r="AN430" s="186"/>
      <c r="AO430" s="186"/>
      <c r="AP430" s="186"/>
      <c r="AQ430" s="186"/>
      <c r="AR430" s="186"/>
      <c r="AS430" s="186"/>
      <c r="AT430" s="186"/>
      <c r="AU430" s="186"/>
      <c r="AV430" s="186"/>
      <c r="AW430" s="186"/>
      <c r="AX430" s="186"/>
      <c r="AY430" s="186"/>
      <c r="AZ430" s="186"/>
      <c r="BA430" s="186"/>
      <c r="BB430" s="186"/>
      <c r="BC430" s="186"/>
      <c r="BD430" s="186"/>
      <c r="BE430" s="186"/>
      <c r="BF430" s="186"/>
      <c r="BG430" s="186"/>
      <c r="BH430" s="197"/>
      <c r="BI430" s="197"/>
      <c r="BJ430" s="197"/>
      <c r="BK430" s="197"/>
      <c r="BL430" s="197"/>
      <c r="BM430" s="197"/>
      <c r="BN430" s="197"/>
      <c r="BO430" s="197"/>
      <c r="BP430" s="197"/>
    </row>
    <row r="431" spans="16:68" s="196" customFormat="1" x14ac:dyDescent="0.2">
      <c r="P431" s="195"/>
      <c r="Q431" s="192"/>
      <c r="R431" s="192"/>
      <c r="S431" s="296"/>
      <c r="T431" s="300"/>
      <c r="U431" s="296"/>
      <c r="V431" s="296"/>
      <c r="W431" s="296"/>
      <c r="X431" s="296"/>
      <c r="Y431" s="296"/>
      <c r="Z431" s="296"/>
      <c r="AA431" s="296"/>
      <c r="AB431" s="296"/>
      <c r="AC431" s="296"/>
      <c r="AD431" s="296"/>
      <c r="AE431" s="296"/>
      <c r="AF431" s="296"/>
      <c r="AG431" s="296"/>
      <c r="AH431" s="296"/>
      <c r="AI431" s="296"/>
      <c r="AJ431" s="296"/>
      <c r="AK431" s="296"/>
      <c r="AL431" s="296"/>
      <c r="AM431" s="29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97"/>
      <c r="BI431" s="197"/>
      <c r="BJ431" s="197"/>
      <c r="BK431" s="197"/>
      <c r="BL431" s="197"/>
      <c r="BM431" s="197"/>
      <c r="BN431" s="197"/>
      <c r="BO431" s="197"/>
      <c r="BP431" s="197"/>
    </row>
    <row r="432" spans="16:68" s="196" customFormat="1" x14ac:dyDescent="0.2">
      <c r="P432" s="195"/>
      <c r="Q432" s="192"/>
      <c r="R432" s="192"/>
      <c r="S432" s="296"/>
      <c r="T432" s="300"/>
      <c r="U432" s="296"/>
      <c r="V432" s="296"/>
      <c r="W432" s="296"/>
      <c r="X432" s="296"/>
      <c r="Y432" s="296"/>
      <c r="Z432" s="296"/>
      <c r="AA432" s="296"/>
      <c r="AB432" s="296"/>
      <c r="AC432" s="296"/>
      <c r="AD432" s="296"/>
      <c r="AE432" s="296"/>
      <c r="AF432" s="296"/>
      <c r="AG432" s="296"/>
      <c r="AH432" s="296"/>
      <c r="AI432" s="296"/>
      <c r="AJ432" s="296"/>
      <c r="AK432" s="296"/>
      <c r="AL432" s="296"/>
      <c r="AM432" s="296"/>
      <c r="AN432" s="186"/>
      <c r="AO432" s="186"/>
      <c r="AP432" s="186"/>
      <c r="AQ432" s="186"/>
      <c r="AR432" s="186"/>
      <c r="AS432" s="186"/>
      <c r="AT432" s="186"/>
      <c r="AU432" s="186"/>
      <c r="AV432" s="186"/>
      <c r="AW432" s="186"/>
      <c r="AX432" s="186"/>
      <c r="AY432" s="186"/>
      <c r="AZ432" s="186"/>
      <c r="BA432" s="186"/>
      <c r="BB432" s="186"/>
      <c r="BC432" s="186"/>
      <c r="BD432" s="186"/>
      <c r="BE432" s="186"/>
      <c r="BF432" s="186"/>
      <c r="BG432" s="186"/>
      <c r="BH432" s="197"/>
      <c r="BI432" s="197"/>
      <c r="BJ432" s="197"/>
      <c r="BK432" s="197"/>
      <c r="BL432" s="197"/>
      <c r="BM432" s="197"/>
      <c r="BN432" s="197"/>
      <c r="BO432" s="197"/>
      <c r="BP432" s="197"/>
    </row>
    <row r="433" spans="16:68" s="196" customFormat="1" x14ac:dyDescent="0.2">
      <c r="P433" s="195"/>
      <c r="Q433" s="192"/>
      <c r="R433" s="192"/>
      <c r="S433" s="296"/>
      <c r="T433" s="300"/>
      <c r="U433" s="296"/>
      <c r="V433" s="296"/>
      <c r="W433" s="296"/>
      <c r="X433" s="296"/>
      <c r="Y433" s="296"/>
      <c r="Z433" s="296"/>
      <c r="AA433" s="296"/>
      <c r="AB433" s="296"/>
      <c r="AC433" s="296"/>
      <c r="AD433" s="296"/>
      <c r="AE433" s="296"/>
      <c r="AF433" s="296"/>
      <c r="AG433" s="296"/>
      <c r="AH433" s="296"/>
      <c r="AI433" s="296"/>
      <c r="AJ433" s="296"/>
      <c r="AK433" s="296"/>
      <c r="AL433" s="296"/>
      <c r="AM433" s="29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97"/>
      <c r="BI433" s="197"/>
      <c r="BJ433" s="197"/>
      <c r="BK433" s="197"/>
      <c r="BL433" s="197"/>
      <c r="BM433" s="197"/>
      <c r="BN433" s="197"/>
      <c r="BO433" s="197"/>
      <c r="BP433" s="197"/>
    </row>
    <row r="434" spans="16:68" s="196" customFormat="1" x14ac:dyDescent="0.2">
      <c r="P434" s="195"/>
      <c r="Q434" s="192"/>
      <c r="R434" s="192"/>
      <c r="S434" s="296"/>
      <c r="T434" s="300"/>
      <c r="U434" s="296"/>
      <c r="V434" s="296"/>
      <c r="W434" s="296"/>
      <c r="X434" s="296"/>
      <c r="Y434" s="296"/>
      <c r="Z434" s="296"/>
      <c r="AA434" s="296"/>
      <c r="AB434" s="296"/>
      <c r="AC434" s="296"/>
      <c r="AD434" s="296"/>
      <c r="AE434" s="296"/>
      <c r="AF434" s="296"/>
      <c r="AG434" s="296"/>
      <c r="AH434" s="296"/>
      <c r="AI434" s="296"/>
      <c r="AJ434" s="296"/>
      <c r="AK434" s="296"/>
      <c r="AL434" s="296"/>
      <c r="AM434" s="296"/>
      <c r="AN434" s="186"/>
      <c r="AO434" s="186"/>
      <c r="AP434" s="186"/>
      <c r="AQ434" s="186"/>
      <c r="AR434" s="186"/>
      <c r="AS434" s="186"/>
      <c r="AT434" s="186"/>
      <c r="AU434" s="186"/>
      <c r="AV434" s="186"/>
      <c r="AW434" s="186"/>
      <c r="AX434" s="186"/>
      <c r="AY434" s="186"/>
      <c r="AZ434" s="186"/>
      <c r="BA434" s="186"/>
      <c r="BB434" s="186"/>
      <c r="BC434" s="186"/>
      <c r="BD434" s="186"/>
      <c r="BE434" s="186"/>
      <c r="BF434" s="186"/>
      <c r="BG434" s="186"/>
      <c r="BH434" s="197"/>
      <c r="BI434" s="197"/>
      <c r="BJ434" s="197"/>
      <c r="BK434" s="197"/>
      <c r="BL434" s="197"/>
      <c r="BM434" s="197"/>
      <c r="BN434" s="197"/>
      <c r="BO434" s="197"/>
      <c r="BP434" s="197"/>
    </row>
    <row r="435" spans="16:68" s="196" customFormat="1" x14ac:dyDescent="0.2">
      <c r="P435" s="195"/>
      <c r="Q435" s="192"/>
      <c r="R435" s="192"/>
      <c r="S435" s="296"/>
      <c r="T435" s="300"/>
      <c r="U435" s="296"/>
      <c r="V435" s="296"/>
      <c r="W435" s="296"/>
      <c r="X435" s="296"/>
      <c r="Y435" s="296"/>
      <c r="Z435" s="296"/>
      <c r="AA435" s="296"/>
      <c r="AB435" s="296"/>
      <c r="AC435" s="296"/>
      <c r="AD435" s="296"/>
      <c r="AE435" s="296"/>
      <c r="AF435" s="296"/>
      <c r="AG435" s="296"/>
      <c r="AH435" s="296"/>
      <c r="AI435" s="296"/>
      <c r="AJ435" s="296"/>
      <c r="AK435" s="296"/>
      <c r="AL435" s="296"/>
      <c r="AM435" s="296"/>
      <c r="AN435" s="186"/>
      <c r="AO435" s="186"/>
      <c r="AP435" s="186"/>
      <c r="AQ435" s="186"/>
      <c r="AR435" s="186"/>
      <c r="AS435" s="186"/>
      <c r="AT435" s="186"/>
      <c r="AU435" s="186"/>
      <c r="AV435" s="186"/>
      <c r="AW435" s="186"/>
      <c r="AX435" s="186"/>
      <c r="AY435" s="186"/>
      <c r="AZ435" s="186"/>
      <c r="BA435" s="186"/>
      <c r="BB435" s="186"/>
      <c r="BC435" s="186"/>
      <c r="BD435" s="186"/>
      <c r="BE435" s="186"/>
      <c r="BF435" s="186"/>
      <c r="BG435" s="186"/>
      <c r="BH435" s="197"/>
      <c r="BI435" s="197"/>
      <c r="BJ435" s="197"/>
      <c r="BK435" s="197"/>
      <c r="BL435" s="197"/>
      <c r="BM435" s="197"/>
      <c r="BN435" s="197"/>
      <c r="BO435" s="197"/>
      <c r="BP435" s="197"/>
    </row>
    <row r="436" spans="16:68" s="196" customFormat="1" x14ac:dyDescent="0.2">
      <c r="P436" s="195"/>
      <c r="Q436" s="192"/>
      <c r="R436" s="192"/>
      <c r="S436" s="296"/>
      <c r="T436" s="300"/>
      <c r="U436" s="296"/>
      <c r="V436" s="296"/>
      <c r="W436" s="296"/>
      <c r="X436" s="296"/>
      <c r="Y436" s="296"/>
      <c r="Z436" s="296"/>
      <c r="AA436" s="296"/>
      <c r="AB436" s="296"/>
      <c r="AC436" s="296"/>
      <c r="AD436" s="296"/>
      <c r="AE436" s="296"/>
      <c r="AF436" s="296"/>
      <c r="AG436" s="296"/>
      <c r="AH436" s="296"/>
      <c r="AI436" s="296"/>
      <c r="AJ436" s="296"/>
      <c r="AK436" s="296"/>
      <c r="AL436" s="296"/>
      <c r="AM436" s="296"/>
      <c r="AN436" s="186"/>
      <c r="AO436" s="186"/>
      <c r="AP436" s="186"/>
      <c r="AQ436" s="186"/>
      <c r="AR436" s="186"/>
      <c r="AS436" s="186"/>
      <c r="AT436" s="186"/>
      <c r="AU436" s="186"/>
      <c r="AV436" s="186"/>
      <c r="AW436" s="186"/>
      <c r="AX436" s="186"/>
      <c r="AY436" s="186"/>
      <c r="AZ436" s="186"/>
      <c r="BA436" s="186"/>
      <c r="BB436" s="186"/>
      <c r="BC436" s="186"/>
      <c r="BD436" s="186"/>
      <c r="BE436" s="186"/>
      <c r="BF436" s="186"/>
      <c r="BG436" s="186"/>
      <c r="BH436" s="197"/>
      <c r="BI436" s="197"/>
      <c r="BJ436" s="197"/>
      <c r="BK436" s="197"/>
      <c r="BL436" s="197"/>
      <c r="BM436" s="197"/>
      <c r="BN436" s="197"/>
      <c r="BO436" s="197"/>
      <c r="BP436" s="197"/>
    </row>
    <row r="437" spans="16:68" s="196" customFormat="1" x14ac:dyDescent="0.2">
      <c r="P437" s="195"/>
      <c r="Q437" s="192"/>
      <c r="R437" s="192"/>
      <c r="S437" s="296"/>
      <c r="T437" s="300"/>
      <c r="U437" s="296"/>
      <c r="V437" s="296"/>
      <c r="W437" s="296"/>
      <c r="X437" s="296"/>
      <c r="Y437" s="296"/>
      <c r="Z437" s="296"/>
      <c r="AA437" s="296"/>
      <c r="AB437" s="296"/>
      <c r="AC437" s="296"/>
      <c r="AD437" s="296"/>
      <c r="AE437" s="296"/>
      <c r="AF437" s="296"/>
      <c r="AG437" s="296"/>
      <c r="AH437" s="296"/>
      <c r="AI437" s="296"/>
      <c r="AJ437" s="296"/>
      <c r="AK437" s="296"/>
      <c r="AL437" s="296"/>
      <c r="AM437" s="296"/>
      <c r="AN437" s="186"/>
      <c r="AO437" s="186"/>
      <c r="AP437" s="186"/>
      <c r="AQ437" s="186"/>
      <c r="AR437" s="186"/>
      <c r="AS437" s="186"/>
      <c r="AT437" s="186"/>
      <c r="AU437" s="186"/>
      <c r="AV437" s="186"/>
      <c r="AW437" s="186"/>
      <c r="AX437" s="186"/>
      <c r="AY437" s="186"/>
      <c r="AZ437" s="186"/>
      <c r="BA437" s="186"/>
      <c r="BB437" s="186"/>
      <c r="BC437" s="186"/>
      <c r="BD437" s="186"/>
      <c r="BE437" s="186"/>
      <c r="BF437" s="186"/>
      <c r="BG437" s="186"/>
      <c r="BH437" s="197"/>
      <c r="BI437" s="197"/>
      <c r="BJ437" s="197"/>
      <c r="BK437" s="197"/>
      <c r="BL437" s="197"/>
      <c r="BM437" s="197"/>
      <c r="BN437" s="197"/>
      <c r="BO437" s="197"/>
      <c r="BP437" s="197"/>
    </row>
    <row r="438" spans="16:68" s="196" customFormat="1" x14ac:dyDescent="0.2">
      <c r="P438" s="195"/>
      <c r="Q438" s="192"/>
      <c r="R438" s="192"/>
      <c r="S438" s="296"/>
      <c r="T438" s="300"/>
      <c r="U438" s="296"/>
      <c r="V438" s="296"/>
      <c r="W438" s="296"/>
      <c r="X438" s="296"/>
      <c r="Y438" s="296"/>
      <c r="Z438" s="296"/>
      <c r="AA438" s="296"/>
      <c r="AB438" s="296"/>
      <c r="AC438" s="296"/>
      <c r="AD438" s="296"/>
      <c r="AE438" s="296"/>
      <c r="AF438" s="296"/>
      <c r="AG438" s="296"/>
      <c r="AH438" s="296"/>
      <c r="AI438" s="296"/>
      <c r="AJ438" s="296"/>
      <c r="AK438" s="296"/>
      <c r="AL438" s="296"/>
      <c r="AM438" s="296"/>
      <c r="AN438" s="186"/>
      <c r="AO438" s="186"/>
      <c r="AP438" s="186"/>
      <c r="AQ438" s="186"/>
      <c r="AR438" s="186"/>
      <c r="AS438" s="186"/>
      <c r="AT438" s="186"/>
      <c r="AU438" s="186"/>
      <c r="AV438" s="186"/>
      <c r="AW438" s="186"/>
      <c r="AX438" s="186"/>
      <c r="AY438" s="186"/>
      <c r="AZ438" s="186"/>
      <c r="BA438" s="186"/>
      <c r="BB438" s="186"/>
      <c r="BC438" s="186"/>
      <c r="BD438" s="186"/>
      <c r="BE438" s="186"/>
      <c r="BF438" s="186"/>
      <c r="BG438" s="186"/>
      <c r="BH438" s="197"/>
      <c r="BI438" s="197"/>
      <c r="BJ438" s="197"/>
      <c r="BK438" s="197"/>
      <c r="BL438" s="197"/>
      <c r="BM438" s="197"/>
      <c r="BN438" s="197"/>
      <c r="BO438" s="197"/>
      <c r="BP438" s="197"/>
    </row>
    <row r="439" spans="16:68" s="196" customFormat="1" x14ac:dyDescent="0.2">
      <c r="P439" s="195"/>
      <c r="Q439" s="192"/>
      <c r="R439" s="192"/>
      <c r="S439" s="296"/>
      <c r="T439" s="300"/>
      <c r="U439" s="296"/>
      <c r="V439" s="296"/>
      <c r="W439" s="296"/>
      <c r="X439" s="296"/>
      <c r="Y439" s="296"/>
      <c r="Z439" s="296"/>
      <c r="AA439" s="296"/>
      <c r="AB439" s="296"/>
      <c r="AC439" s="296"/>
      <c r="AD439" s="296"/>
      <c r="AE439" s="296"/>
      <c r="AF439" s="296"/>
      <c r="AG439" s="296"/>
      <c r="AH439" s="296"/>
      <c r="AI439" s="296"/>
      <c r="AJ439" s="296"/>
      <c r="AK439" s="296"/>
      <c r="AL439" s="296"/>
      <c r="AM439" s="296"/>
      <c r="AN439" s="186"/>
      <c r="AO439" s="186"/>
      <c r="AP439" s="186"/>
      <c r="AQ439" s="186"/>
      <c r="AR439" s="186"/>
      <c r="AS439" s="186"/>
      <c r="AT439" s="186"/>
      <c r="AU439" s="186"/>
      <c r="AV439" s="186"/>
      <c r="AW439" s="186"/>
      <c r="AX439" s="186"/>
      <c r="AY439" s="186"/>
      <c r="AZ439" s="186"/>
      <c r="BA439" s="186"/>
      <c r="BB439" s="186"/>
      <c r="BC439" s="186"/>
      <c r="BD439" s="186"/>
      <c r="BE439" s="186"/>
      <c r="BF439" s="186"/>
      <c r="BG439" s="186"/>
      <c r="BH439" s="197"/>
      <c r="BI439" s="197"/>
      <c r="BJ439" s="197"/>
      <c r="BK439" s="197"/>
      <c r="BL439" s="197"/>
      <c r="BM439" s="197"/>
      <c r="BN439" s="197"/>
      <c r="BO439" s="197"/>
      <c r="BP439" s="197"/>
    </row>
    <row r="440" spans="16:68" s="196" customFormat="1" x14ac:dyDescent="0.2">
      <c r="P440" s="195"/>
      <c r="Q440" s="192"/>
      <c r="R440" s="192"/>
      <c r="S440" s="296"/>
      <c r="T440" s="300"/>
      <c r="U440" s="296"/>
      <c r="V440" s="296"/>
      <c r="W440" s="296"/>
      <c r="X440" s="296"/>
      <c r="Y440" s="296"/>
      <c r="Z440" s="296"/>
      <c r="AA440" s="296"/>
      <c r="AB440" s="296"/>
      <c r="AC440" s="296"/>
      <c r="AD440" s="296"/>
      <c r="AE440" s="296"/>
      <c r="AF440" s="296"/>
      <c r="AG440" s="296"/>
      <c r="AH440" s="296"/>
      <c r="AI440" s="296"/>
      <c r="AJ440" s="296"/>
      <c r="AK440" s="296"/>
      <c r="AL440" s="296"/>
      <c r="AM440" s="296"/>
      <c r="AN440" s="186"/>
      <c r="AO440" s="186"/>
      <c r="AP440" s="186"/>
      <c r="AQ440" s="186"/>
      <c r="AR440" s="186"/>
      <c r="AS440" s="186"/>
      <c r="AT440" s="186"/>
      <c r="AU440" s="186"/>
      <c r="AV440" s="186"/>
      <c r="AW440" s="186"/>
      <c r="AX440" s="186"/>
      <c r="AY440" s="186"/>
      <c r="AZ440" s="186"/>
      <c r="BA440" s="186"/>
      <c r="BB440" s="186"/>
      <c r="BC440" s="186"/>
      <c r="BD440" s="186"/>
      <c r="BE440" s="186"/>
      <c r="BF440" s="186"/>
      <c r="BG440" s="186"/>
      <c r="BH440" s="197"/>
      <c r="BI440" s="197"/>
      <c r="BJ440" s="197"/>
      <c r="BK440" s="197"/>
      <c r="BL440" s="197"/>
      <c r="BM440" s="197"/>
      <c r="BN440" s="197"/>
      <c r="BO440" s="197"/>
      <c r="BP440" s="197"/>
    </row>
    <row r="441" spans="16:68" s="196" customFormat="1" x14ac:dyDescent="0.2">
      <c r="P441" s="195"/>
      <c r="Q441" s="192"/>
      <c r="R441" s="192"/>
      <c r="S441" s="296"/>
      <c r="T441" s="300"/>
      <c r="U441" s="296"/>
      <c r="V441" s="296"/>
      <c r="W441" s="296"/>
      <c r="X441" s="296"/>
      <c r="Y441" s="296"/>
      <c r="Z441" s="296"/>
      <c r="AA441" s="296"/>
      <c r="AB441" s="296"/>
      <c r="AC441" s="296"/>
      <c r="AD441" s="296"/>
      <c r="AE441" s="296"/>
      <c r="AF441" s="296"/>
      <c r="AG441" s="296"/>
      <c r="AH441" s="296"/>
      <c r="AI441" s="296"/>
      <c r="AJ441" s="296"/>
      <c r="AK441" s="296"/>
      <c r="AL441" s="296"/>
      <c r="AM441" s="296"/>
      <c r="AN441" s="186"/>
      <c r="AO441" s="186"/>
      <c r="AP441" s="186"/>
      <c r="AQ441" s="186"/>
      <c r="AR441" s="186"/>
      <c r="AS441" s="186"/>
      <c r="AT441" s="186"/>
      <c r="AU441" s="186"/>
      <c r="AV441" s="186"/>
      <c r="AW441" s="186"/>
      <c r="AX441" s="186"/>
      <c r="AY441" s="186"/>
      <c r="AZ441" s="186"/>
      <c r="BA441" s="186"/>
      <c r="BB441" s="186"/>
      <c r="BC441" s="186"/>
      <c r="BD441" s="186"/>
      <c r="BE441" s="186"/>
      <c r="BF441" s="186"/>
      <c r="BG441" s="186"/>
      <c r="BH441" s="197"/>
      <c r="BI441" s="197"/>
      <c r="BJ441" s="197"/>
      <c r="BK441" s="197"/>
      <c r="BL441" s="197"/>
      <c r="BM441" s="197"/>
      <c r="BN441" s="197"/>
      <c r="BO441" s="197"/>
      <c r="BP441" s="197"/>
    </row>
    <row r="442" spans="16:68" s="196" customFormat="1" x14ac:dyDescent="0.2">
      <c r="P442" s="195"/>
      <c r="Q442" s="192"/>
      <c r="R442" s="192"/>
      <c r="S442" s="296"/>
      <c r="T442" s="300"/>
      <c r="U442" s="296"/>
      <c r="V442" s="296"/>
      <c r="W442" s="296"/>
      <c r="X442" s="296"/>
      <c r="Y442" s="296"/>
      <c r="Z442" s="296"/>
      <c r="AA442" s="296"/>
      <c r="AB442" s="296"/>
      <c r="AC442" s="296"/>
      <c r="AD442" s="296"/>
      <c r="AE442" s="296"/>
      <c r="AF442" s="296"/>
      <c r="AG442" s="296"/>
      <c r="AH442" s="296"/>
      <c r="AI442" s="296"/>
      <c r="AJ442" s="296"/>
      <c r="AK442" s="296"/>
      <c r="AL442" s="296"/>
      <c r="AM442" s="296"/>
      <c r="AN442" s="186"/>
      <c r="AO442" s="186"/>
      <c r="AP442" s="186"/>
      <c r="AQ442" s="186"/>
      <c r="AR442" s="186"/>
      <c r="AS442" s="186"/>
      <c r="AT442" s="186"/>
      <c r="AU442" s="186"/>
      <c r="AV442" s="186"/>
      <c r="AW442" s="186"/>
      <c r="AX442" s="186"/>
      <c r="AY442" s="186"/>
      <c r="AZ442" s="186"/>
      <c r="BA442" s="186"/>
      <c r="BB442" s="186"/>
      <c r="BC442" s="186"/>
      <c r="BD442" s="186"/>
      <c r="BE442" s="186"/>
      <c r="BF442" s="186"/>
      <c r="BG442" s="186"/>
      <c r="BH442" s="197"/>
      <c r="BI442" s="197"/>
      <c r="BJ442" s="197"/>
      <c r="BK442" s="197"/>
      <c r="BL442" s="197"/>
      <c r="BM442" s="197"/>
      <c r="BN442" s="197"/>
      <c r="BO442" s="197"/>
      <c r="BP442" s="197"/>
    </row>
    <row r="443" spans="16:68" s="196" customFormat="1" x14ac:dyDescent="0.2">
      <c r="P443" s="195"/>
      <c r="Q443" s="192"/>
      <c r="R443" s="192"/>
      <c r="S443" s="296"/>
      <c r="T443" s="300"/>
      <c r="U443" s="296"/>
      <c r="V443" s="296"/>
      <c r="W443" s="296"/>
      <c r="X443" s="296"/>
      <c r="Y443" s="296"/>
      <c r="Z443" s="296"/>
      <c r="AA443" s="296"/>
      <c r="AB443" s="296"/>
      <c r="AC443" s="296"/>
      <c r="AD443" s="296"/>
      <c r="AE443" s="296"/>
      <c r="AF443" s="296"/>
      <c r="AG443" s="296"/>
      <c r="AH443" s="296"/>
      <c r="AI443" s="296"/>
      <c r="AJ443" s="296"/>
      <c r="AK443" s="296"/>
      <c r="AL443" s="296"/>
      <c r="AM443" s="296"/>
      <c r="AN443" s="186"/>
      <c r="AO443" s="186"/>
      <c r="AP443" s="186"/>
      <c r="AQ443" s="186"/>
      <c r="AR443" s="186"/>
      <c r="AS443" s="186"/>
      <c r="AT443" s="186"/>
      <c r="AU443" s="186"/>
      <c r="AV443" s="186"/>
      <c r="AW443" s="186"/>
      <c r="AX443" s="186"/>
      <c r="AY443" s="186"/>
      <c r="AZ443" s="186"/>
      <c r="BA443" s="186"/>
      <c r="BB443" s="186"/>
      <c r="BC443" s="186"/>
      <c r="BD443" s="186"/>
      <c r="BE443" s="186"/>
      <c r="BF443" s="186"/>
      <c r="BG443" s="186"/>
      <c r="BH443" s="197"/>
      <c r="BI443" s="197"/>
      <c r="BJ443" s="197"/>
      <c r="BK443" s="197"/>
      <c r="BL443" s="197"/>
      <c r="BM443" s="197"/>
      <c r="BN443" s="197"/>
      <c r="BO443" s="197"/>
      <c r="BP443" s="197"/>
    </row>
    <row r="444" spans="16:68" s="196" customFormat="1" x14ac:dyDescent="0.2">
      <c r="P444" s="195"/>
      <c r="Q444" s="192"/>
      <c r="R444" s="192"/>
      <c r="S444" s="296"/>
      <c r="T444" s="300"/>
      <c r="U444" s="296"/>
      <c r="V444" s="296"/>
      <c r="W444" s="296"/>
      <c r="X444" s="296"/>
      <c r="Y444" s="296"/>
      <c r="Z444" s="296"/>
      <c r="AA444" s="296"/>
      <c r="AB444" s="296"/>
      <c r="AC444" s="296"/>
      <c r="AD444" s="296"/>
      <c r="AE444" s="296"/>
      <c r="AF444" s="296"/>
      <c r="AG444" s="296"/>
      <c r="AH444" s="296"/>
      <c r="AI444" s="296"/>
      <c r="AJ444" s="296"/>
      <c r="AK444" s="296"/>
      <c r="AL444" s="296"/>
      <c r="AM444" s="296"/>
      <c r="AN444" s="186"/>
      <c r="AO444" s="186"/>
      <c r="AP444" s="186"/>
      <c r="AQ444" s="186"/>
      <c r="AR444" s="186"/>
      <c r="AS444" s="186"/>
      <c r="AT444" s="186"/>
      <c r="AU444" s="186"/>
      <c r="AV444" s="186"/>
      <c r="AW444" s="186"/>
      <c r="AX444" s="186"/>
      <c r="AY444" s="186"/>
      <c r="AZ444" s="186"/>
      <c r="BA444" s="186"/>
      <c r="BB444" s="186"/>
      <c r="BC444" s="186"/>
      <c r="BD444" s="186"/>
      <c r="BE444" s="186"/>
      <c r="BF444" s="186"/>
      <c r="BG444" s="186"/>
      <c r="BH444" s="197"/>
      <c r="BI444" s="197"/>
      <c r="BJ444" s="197"/>
      <c r="BK444" s="197"/>
      <c r="BL444" s="197"/>
      <c r="BM444" s="197"/>
      <c r="BN444" s="197"/>
      <c r="BO444" s="197"/>
      <c r="BP444" s="197"/>
    </row>
    <row r="445" spans="16:68" s="196" customFormat="1" x14ac:dyDescent="0.2">
      <c r="P445" s="195"/>
      <c r="Q445" s="192"/>
      <c r="R445" s="192"/>
      <c r="S445" s="296"/>
      <c r="T445" s="300"/>
      <c r="U445" s="296"/>
      <c r="V445" s="296"/>
      <c r="W445" s="296"/>
      <c r="X445" s="296"/>
      <c r="Y445" s="296"/>
      <c r="Z445" s="296"/>
      <c r="AA445" s="296"/>
      <c r="AB445" s="296"/>
      <c r="AC445" s="296"/>
      <c r="AD445" s="296"/>
      <c r="AE445" s="296"/>
      <c r="AF445" s="296"/>
      <c r="AG445" s="296"/>
      <c r="AH445" s="296"/>
      <c r="AI445" s="296"/>
      <c r="AJ445" s="296"/>
      <c r="AK445" s="296"/>
      <c r="AL445" s="296"/>
      <c r="AM445" s="296"/>
      <c r="AN445" s="186"/>
      <c r="AO445" s="186"/>
      <c r="AP445" s="186"/>
      <c r="AQ445" s="186"/>
      <c r="AR445" s="186"/>
      <c r="AS445" s="186"/>
      <c r="AT445" s="186"/>
      <c r="AU445" s="186"/>
      <c r="AV445" s="186"/>
      <c r="AW445" s="186"/>
      <c r="AX445" s="186"/>
      <c r="AY445" s="186"/>
      <c r="AZ445" s="186"/>
      <c r="BA445" s="186"/>
      <c r="BB445" s="186"/>
      <c r="BC445" s="186"/>
      <c r="BD445" s="186"/>
      <c r="BE445" s="186"/>
      <c r="BF445" s="186"/>
      <c r="BG445" s="186"/>
      <c r="BH445" s="197"/>
      <c r="BI445" s="197"/>
      <c r="BJ445" s="197"/>
      <c r="BK445" s="197"/>
      <c r="BL445" s="197"/>
      <c r="BM445" s="197"/>
      <c r="BN445" s="197"/>
      <c r="BO445" s="197"/>
      <c r="BP445" s="197"/>
    </row>
    <row r="446" spans="16:68" s="196" customFormat="1" x14ac:dyDescent="0.2">
      <c r="P446" s="195"/>
      <c r="Q446" s="192"/>
      <c r="R446" s="192"/>
      <c r="S446" s="296"/>
      <c r="T446" s="300"/>
      <c r="U446" s="296"/>
      <c r="V446" s="296"/>
      <c r="W446" s="296"/>
      <c r="X446" s="296"/>
      <c r="Y446" s="296"/>
      <c r="Z446" s="296"/>
      <c r="AA446" s="296"/>
      <c r="AB446" s="296"/>
      <c r="AC446" s="296"/>
      <c r="AD446" s="296"/>
      <c r="AE446" s="296"/>
      <c r="AF446" s="296"/>
      <c r="AG446" s="296"/>
      <c r="AH446" s="296"/>
      <c r="AI446" s="296"/>
      <c r="AJ446" s="296"/>
      <c r="AK446" s="296"/>
      <c r="AL446" s="296"/>
      <c r="AM446" s="296"/>
      <c r="AN446" s="186"/>
      <c r="AO446" s="186"/>
      <c r="AP446" s="186"/>
      <c r="AQ446" s="186"/>
      <c r="AR446" s="186"/>
      <c r="AS446" s="186"/>
      <c r="AT446" s="186"/>
      <c r="AU446" s="186"/>
      <c r="AV446" s="186"/>
      <c r="AW446" s="186"/>
      <c r="AX446" s="186"/>
      <c r="AY446" s="186"/>
      <c r="AZ446" s="186"/>
      <c r="BA446" s="186"/>
      <c r="BB446" s="186"/>
      <c r="BC446" s="186"/>
      <c r="BD446" s="186"/>
      <c r="BE446" s="186"/>
      <c r="BF446" s="186"/>
      <c r="BG446" s="186"/>
      <c r="BH446" s="197"/>
      <c r="BI446" s="197"/>
      <c r="BJ446" s="197"/>
      <c r="BK446" s="197"/>
      <c r="BL446" s="197"/>
      <c r="BM446" s="197"/>
      <c r="BN446" s="197"/>
      <c r="BO446" s="197"/>
      <c r="BP446" s="197"/>
    </row>
    <row r="447" spans="16:68" s="196" customFormat="1" x14ac:dyDescent="0.2">
      <c r="P447" s="195"/>
      <c r="Q447" s="192"/>
      <c r="R447" s="192"/>
      <c r="S447" s="296"/>
      <c r="T447" s="300"/>
      <c r="U447" s="296"/>
      <c r="V447" s="296"/>
      <c r="W447" s="296"/>
      <c r="X447" s="296"/>
      <c r="Y447" s="296"/>
      <c r="Z447" s="296"/>
      <c r="AA447" s="296"/>
      <c r="AB447" s="296"/>
      <c r="AC447" s="296"/>
      <c r="AD447" s="296"/>
      <c r="AE447" s="296"/>
      <c r="AF447" s="296"/>
      <c r="AG447" s="296"/>
      <c r="AH447" s="296"/>
      <c r="AI447" s="296"/>
      <c r="AJ447" s="296"/>
      <c r="AK447" s="296"/>
      <c r="AL447" s="296"/>
      <c r="AM447" s="296"/>
      <c r="AN447" s="186"/>
      <c r="AO447" s="186"/>
      <c r="AP447" s="186"/>
      <c r="AQ447" s="186"/>
      <c r="AR447" s="186"/>
      <c r="AS447" s="186"/>
      <c r="AT447" s="186"/>
      <c r="AU447" s="186"/>
      <c r="AV447" s="186"/>
      <c r="AW447" s="186"/>
      <c r="AX447" s="186"/>
      <c r="AY447" s="186"/>
      <c r="AZ447" s="186"/>
      <c r="BA447" s="186"/>
      <c r="BB447" s="186"/>
      <c r="BC447" s="186"/>
      <c r="BD447" s="186"/>
      <c r="BE447" s="186"/>
      <c r="BF447" s="186"/>
      <c r="BG447" s="186"/>
      <c r="BH447" s="197"/>
      <c r="BI447" s="197"/>
      <c r="BJ447" s="197"/>
      <c r="BK447" s="197"/>
      <c r="BL447" s="197"/>
      <c r="BM447" s="197"/>
      <c r="BN447" s="197"/>
      <c r="BO447" s="197"/>
      <c r="BP447" s="197"/>
    </row>
    <row r="448" spans="16:68" s="196" customFormat="1" x14ac:dyDescent="0.2">
      <c r="P448" s="195"/>
      <c r="Q448" s="192"/>
      <c r="R448" s="192"/>
      <c r="S448" s="296"/>
      <c r="T448" s="300"/>
      <c r="U448" s="296"/>
      <c r="V448" s="296"/>
      <c r="W448" s="296"/>
      <c r="X448" s="296"/>
      <c r="Y448" s="296"/>
      <c r="Z448" s="296"/>
      <c r="AA448" s="296"/>
      <c r="AB448" s="296"/>
      <c r="AC448" s="296"/>
      <c r="AD448" s="296"/>
      <c r="AE448" s="296"/>
      <c r="AF448" s="296"/>
      <c r="AG448" s="296"/>
      <c r="AH448" s="296"/>
      <c r="AI448" s="296"/>
      <c r="AJ448" s="296"/>
      <c r="AK448" s="296"/>
      <c r="AL448" s="296"/>
      <c r="AM448" s="29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97"/>
      <c r="BI448" s="197"/>
      <c r="BJ448" s="197"/>
      <c r="BK448" s="197"/>
      <c r="BL448" s="197"/>
      <c r="BM448" s="197"/>
      <c r="BN448" s="197"/>
      <c r="BO448" s="197"/>
      <c r="BP448" s="197"/>
    </row>
    <row r="449" spans="16:68" s="196" customFormat="1" x14ac:dyDescent="0.2">
      <c r="P449" s="195"/>
      <c r="Q449" s="192"/>
      <c r="R449" s="192"/>
      <c r="S449" s="296"/>
      <c r="T449" s="300"/>
      <c r="U449" s="296"/>
      <c r="V449" s="296"/>
      <c r="W449" s="296"/>
      <c r="X449" s="296"/>
      <c r="Y449" s="296"/>
      <c r="Z449" s="296"/>
      <c r="AA449" s="296"/>
      <c r="AB449" s="296"/>
      <c r="AC449" s="296"/>
      <c r="AD449" s="296"/>
      <c r="AE449" s="296"/>
      <c r="AF449" s="296"/>
      <c r="AG449" s="296"/>
      <c r="AH449" s="296"/>
      <c r="AI449" s="296"/>
      <c r="AJ449" s="296"/>
      <c r="AK449" s="296"/>
      <c r="AL449" s="296"/>
      <c r="AM449" s="296"/>
      <c r="AN449" s="186"/>
      <c r="AO449" s="186"/>
      <c r="AP449" s="186"/>
      <c r="AQ449" s="186"/>
      <c r="AR449" s="186"/>
      <c r="AS449" s="186"/>
      <c r="AT449" s="186"/>
      <c r="AU449" s="186"/>
      <c r="AV449" s="186"/>
      <c r="AW449" s="186"/>
      <c r="AX449" s="186"/>
      <c r="AY449" s="186"/>
      <c r="AZ449" s="186"/>
      <c r="BA449" s="186"/>
      <c r="BB449" s="186"/>
      <c r="BC449" s="186"/>
      <c r="BD449" s="186"/>
      <c r="BE449" s="186"/>
      <c r="BF449" s="186"/>
      <c r="BG449" s="186"/>
      <c r="BH449" s="197"/>
      <c r="BI449" s="197"/>
      <c r="BJ449" s="197"/>
      <c r="BK449" s="197"/>
      <c r="BL449" s="197"/>
      <c r="BM449" s="197"/>
      <c r="BN449" s="197"/>
      <c r="BO449" s="197"/>
      <c r="BP449" s="197"/>
    </row>
    <row r="450" spans="16:68" s="196" customFormat="1" x14ac:dyDescent="0.2">
      <c r="P450" s="195"/>
      <c r="Q450" s="192"/>
      <c r="R450" s="192"/>
      <c r="S450" s="296"/>
      <c r="T450" s="300"/>
      <c r="U450" s="296"/>
      <c r="V450" s="296"/>
      <c r="W450" s="296"/>
      <c r="X450" s="296"/>
      <c r="Y450" s="296"/>
      <c r="Z450" s="296"/>
      <c r="AA450" s="296"/>
      <c r="AB450" s="296"/>
      <c r="AC450" s="296"/>
      <c r="AD450" s="296"/>
      <c r="AE450" s="296"/>
      <c r="AF450" s="296"/>
      <c r="AG450" s="296"/>
      <c r="AH450" s="296"/>
      <c r="AI450" s="296"/>
      <c r="AJ450" s="296"/>
      <c r="AK450" s="296"/>
      <c r="AL450" s="296"/>
      <c r="AM450" s="29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97"/>
      <c r="BI450" s="197"/>
      <c r="BJ450" s="197"/>
      <c r="BK450" s="197"/>
      <c r="BL450" s="197"/>
      <c r="BM450" s="197"/>
      <c r="BN450" s="197"/>
      <c r="BO450" s="197"/>
      <c r="BP450" s="197"/>
    </row>
    <row r="451" spans="16:68" s="196" customFormat="1" x14ac:dyDescent="0.2">
      <c r="P451" s="195"/>
      <c r="Q451" s="192"/>
      <c r="R451" s="192"/>
      <c r="S451" s="296"/>
      <c r="T451" s="300"/>
      <c r="U451" s="296"/>
      <c r="V451" s="296"/>
      <c r="W451" s="296"/>
      <c r="X451" s="296"/>
      <c r="Y451" s="296"/>
      <c r="Z451" s="296"/>
      <c r="AA451" s="296"/>
      <c r="AB451" s="296"/>
      <c r="AC451" s="296"/>
      <c r="AD451" s="296"/>
      <c r="AE451" s="296"/>
      <c r="AF451" s="296"/>
      <c r="AG451" s="296"/>
      <c r="AH451" s="296"/>
      <c r="AI451" s="296"/>
      <c r="AJ451" s="296"/>
      <c r="AK451" s="296"/>
      <c r="AL451" s="296"/>
      <c r="AM451" s="296"/>
      <c r="AN451" s="186"/>
      <c r="AO451" s="186"/>
      <c r="AP451" s="186"/>
      <c r="AQ451" s="186"/>
      <c r="AR451" s="186"/>
      <c r="AS451" s="186"/>
      <c r="AT451" s="186"/>
      <c r="AU451" s="186"/>
      <c r="AV451" s="186"/>
      <c r="AW451" s="186"/>
      <c r="AX451" s="186"/>
      <c r="AY451" s="186"/>
      <c r="AZ451" s="186"/>
      <c r="BA451" s="186"/>
      <c r="BB451" s="186"/>
      <c r="BC451" s="186"/>
      <c r="BD451" s="186"/>
      <c r="BE451" s="186"/>
      <c r="BF451" s="186"/>
      <c r="BG451" s="186"/>
      <c r="BH451" s="197"/>
      <c r="BI451" s="197"/>
      <c r="BJ451" s="197"/>
      <c r="BK451" s="197"/>
      <c r="BL451" s="197"/>
      <c r="BM451" s="197"/>
      <c r="BN451" s="197"/>
      <c r="BO451" s="197"/>
      <c r="BP451" s="197"/>
    </row>
    <row r="452" spans="16:68" s="196" customFormat="1" x14ac:dyDescent="0.2">
      <c r="P452" s="195"/>
      <c r="Q452" s="192"/>
      <c r="R452" s="192"/>
      <c r="S452" s="296"/>
      <c r="T452" s="300"/>
      <c r="U452" s="296"/>
      <c r="V452" s="296"/>
      <c r="W452" s="296"/>
      <c r="X452" s="296"/>
      <c r="Y452" s="296"/>
      <c r="Z452" s="296"/>
      <c r="AA452" s="296"/>
      <c r="AB452" s="296"/>
      <c r="AC452" s="296"/>
      <c r="AD452" s="296"/>
      <c r="AE452" s="296"/>
      <c r="AF452" s="296"/>
      <c r="AG452" s="296"/>
      <c r="AH452" s="296"/>
      <c r="AI452" s="296"/>
      <c r="AJ452" s="296"/>
      <c r="AK452" s="296"/>
      <c r="AL452" s="296"/>
      <c r="AM452" s="296"/>
      <c r="AN452" s="186"/>
      <c r="AO452" s="186"/>
      <c r="AP452" s="186"/>
      <c r="AQ452" s="186"/>
      <c r="AR452" s="186"/>
      <c r="AS452" s="186"/>
      <c r="AT452" s="186"/>
      <c r="AU452" s="186"/>
      <c r="AV452" s="186"/>
      <c r="AW452" s="186"/>
      <c r="AX452" s="186"/>
      <c r="AY452" s="186"/>
      <c r="AZ452" s="186"/>
      <c r="BA452" s="186"/>
      <c r="BB452" s="186"/>
      <c r="BC452" s="186"/>
      <c r="BD452" s="186"/>
      <c r="BE452" s="186"/>
      <c r="BF452" s="186"/>
      <c r="BG452" s="186"/>
      <c r="BH452" s="197"/>
      <c r="BI452" s="197"/>
      <c r="BJ452" s="197"/>
      <c r="BK452" s="197"/>
      <c r="BL452" s="197"/>
      <c r="BM452" s="197"/>
      <c r="BN452" s="197"/>
      <c r="BO452" s="197"/>
      <c r="BP452" s="197"/>
    </row>
    <row r="453" spans="16:68" s="196" customFormat="1" x14ac:dyDescent="0.2">
      <c r="P453" s="195"/>
      <c r="Q453" s="192"/>
      <c r="R453" s="192"/>
      <c r="S453" s="296"/>
      <c r="T453" s="300"/>
      <c r="U453" s="296"/>
      <c r="V453" s="296"/>
      <c r="W453" s="296"/>
      <c r="X453" s="296"/>
      <c r="Y453" s="296"/>
      <c r="Z453" s="296"/>
      <c r="AA453" s="296"/>
      <c r="AB453" s="296"/>
      <c r="AC453" s="296"/>
      <c r="AD453" s="296"/>
      <c r="AE453" s="296"/>
      <c r="AF453" s="296"/>
      <c r="AG453" s="296"/>
      <c r="AH453" s="296"/>
      <c r="AI453" s="296"/>
      <c r="AJ453" s="296"/>
      <c r="AK453" s="296"/>
      <c r="AL453" s="296"/>
      <c r="AM453" s="296"/>
      <c r="AN453" s="186"/>
      <c r="AO453" s="186"/>
      <c r="AP453" s="186"/>
      <c r="AQ453" s="186"/>
      <c r="AR453" s="186"/>
      <c r="AS453" s="186"/>
      <c r="AT453" s="186"/>
      <c r="AU453" s="186"/>
      <c r="AV453" s="186"/>
      <c r="AW453" s="186"/>
      <c r="AX453" s="186"/>
      <c r="AY453" s="186"/>
      <c r="AZ453" s="186"/>
      <c r="BA453" s="186"/>
      <c r="BB453" s="186"/>
      <c r="BC453" s="186"/>
      <c r="BD453" s="186"/>
      <c r="BE453" s="186"/>
      <c r="BF453" s="186"/>
      <c r="BG453" s="186"/>
      <c r="BH453" s="197"/>
      <c r="BI453" s="197"/>
      <c r="BJ453" s="197"/>
      <c r="BK453" s="197"/>
      <c r="BL453" s="197"/>
      <c r="BM453" s="197"/>
      <c r="BN453" s="197"/>
      <c r="BO453" s="197"/>
      <c r="BP453" s="197"/>
    </row>
    <row r="454" spans="16:68" s="196" customFormat="1" x14ac:dyDescent="0.2">
      <c r="P454" s="195"/>
      <c r="Q454" s="192"/>
      <c r="R454" s="192"/>
      <c r="S454" s="296"/>
      <c r="T454" s="300"/>
      <c r="U454" s="296"/>
      <c r="V454" s="296"/>
      <c r="W454" s="296"/>
      <c r="X454" s="296"/>
      <c r="Y454" s="296"/>
      <c r="Z454" s="296"/>
      <c r="AA454" s="296"/>
      <c r="AB454" s="296"/>
      <c r="AC454" s="296"/>
      <c r="AD454" s="296"/>
      <c r="AE454" s="296"/>
      <c r="AF454" s="296"/>
      <c r="AG454" s="296"/>
      <c r="AH454" s="296"/>
      <c r="AI454" s="296"/>
      <c r="AJ454" s="296"/>
      <c r="AK454" s="296"/>
      <c r="AL454" s="296"/>
      <c r="AM454" s="296"/>
      <c r="AN454" s="186"/>
      <c r="AO454" s="186"/>
      <c r="AP454" s="186"/>
      <c r="AQ454" s="186"/>
      <c r="AR454" s="186"/>
      <c r="AS454" s="186"/>
      <c r="AT454" s="186"/>
      <c r="AU454" s="186"/>
      <c r="AV454" s="186"/>
      <c r="AW454" s="186"/>
      <c r="AX454" s="186"/>
      <c r="AY454" s="186"/>
      <c r="AZ454" s="186"/>
      <c r="BA454" s="186"/>
      <c r="BB454" s="186"/>
      <c r="BC454" s="186"/>
      <c r="BD454" s="186"/>
      <c r="BE454" s="186"/>
      <c r="BF454" s="186"/>
      <c r="BG454" s="186"/>
      <c r="BH454" s="197"/>
      <c r="BI454" s="197"/>
      <c r="BJ454" s="197"/>
      <c r="BK454" s="197"/>
      <c r="BL454" s="197"/>
      <c r="BM454" s="197"/>
      <c r="BN454" s="197"/>
      <c r="BO454" s="197"/>
      <c r="BP454" s="197"/>
    </row>
    <row r="455" spans="16:68" s="196" customFormat="1" x14ac:dyDescent="0.2">
      <c r="P455" s="195"/>
      <c r="Q455" s="192"/>
      <c r="R455" s="192"/>
      <c r="S455" s="296"/>
      <c r="T455" s="300"/>
      <c r="U455" s="296"/>
      <c r="V455" s="296"/>
      <c r="W455" s="296"/>
      <c r="X455" s="296"/>
      <c r="Y455" s="296"/>
      <c r="Z455" s="296"/>
      <c r="AA455" s="296"/>
      <c r="AB455" s="296"/>
      <c r="AC455" s="296"/>
      <c r="AD455" s="296"/>
      <c r="AE455" s="296"/>
      <c r="AF455" s="296"/>
      <c r="AG455" s="296"/>
      <c r="AH455" s="296"/>
      <c r="AI455" s="296"/>
      <c r="AJ455" s="296"/>
      <c r="AK455" s="296"/>
      <c r="AL455" s="296"/>
      <c r="AM455" s="296"/>
      <c r="AN455" s="186"/>
      <c r="AO455" s="186"/>
      <c r="AP455" s="186"/>
      <c r="AQ455" s="186"/>
      <c r="AR455" s="186"/>
      <c r="AS455" s="186"/>
      <c r="AT455" s="186"/>
      <c r="AU455" s="186"/>
      <c r="AV455" s="186"/>
      <c r="AW455" s="186"/>
      <c r="AX455" s="186"/>
      <c r="AY455" s="186"/>
      <c r="AZ455" s="186"/>
      <c r="BA455" s="186"/>
      <c r="BB455" s="186"/>
      <c r="BC455" s="186"/>
      <c r="BD455" s="186"/>
      <c r="BE455" s="186"/>
      <c r="BF455" s="186"/>
      <c r="BG455" s="186"/>
      <c r="BH455" s="197"/>
      <c r="BI455" s="197"/>
      <c r="BJ455" s="197"/>
      <c r="BK455" s="197"/>
      <c r="BL455" s="197"/>
      <c r="BM455" s="197"/>
      <c r="BN455" s="197"/>
      <c r="BO455" s="197"/>
      <c r="BP455" s="197"/>
    </row>
    <row r="456" spans="16:68" s="196" customFormat="1" x14ac:dyDescent="0.2">
      <c r="P456" s="195"/>
      <c r="Q456" s="192"/>
      <c r="R456" s="192"/>
      <c r="S456" s="296"/>
      <c r="T456" s="300"/>
      <c r="U456" s="296"/>
      <c r="V456" s="296"/>
      <c r="W456" s="296"/>
      <c r="X456" s="296"/>
      <c r="Y456" s="296"/>
      <c r="Z456" s="296"/>
      <c r="AA456" s="296"/>
      <c r="AB456" s="296"/>
      <c r="AC456" s="296"/>
      <c r="AD456" s="296"/>
      <c r="AE456" s="296"/>
      <c r="AF456" s="296"/>
      <c r="AG456" s="296"/>
      <c r="AH456" s="296"/>
      <c r="AI456" s="296"/>
      <c r="AJ456" s="296"/>
      <c r="AK456" s="296"/>
      <c r="AL456" s="296"/>
      <c r="AM456" s="296"/>
      <c r="AN456" s="186"/>
      <c r="AO456" s="186"/>
      <c r="AP456" s="186"/>
      <c r="AQ456" s="186"/>
      <c r="AR456" s="186"/>
      <c r="AS456" s="186"/>
      <c r="AT456" s="186"/>
      <c r="AU456" s="186"/>
      <c r="AV456" s="186"/>
      <c r="AW456" s="186"/>
      <c r="AX456" s="186"/>
      <c r="AY456" s="186"/>
      <c r="AZ456" s="186"/>
      <c r="BA456" s="186"/>
      <c r="BB456" s="186"/>
      <c r="BC456" s="186"/>
      <c r="BD456" s="186"/>
      <c r="BE456" s="186"/>
      <c r="BF456" s="186"/>
      <c r="BG456" s="186"/>
      <c r="BH456" s="197"/>
      <c r="BI456" s="197"/>
      <c r="BJ456" s="197"/>
      <c r="BK456" s="197"/>
      <c r="BL456" s="197"/>
      <c r="BM456" s="197"/>
      <c r="BN456" s="197"/>
      <c r="BO456" s="197"/>
      <c r="BP456" s="197"/>
    </row>
    <row r="457" spans="16:68" s="196" customFormat="1" x14ac:dyDescent="0.2">
      <c r="P457" s="195"/>
      <c r="Q457" s="192"/>
      <c r="R457" s="192"/>
      <c r="S457" s="296"/>
      <c r="T457" s="300"/>
      <c r="U457" s="296"/>
      <c r="V457" s="296"/>
      <c r="W457" s="296"/>
      <c r="X457" s="296"/>
      <c r="Y457" s="296"/>
      <c r="Z457" s="296"/>
      <c r="AA457" s="296"/>
      <c r="AB457" s="296"/>
      <c r="AC457" s="296"/>
      <c r="AD457" s="296"/>
      <c r="AE457" s="296"/>
      <c r="AF457" s="296"/>
      <c r="AG457" s="296"/>
      <c r="AH457" s="296"/>
      <c r="AI457" s="296"/>
      <c r="AJ457" s="296"/>
      <c r="AK457" s="296"/>
      <c r="AL457" s="296"/>
      <c r="AM457" s="296"/>
      <c r="AN457" s="186"/>
      <c r="AO457" s="186"/>
      <c r="AP457" s="186"/>
      <c r="AQ457" s="186"/>
      <c r="AR457" s="186"/>
      <c r="AS457" s="186"/>
      <c r="AT457" s="186"/>
      <c r="AU457" s="186"/>
      <c r="AV457" s="186"/>
      <c r="AW457" s="186"/>
      <c r="AX457" s="186"/>
      <c r="AY457" s="186"/>
      <c r="AZ457" s="186"/>
      <c r="BA457" s="186"/>
      <c r="BB457" s="186"/>
      <c r="BC457" s="186"/>
      <c r="BD457" s="186"/>
      <c r="BE457" s="186"/>
      <c r="BF457" s="186"/>
      <c r="BG457" s="186"/>
      <c r="BH457" s="197"/>
      <c r="BI457" s="197"/>
      <c r="BJ457" s="197"/>
      <c r="BK457" s="197"/>
      <c r="BL457" s="197"/>
      <c r="BM457" s="197"/>
      <c r="BN457" s="197"/>
      <c r="BO457" s="197"/>
      <c r="BP457" s="197"/>
    </row>
    <row r="458" spans="16:68" s="196" customFormat="1" x14ac:dyDescent="0.2">
      <c r="P458" s="195"/>
      <c r="Q458" s="192"/>
      <c r="R458" s="192"/>
      <c r="S458" s="296"/>
      <c r="T458" s="300"/>
      <c r="U458" s="296"/>
      <c r="V458" s="296"/>
      <c r="W458" s="296"/>
      <c r="X458" s="296"/>
      <c r="Y458" s="296"/>
      <c r="Z458" s="296"/>
      <c r="AA458" s="296"/>
      <c r="AB458" s="296"/>
      <c r="AC458" s="296"/>
      <c r="AD458" s="296"/>
      <c r="AE458" s="296"/>
      <c r="AF458" s="296"/>
      <c r="AG458" s="296"/>
      <c r="AH458" s="296"/>
      <c r="AI458" s="296"/>
      <c r="AJ458" s="296"/>
      <c r="AK458" s="296"/>
      <c r="AL458" s="296"/>
      <c r="AM458" s="296"/>
      <c r="AN458" s="186"/>
      <c r="AO458" s="186"/>
      <c r="AP458" s="186"/>
      <c r="AQ458" s="186"/>
      <c r="AR458" s="186"/>
      <c r="AS458" s="186"/>
      <c r="AT458" s="186"/>
      <c r="AU458" s="186"/>
      <c r="AV458" s="186"/>
      <c r="AW458" s="186"/>
      <c r="AX458" s="186"/>
      <c r="AY458" s="186"/>
      <c r="AZ458" s="186"/>
      <c r="BA458" s="186"/>
      <c r="BB458" s="186"/>
      <c r="BC458" s="186"/>
      <c r="BD458" s="186"/>
      <c r="BE458" s="186"/>
      <c r="BF458" s="186"/>
      <c r="BG458" s="186"/>
      <c r="BH458" s="197"/>
      <c r="BI458" s="197"/>
      <c r="BJ458" s="197"/>
      <c r="BK458" s="197"/>
      <c r="BL458" s="197"/>
      <c r="BM458" s="197"/>
      <c r="BN458" s="197"/>
      <c r="BO458" s="197"/>
      <c r="BP458" s="197"/>
    </row>
    <row r="459" spans="16:68" s="196" customFormat="1" x14ac:dyDescent="0.2">
      <c r="P459" s="195"/>
      <c r="Q459" s="192"/>
      <c r="R459" s="192"/>
      <c r="S459" s="296"/>
      <c r="T459" s="300"/>
      <c r="U459" s="296"/>
      <c r="V459" s="296"/>
      <c r="W459" s="296"/>
      <c r="X459" s="296"/>
      <c r="Y459" s="296"/>
      <c r="Z459" s="296"/>
      <c r="AA459" s="296"/>
      <c r="AB459" s="296"/>
      <c r="AC459" s="296"/>
      <c r="AD459" s="296"/>
      <c r="AE459" s="296"/>
      <c r="AF459" s="296"/>
      <c r="AG459" s="296"/>
      <c r="AH459" s="296"/>
      <c r="AI459" s="296"/>
      <c r="AJ459" s="296"/>
      <c r="AK459" s="296"/>
      <c r="AL459" s="296"/>
      <c r="AM459" s="296"/>
      <c r="AN459" s="186"/>
      <c r="AO459" s="186"/>
      <c r="AP459" s="186"/>
      <c r="AQ459" s="186"/>
      <c r="AR459" s="186"/>
      <c r="AS459" s="186"/>
      <c r="AT459" s="186"/>
      <c r="AU459" s="186"/>
      <c r="AV459" s="186"/>
      <c r="AW459" s="186"/>
      <c r="AX459" s="186"/>
      <c r="AY459" s="186"/>
      <c r="AZ459" s="186"/>
      <c r="BA459" s="186"/>
      <c r="BB459" s="186"/>
      <c r="BC459" s="186"/>
      <c r="BD459" s="186"/>
      <c r="BE459" s="186"/>
      <c r="BF459" s="186"/>
      <c r="BG459" s="186"/>
      <c r="BH459" s="197"/>
      <c r="BI459" s="197"/>
      <c r="BJ459" s="197"/>
      <c r="BK459" s="197"/>
      <c r="BL459" s="197"/>
      <c r="BM459" s="197"/>
      <c r="BN459" s="197"/>
      <c r="BO459" s="197"/>
      <c r="BP459" s="197"/>
    </row>
    <row r="460" spans="16:68" s="196" customFormat="1" x14ac:dyDescent="0.2">
      <c r="P460" s="195"/>
      <c r="Q460" s="192"/>
      <c r="R460" s="192"/>
      <c r="S460" s="296"/>
      <c r="T460" s="300"/>
      <c r="U460" s="296"/>
      <c r="V460" s="296"/>
      <c r="W460" s="296"/>
      <c r="X460" s="296"/>
      <c r="Y460" s="296"/>
      <c r="Z460" s="296"/>
      <c r="AA460" s="296"/>
      <c r="AB460" s="296"/>
      <c r="AC460" s="296"/>
      <c r="AD460" s="296"/>
      <c r="AE460" s="296"/>
      <c r="AF460" s="296"/>
      <c r="AG460" s="296"/>
      <c r="AH460" s="296"/>
      <c r="AI460" s="296"/>
      <c r="AJ460" s="296"/>
      <c r="AK460" s="296"/>
      <c r="AL460" s="296"/>
      <c r="AM460" s="296"/>
      <c r="AN460" s="186"/>
      <c r="AO460" s="186"/>
      <c r="AP460" s="186"/>
      <c r="AQ460" s="186"/>
      <c r="AR460" s="186"/>
      <c r="AS460" s="186"/>
      <c r="AT460" s="186"/>
      <c r="AU460" s="186"/>
      <c r="AV460" s="186"/>
      <c r="AW460" s="186"/>
      <c r="AX460" s="186"/>
      <c r="AY460" s="186"/>
      <c r="AZ460" s="186"/>
      <c r="BA460" s="186"/>
      <c r="BB460" s="186"/>
      <c r="BC460" s="186"/>
      <c r="BD460" s="186"/>
      <c r="BE460" s="186"/>
      <c r="BF460" s="186"/>
      <c r="BG460" s="186"/>
      <c r="BH460" s="197"/>
      <c r="BI460" s="197"/>
      <c r="BJ460" s="197"/>
      <c r="BK460" s="197"/>
      <c r="BL460" s="197"/>
      <c r="BM460" s="197"/>
      <c r="BN460" s="197"/>
      <c r="BO460" s="197"/>
      <c r="BP460" s="197"/>
    </row>
    <row r="461" spans="16:68" s="196" customFormat="1" x14ac:dyDescent="0.2">
      <c r="P461" s="195"/>
      <c r="Q461" s="192"/>
      <c r="R461" s="192"/>
      <c r="S461" s="296"/>
      <c r="T461" s="300"/>
      <c r="U461" s="296"/>
      <c r="V461" s="296"/>
      <c r="W461" s="296"/>
      <c r="X461" s="296"/>
      <c r="Y461" s="296"/>
      <c r="Z461" s="296"/>
      <c r="AA461" s="296"/>
      <c r="AB461" s="296"/>
      <c r="AC461" s="296"/>
      <c r="AD461" s="296"/>
      <c r="AE461" s="296"/>
      <c r="AF461" s="296"/>
      <c r="AG461" s="296"/>
      <c r="AH461" s="296"/>
      <c r="AI461" s="296"/>
      <c r="AJ461" s="296"/>
      <c r="AK461" s="296"/>
      <c r="AL461" s="296"/>
      <c r="AM461" s="296"/>
      <c r="AN461" s="186"/>
      <c r="AO461" s="186"/>
      <c r="AP461" s="186"/>
      <c r="AQ461" s="186"/>
      <c r="AR461" s="186"/>
      <c r="AS461" s="186"/>
      <c r="AT461" s="186"/>
      <c r="AU461" s="186"/>
      <c r="AV461" s="186"/>
      <c r="AW461" s="186"/>
      <c r="AX461" s="186"/>
      <c r="AY461" s="186"/>
      <c r="AZ461" s="186"/>
      <c r="BA461" s="186"/>
      <c r="BB461" s="186"/>
      <c r="BC461" s="186"/>
      <c r="BD461" s="186"/>
      <c r="BE461" s="186"/>
      <c r="BF461" s="186"/>
      <c r="BG461" s="186"/>
      <c r="BH461" s="197"/>
      <c r="BI461" s="197"/>
      <c r="BJ461" s="197"/>
      <c r="BK461" s="197"/>
      <c r="BL461" s="197"/>
      <c r="BM461" s="197"/>
      <c r="BN461" s="197"/>
      <c r="BO461" s="197"/>
      <c r="BP461" s="197"/>
    </row>
    <row r="462" spans="16:68" s="196" customFormat="1" x14ac:dyDescent="0.2">
      <c r="P462" s="195"/>
      <c r="Q462" s="192"/>
      <c r="R462" s="192"/>
      <c r="S462" s="296"/>
      <c r="T462" s="300"/>
      <c r="U462" s="296"/>
      <c r="V462" s="296"/>
      <c r="W462" s="296"/>
      <c r="X462" s="296"/>
      <c r="Y462" s="296"/>
      <c r="Z462" s="296"/>
      <c r="AA462" s="296"/>
      <c r="AB462" s="296"/>
      <c r="AC462" s="296"/>
      <c r="AD462" s="296"/>
      <c r="AE462" s="296"/>
      <c r="AF462" s="296"/>
      <c r="AG462" s="296"/>
      <c r="AH462" s="296"/>
      <c r="AI462" s="296"/>
      <c r="AJ462" s="296"/>
      <c r="AK462" s="296"/>
      <c r="AL462" s="296"/>
      <c r="AM462" s="296"/>
      <c r="AN462" s="186"/>
      <c r="AO462" s="186"/>
      <c r="AP462" s="186"/>
      <c r="AQ462" s="186"/>
      <c r="AR462" s="186"/>
      <c r="AS462" s="186"/>
      <c r="AT462" s="186"/>
      <c r="AU462" s="186"/>
      <c r="AV462" s="186"/>
      <c r="AW462" s="186"/>
      <c r="AX462" s="186"/>
      <c r="AY462" s="186"/>
      <c r="AZ462" s="186"/>
      <c r="BA462" s="186"/>
      <c r="BB462" s="186"/>
      <c r="BC462" s="186"/>
      <c r="BD462" s="186"/>
      <c r="BE462" s="186"/>
      <c r="BF462" s="186"/>
      <c r="BG462" s="186"/>
      <c r="BH462" s="197"/>
      <c r="BI462" s="197"/>
      <c r="BJ462" s="197"/>
      <c r="BK462" s="197"/>
      <c r="BL462" s="197"/>
      <c r="BM462" s="197"/>
      <c r="BN462" s="197"/>
      <c r="BO462" s="197"/>
      <c r="BP462" s="197"/>
    </row>
    <row r="463" spans="16:68" s="196" customFormat="1" x14ac:dyDescent="0.2">
      <c r="P463" s="195"/>
      <c r="Q463" s="192"/>
      <c r="R463" s="192"/>
      <c r="S463" s="296"/>
      <c r="T463" s="300"/>
      <c r="U463" s="296"/>
      <c r="V463" s="296"/>
      <c r="W463" s="296"/>
      <c r="X463" s="296"/>
      <c r="Y463" s="296"/>
      <c r="Z463" s="296"/>
      <c r="AA463" s="296"/>
      <c r="AB463" s="296"/>
      <c r="AC463" s="296"/>
      <c r="AD463" s="296"/>
      <c r="AE463" s="296"/>
      <c r="AF463" s="296"/>
      <c r="AG463" s="296"/>
      <c r="AH463" s="296"/>
      <c r="AI463" s="296"/>
      <c r="AJ463" s="296"/>
      <c r="AK463" s="296"/>
      <c r="AL463" s="296"/>
      <c r="AM463" s="296"/>
      <c r="AN463" s="186"/>
      <c r="AO463" s="186"/>
      <c r="AP463" s="186"/>
      <c r="AQ463" s="186"/>
      <c r="AR463" s="186"/>
      <c r="AS463" s="186"/>
      <c r="AT463" s="186"/>
      <c r="AU463" s="186"/>
      <c r="AV463" s="186"/>
      <c r="AW463" s="186"/>
      <c r="AX463" s="186"/>
      <c r="AY463" s="186"/>
      <c r="AZ463" s="186"/>
      <c r="BA463" s="186"/>
      <c r="BB463" s="186"/>
      <c r="BC463" s="186"/>
      <c r="BD463" s="186"/>
      <c r="BE463" s="186"/>
      <c r="BF463" s="186"/>
      <c r="BG463" s="186"/>
      <c r="BH463" s="197"/>
      <c r="BI463" s="197"/>
      <c r="BJ463" s="197"/>
      <c r="BK463" s="197"/>
      <c r="BL463" s="197"/>
      <c r="BM463" s="197"/>
      <c r="BN463" s="197"/>
      <c r="BO463" s="197"/>
      <c r="BP463" s="197"/>
    </row>
    <row r="464" spans="16:68" s="196" customFormat="1" x14ac:dyDescent="0.2">
      <c r="P464" s="195"/>
      <c r="Q464" s="192"/>
      <c r="R464" s="192"/>
      <c r="S464" s="296"/>
      <c r="T464" s="300"/>
      <c r="U464" s="296"/>
      <c r="V464" s="296"/>
      <c r="W464" s="296"/>
      <c r="X464" s="296"/>
      <c r="Y464" s="296"/>
      <c r="Z464" s="296"/>
      <c r="AA464" s="296"/>
      <c r="AB464" s="296"/>
      <c r="AC464" s="296"/>
      <c r="AD464" s="296"/>
      <c r="AE464" s="296"/>
      <c r="AF464" s="296"/>
      <c r="AG464" s="296"/>
      <c r="AH464" s="296"/>
      <c r="AI464" s="296"/>
      <c r="AJ464" s="296"/>
      <c r="AK464" s="296"/>
      <c r="AL464" s="296"/>
      <c r="AM464" s="296"/>
      <c r="AN464" s="186"/>
      <c r="AO464" s="186"/>
      <c r="AP464" s="186"/>
      <c r="AQ464" s="186"/>
      <c r="AR464" s="186"/>
      <c r="AS464" s="186"/>
      <c r="AT464" s="186"/>
      <c r="AU464" s="186"/>
      <c r="AV464" s="186"/>
      <c r="AW464" s="186"/>
      <c r="AX464" s="186"/>
      <c r="AY464" s="186"/>
      <c r="AZ464" s="186"/>
      <c r="BA464" s="186"/>
      <c r="BB464" s="186"/>
      <c r="BC464" s="186"/>
      <c r="BD464" s="186"/>
      <c r="BE464" s="186"/>
      <c r="BF464" s="186"/>
      <c r="BG464" s="186"/>
      <c r="BH464" s="197"/>
      <c r="BI464" s="197"/>
      <c r="BJ464" s="197"/>
      <c r="BK464" s="197"/>
      <c r="BL464" s="197"/>
      <c r="BM464" s="197"/>
      <c r="BN464" s="197"/>
      <c r="BO464" s="197"/>
      <c r="BP464" s="197"/>
    </row>
    <row r="465" spans="16:68" s="196" customFormat="1" x14ac:dyDescent="0.2">
      <c r="P465" s="195"/>
      <c r="Q465" s="192"/>
      <c r="R465" s="192"/>
      <c r="S465" s="296"/>
      <c r="T465" s="300"/>
      <c r="U465" s="296"/>
      <c r="V465" s="296"/>
      <c r="W465" s="296"/>
      <c r="X465" s="296"/>
      <c r="Y465" s="296"/>
      <c r="Z465" s="296"/>
      <c r="AA465" s="296"/>
      <c r="AB465" s="296"/>
      <c r="AC465" s="296"/>
      <c r="AD465" s="296"/>
      <c r="AE465" s="296"/>
      <c r="AF465" s="296"/>
      <c r="AG465" s="296"/>
      <c r="AH465" s="296"/>
      <c r="AI465" s="296"/>
      <c r="AJ465" s="296"/>
      <c r="AK465" s="296"/>
      <c r="AL465" s="296"/>
      <c r="AM465" s="296"/>
      <c r="AN465" s="186"/>
      <c r="AO465" s="186"/>
      <c r="AP465" s="186"/>
      <c r="AQ465" s="186"/>
      <c r="AR465" s="186"/>
      <c r="AS465" s="186"/>
      <c r="AT465" s="186"/>
      <c r="AU465" s="186"/>
      <c r="AV465" s="186"/>
      <c r="AW465" s="186"/>
      <c r="AX465" s="186"/>
      <c r="AY465" s="186"/>
      <c r="AZ465" s="186"/>
      <c r="BA465" s="186"/>
      <c r="BB465" s="186"/>
      <c r="BC465" s="186"/>
      <c r="BD465" s="186"/>
      <c r="BE465" s="186"/>
      <c r="BF465" s="186"/>
      <c r="BG465" s="186"/>
      <c r="BH465" s="197"/>
      <c r="BI465" s="197"/>
      <c r="BJ465" s="197"/>
      <c r="BK465" s="197"/>
      <c r="BL465" s="197"/>
      <c r="BM465" s="197"/>
      <c r="BN465" s="197"/>
      <c r="BO465" s="197"/>
      <c r="BP465" s="197"/>
    </row>
    <row r="466" spans="16:68" s="196" customFormat="1" x14ac:dyDescent="0.2">
      <c r="P466" s="195"/>
      <c r="Q466" s="192"/>
      <c r="R466" s="192"/>
      <c r="S466" s="296"/>
      <c r="T466" s="300"/>
      <c r="U466" s="296"/>
      <c r="V466" s="296"/>
      <c r="W466" s="296"/>
      <c r="X466" s="296"/>
      <c r="Y466" s="296"/>
      <c r="Z466" s="296"/>
      <c r="AA466" s="296"/>
      <c r="AB466" s="296"/>
      <c r="AC466" s="296"/>
      <c r="AD466" s="296"/>
      <c r="AE466" s="296"/>
      <c r="AF466" s="296"/>
      <c r="AG466" s="296"/>
      <c r="AH466" s="296"/>
      <c r="AI466" s="296"/>
      <c r="AJ466" s="296"/>
      <c r="AK466" s="296"/>
      <c r="AL466" s="296"/>
      <c r="AM466" s="29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97"/>
      <c r="BI466" s="197"/>
      <c r="BJ466" s="197"/>
      <c r="BK466" s="197"/>
      <c r="BL466" s="197"/>
      <c r="BM466" s="197"/>
      <c r="BN466" s="197"/>
      <c r="BO466" s="197"/>
      <c r="BP466" s="197"/>
    </row>
    <row r="467" spans="16:68" s="196" customFormat="1" x14ac:dyDescent="0.2">
      <c r="P467" s="195"/>
      <c r="Q467" s="192"/>
      <c r="R467" s="192"/>
      <c r="S467" s="296"/>
      <c r="T467" s="300"/>
      <c r="U467" s="296"/>
      <c r="V467" s="296"/>
      <c r="W467" s="296"/>
      <c r="X467" s="296"/>
      <c r="Y467" s="296"/>
      <c r="Z467" s="296"/>
      <c r="AA467" s="296"/>
      <c r="AB467" s="296"/>
      <c r="AC467" s="296"/>
      <c r="AD467" s="296"/>
      <c r="AE467" s="296"/>
      <c r="AF467" s="296"/>
      <c r="AG467" s="296"/>
      <c r="AH467" s="296"/>
      <c r="AI467" s="296"/>
      <c r="AJ467" s="296"/>
      <c r="AK467" s="296"/>
      <c r="AL467" s="296"/>
      <c r="AM467" s="29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97"/>
      <c r="BI467" s="197"/>
      <c r="BJ467" s="197"/>
      <c r="BK467" s="197"/>
      <c r="BL467" s="197"/>
      <c r="BM467" s="197"/>
      <c r="BN467" s="197"/>
      <c r="BO467" s="197"/>
      <c r="BP467" s="197"/>
    </row>
    <row r="468" spans="16:68" s="196" customFormat="1" x14ac:dyDescent="0.2">
      <c r="P468" s="195"/>
      <c r="Q468" s="192"/>
      <c r="R468" s="192"/>
      <c r="S468" s="296"/>
      <c r="T468" s="300"/>
      <c r="U468" s="296"/>
      <c r="V468" s="296"/>
      <c r="W468" s="296"/>
      <c r="X468" s="296"/>
      <c r="Y468" s="296"/>
      <c r="Z468" s="296"/>
      <c r="AA468" s="296"/>
      <c r="AB468" s="296"/>
      <c r="AC468" s="296"/>
      <c r="AD468" s="296"/>
      <c r="AE468" s="296"/>
      <c r="AF468" s="296"/>
      <c r="AG468" s="296"/>
      <c r="AH468" s="296"/>
      <c r="AI468" s="296"/>
      <c r="AJ468" s="296"/>
      <c r="AK468" s="296"/>
      <c r="AL468" s="296"/>
      <c r="AM468" s="296"/>
      <c r="AN468" s="186"/>
      <c r="AO468" s="186"/>
      <c r="AP468" s="186"/>
      <c r="AQ468" s="186"/>
      <c r="AR468" s="186"/>
      <c r="AS468" s="186"/>
      <c r="AT468" s="186"/>
      <c r="AU468" s="186"/>
      <c r="AV468" s="186"/>
      <c r="AW468" s="186"/>
      <c r="AX468" s="186"/>
      <c r="AY468" s="186"/>
      <c r="AZ468" s="186"/>
      <c r="BA468" s="186"/>
      <c r="BB468" s="186"/>
      <c r="BC468" s="186"/>
      <c r="BD468" s="186"/>
      <c r="BE468" s="186"/>
      <c r="BF468" s="186"/>
      <c r="BG468" s="186"/>
      <c r="BH468" s="197"/>
      <c r="BI468" s="197"/>
      <c r="BJ468" s="197"/>
      <c r="BK468" s="197"/>
      <c r="BL468" s="197"/>
      <c r="BM468" s="197"/>
      <c r="BN468" s="197"/>
      <c r="BO468" s="197"/>
      <c r="BP468" s="197"/>
    </row>
    <row r="469" spans="16:68" s="196" customFormat="1" x14ac:dyDescent="0.2">
      <c r="P469" s="195"/>
      <c r="Q469" s="192"/>
      <c r="R469" s="192"/>
      <c r="S469" s="296"/>
      <c r="T469" s="300"/>
      <c r="U469" s="296"/>
      <c r="V469" s="296"/>
      <c r="W469" s="296"/>
      <c r="X469" s="296"/>
      <c r="Y469" s="296"/>
      <c r="Z469" s="296"/>
      <c r="AA469" s="296"/>
      <c r="AB469" s="296"/>
      <c r="AC469" s="296"/>
      <c r="AD469" s="296"/>
      <c r="AE469" s="296"/>
      <c r="AF469" s="296"/>
      <c r="AG469" s="296"/>
      <c r="AH469" s="296"/>
      <c r="AI469" s="296"/>
      <c r="AJ469" s="296"/>
      <c r="AK469" s="296"/>
      <c r="AL469" s="296"/>
      <c r="AM469" s="29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97"/>
      <c r="BI469" s="197"/>
      <c r="BJ469" s="197"/>
      <c r="BK469" s="197"/>
      <c r="BL469" s="197"/>
      <c r="BM469" s="197"/>
      <c r="BN469" s="197"/>
      <c r="BO469" s="197"/>
      <c r="BP469" s="197"/>
    </row>
    <row r="470" spans="16:68" s="196" customFormat="1" x14ac:dyDescent="0.2">
      <c r="P470" s="195"/>
      <c r="Q470" s="192"/>
      <c r="R470" s="192"/>
      <c r="S470" s="296"/>
      <c r="T470" s="300"/>
      <c r="U470" s="296"/>
      <c r="V470" s="296"/>
      <c r="W470" s="296"/>
      <c r="X470" s="296"/>
      <c r="Y470" s="296"/>
      <c r="Z470" s="296"/>
      <c r="AA470" s="296"/>
      <c r="AB470" s="296"/>
      <c r="AC470" s="296"/>
      <c r="AD470" s="296"/>
      <c r="AE470" s="296"/>
      <c r="AF470" s="296"/>
      <c r="AG470" s="296"/>
      <c r="AH470" s="296"/>
      <c r="AI470" s="296"/>
      <c r="AJ470" s="296"/>
      <c r="AK470" s="296"/>
      <c r="AL470" s="296"/>
      <c r="AM470" s="296"/>
      <c r="AN470" s="186"/>
      <c r="AO470" s="186"/>
      <c r="AP470" s="186"/>
      <c r="AQ470" s="186"/>
      <c r="AR470" s="186"/>
      <c r="AS470" s="186"/>
      <c r="AT470" s="186"/>
      <c r="AU470" s="186"/>
      <c r="AV470" s="186"/>
      <c r="AW470" s="186"/>
      <c r="AX470" s="186"/>
      <c r="AY470" s="186"/>
      <c r="AZ470" s="186"/>
      <c r="BA470" s="186"/>
      <c r="BB470" s="186"/>
      <c r="BC470" s="186"/>
      <c r="BD470" s="186"/>
      <c r="BE470" s="186"/>
      <c r="BF470" s="186"/>
      <c r="BG470" s="186"/>
      <c r="BH470" s="197"/>
      <c r="BI470" s="197"/>
      <c r="BJ470" s="197"/>
      <c r="BK470" s="197"/>
      <c r="BL470" s="197"/>
      <c r="BM470" s="197"/>
      <c r="BN470" s="197"/>
      <c r="BO470" s="197"/>
      <c r="BP470" s="197"/>
    </row>
    <row r="471" spans="16:68" s="196" customFormat="1" x14ac:dyDescent="0.2">
      <c r="P471" s="195"/>
      <c r="Q471" s="192"/>
      <c r="R471" s="192"/>
      <c r="S471" s="296"/>
      <c r="T471" s="300"/>
      <c r="U471" s="296"/>
      <c r="V471" s="296"/>
      <c r="W471" s="296"/>
      <c r="X471" s="296"/>
      <c r="Y471" s="296"/>
      <c r="Z471" s="296"/>
      <c r="AA471" s="296"/>
      <c r="AB471" s="296"/>
      <c r="AC471" s="296"/>
      <c r="AD471" s="296"/>
      <c r="AE471" s="296"/>
      <c r="AF471" s="296"/>
      <c r="AG471" s="296"/>
      <c r="AH471" s="296"/>
      <c r="AI471" s="296"/>
      <c r="AJ471" s="296"/>
      <c r="AK471" s="296"/>
      <c r="AL471" s="296"/>
      <c r="AM471" s="296"/>
      <c r="AN471" s="186"/>
      <c r="AO471" s="186"/>
      <c r="AP471" s="186"/>
      <c r="AQ471" s="186"/>
      <c r="AR471" s="186"/>
      <c r="AS471" s="186"/>
      <c r="AT471" s="186"/>
      <c r="AU471" s="186"/>
      <c r="AV471" s="186"/>
      <c r="AW471" s="186"/>
      <c r="AX471" s="186"/>
      <c r="AY471" s="186"/>
      <c r="AZ471" s="186"/>
      <c r="BA471" s="186"/>
      <c r="BB471" s="186"/>
      <c r="BC471" s="186"/>
      <c r="BD471" s="186"/>
      <c r="BE471" s="186"/>
      <c r="BF471" s="186"/>
      <c r="BG471" s="186"/>
      <c r="BH471" s="197"/>
      <c r="BI471" s="197"/>
      <c r="BJ471" s="197"/>
      <c r="BK471" s="197"/>
      <c r="BL471" s="197"/>
      <c r="BM471" s="197"/>
      <c r="BN471" s="197"/>
      <c r="BO471" s="197"/>
      <c r="BP471" s="197"/>
    </row>
    <row r="472" spans="16:68" s="196" customFormat="1" x14ac:dyDescent="0.2">
      <c r="P472" s="195"/>
      <c r="Q472" s="192"/>
      <c r="R472" s="192"/>
      <c r="S472" s="296"/>
      <c r="T472" s="300"/>
      <c r="U472" s="296"/>
      <c r="V472" s="296"/>
      <c r="W472" s="296"/>
      <c r="X472" s="296"/>
      <c r="Y472" s="296"/>
      <c r="Z472" s="296"/>
      <c r="AA472" s="296"/>
      <c r="AB472" s="296"/>
      <c r="AC472" s="296"/>
      <c r="AD472" s="296"/>
      <c r="AE472" s="296"/>
      <c r="AF472" s="296"/>
      <c r="AG472" s="296"/>
      <c r="AH472" s="296"/>
      <c r="AI472" s="296"/>
      <c r="AJ472" s="296"/>
      <c r="AK472" s="296"/>
      <c r="AL472" s="296"/>
      <c r="AM472" s="296"/>
      <c r="AN472" s="186"/>
      <c r="AO472" s="186"/>
      <c r="AP472" s="186"/>
      <c r="AQ472" s="186"/>
      <c r="AR472" s="186"/>
      <c r="AS472" s="186"/>
      <c r="AT472" s="186"/>
      <c r="AU472" s="186"/>
      <c r="AV472" s="186"/>
      <c r="AW472" s="186"/>
      <c r="AX472" s="186"/>
      <c r="AY472" s="186"/>
      <c r="AZ472" s="186"/>
      <c r="BA472" s="186"/>
      <c r="BB472" s="186"/>
      <c r="BC472" s="186"/>
      <c r="BD472" s="186"/>
      <c r="BE472" s="186"/>
      <c r="BF472" s="186"/>
      <c r="BG472" s="186"/>
      <c r="BH472" s="197"/>
      <c r="BI472" s="197"/>
      <c r="BJ472" s="197"/>
      <c r="BK472" s="197"/>
      <c r="BL472" s="197"/>
      <c r="BM472" s="197"/>
      <c r="BN472" s="197"/>
      <c r="BO472" s="197"/>
      <c r="BP472" s="197"/>
    </row>
  </sheetData>
  <sheetProtection selectLockedCells="1"/>
  <mergeCells count="2">
    <mergeCell ref="A12:C12"/>
    <mergeCell ref="I18:J18"/>
  </mergeCells>
  <dataValidations count="3">
    <dataValidation type="list" allowBlank="1" showInputMessage="1" showErrorMessage="1" sqref="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formula1>$A$46:$A$47</formula1>
    </dataValidation>
    <dataValidation type="list" allowBlank="1" showInputMessage="1" showErrorMessage="1"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65549 JG65549 TC65549 ACY65549 AMU65549 AWQ65549 BGM65549 BQI65549 CAE65549 CKA65549 CTW65549 DDS65549 DNO65549 DXK65549 EHG65549 ERC65549 FAY65549 FKU65549 FUQ65549 GEM65549 GOI65549 GYE65549 HIA65549 HRW65549 IBS65549 ILO65549 IVK65549 JFG65549 JPC65549 JYY65549 KIU65549 KSQ65549 LCM65549 LMI65549 LWE65549 MGA65549 MPW65549 MZS65549 NJO65549 NTK65549 ODG65549 ONC65549 OWY65549 PGU65549 PQQ65549 QAM65549 QKI65549 QUE65549 REA65549 RNW65549 RXS65549 SHO65549 SRK65549 TBG65549 TLC65549 TUY65549 UEU65549 UOQ65549 UYM65549 VII65549 VSE65549 WCA65549 WLW65549 WVS65549 K131085 JG131085 TC131085 ACY131085 AMU131085 AWQ131085 BGM131085 BQI131085 CAE131085 CKA131085 CTW131085 DDS131085 DNO131085 DXK131085 EHG131085 ERC131085 FAY131085 FKU131085 FUQ131085 GEM131085 GOI131085 GYE131085 HIA131085 HRW131085 IBS131085 ILO131085 IVK131085 JFG131085 JPC131085 JYY131085 KIU131085 KSQ131085 LCM131085 LMI131085 LWE131085 MGA131085 MPW131085 MZS131085 NJO131085 NTK131085 ODG131085 ONC131085 OWY131085 PGU131085 PQQ131085 QAM131085 QKI131085 QUE131085 REA131085 RNW131085 RXS131085 SHO131085 SRK131085 TBG131085 TLC131085 TUY131085 UEU131085 UOQ131085 UYM131085 VII131085 VSE131085 WCA131085 WLW131085 WVS131085 K196621 JG196621 TC196621 ACY196621 AMU196621 AWQ196621 BGM196621 BQI196621 CAE196621 CKA196621 CTW196621 DDS196621 DNO196621 DXK196621 EHG196621 ERC196621 FAY196621 FKU196621 FUQ196621 GEM196621 GOI196621 GYE196621 HIA196621 HRW196621 IBS196621 ILO196621 IVK196621 JFG196621 JPC196621 JYY196621 KIU196621 KSQ196621 LCM196621 LMI196621 LWE196621 MGA196621 MPW196621 MZS196621 NJO196621 NTK196621 ODG196621 ONC196621 OWY196621 PGU196621 PQQ196621 QAM196621 QKI196621 QUE196621 REA196621 RNW196621 RXS196621 SHO196621 SRK196621 TBG196621 TLC196621 TUY196621 UEU196621 UOQ196621 UYM196621 VII196621 VSE196621 WCA196621 WLW196621 WVS196621 K262157 JG262157 TC262157 ACY262157 AMU262157 AWQ262157 BGM262157 BQI262157 CAE262157 CKA262157 CTW262157 DDS262157 DNO262157 DXK262157 EHG262157 ERC262157 FAY262157 FKU262157 FUQ262157 GEM262157 GOI262157 GYE262157 HIA262157 HRW262157 IBS262157 ILO262157 IVK262157 JFG262157 JPC262157 JYY262157 KIU262157 KSQ262157 LCM262157 LMI262157 LWE262157 MGA262157 MPW262157 MZS262157 NJO262157 NTK262157 ODG262157 ONC262157 OWY262157 PGU262157 PQQ262157 QAM262157 QKI262157 QUE262157 REA262157 RNW262157 RXS262157 SHO262157 SRK262157 TBG262157 TLC262157 TUY262157 UEU262157 UOQ262157 UYM262157 VII262157 VSE262157 WCA262157 WLW262157 WVS262157 K327693 JG327693 TC327693 ACY327693 AMU327693 AWQ327693 BGM327693 BQI327693 CAE327693 CKA327693 CTW327693 DDS327693 DNO327693 DXK327693 EHG327693 ERC327693 FAY327693 FKU327693 FUQ327693 GEM327693 GOI327693 GYE327693 HIA327693 HRW327693 IBS327693 ILO327693 IVK327693 JFG327693 JPC327693 JYY327693 KIU327693 KSQ327693 LCM327693 LMI327693 LWE327693 MGA327693 MPW327693 MZS327693 NJO327693 NTK327693 ODG327693 ONC327693 OWY327693 PGU327693 PQQ327693 QAM327693 QKI327693 QUE327693 REA327693 RNW327693 RXS327693 SHO327693 SRK327693 TBG327693 TLC327693 TUY327693 UEU327693 UOQ327693 UYM327693 VII327693 VSE327693 WCA327693 WLW327693 WVS327693 K393229 JG393229 TC393229 ACY393229 AMU393229 AWQ393229 BGM393229 BQI393229 CAE393229 CKA393229 CTW393229 DDS393229 DNO393229 DXK393229 EHG393229 ERC393229 FAY393229 FKU393229 FUQ393229 GEM393229 GOI393229 GYE393229 HIA393229 HRW393229 IBS393229 ILO393229 IVK393229 JFG393229 JPC393229 JYY393229 KIU393229 KSQ393229 LCM393229 LMI393229 LWE393229 MGA393229 MPW393229 MZS393229 NJO393229 NTK393229 ODG393229 ONC393229 OWY393229 PGU393229 PQQ393229 QAM393229 QKI393229 QUE393229 REA393229 RNW393229 RXS393229 SHO393229 SRK393229 TBG393229 TLC393229 TUY393229 UEU393229 UOQ393229 UYM393229 VII393229 VSE393229 WCA393229 WLW393229 WVS393229 K458765 JG458765 TC458765 ACY458765 AMU458765 AWQ458765 BGM458765 BQI458765 CAE458765 CKA458765 CTW458765 DDS458765 DNO458765 DXK458765 EHG458765 ERC458765 FAY458765 FKU458765 FUQ458765 GEM458765 GOI458765 GYE458765 HIA458765 HRW458765 IBS458765 ILO458765 IVK458765 JFG458765 JPC458765 JYY458765 KIU458765 KSQ458765 LCM458765 LMI458765 LWE458765 MGA458765 MPW458765 MZS458765 NJO458765 NTK458765 ODG458765 ONC458765 OWY458765 PGU458765 PQQ458765 QAM458765 QKI458765 QUE458765 REA458765 RNW458765 RXS458765 SHO458765 SRK458765 TBG458765 TLC458765 TUY458765 UEU458765 UOQ458765 UYM458765 VII458765 VSE458765 WCA458765 WLW458765 WVS458765 K524301 JG524301 TC524301 ACY524301 AMU524301 AWQ524301 BGM524301 BQI524301 CAE524301 CKA524301 CTW524301 DDS524301 DNO524301 DXK524301 EHG524301 ERC524301 FAY524301 FKU524301 FUQ524301 GEM524301 GOI524301 GYE524301 HIA524301 HRW524301 IBS524301 ILO524301 IVK524301 JFG524301 JPC524301 JYY524301 KIU524301 KSQ524301 LCM524301 LMI524301 LWE524301 MGA524301 MPW524301 MZS524301 NJO524301 NTK524301 ODG524301 ONC524301 OWY524301 PGU524301 PQQ524301 QAM524301 QKI524301 QUE524301 REA524301 RNW524301 RXS524301 SHO524301 SRK524301 TBG524301 TLC524301 TUY524301 UEU524301 UOQ524301 UYM524301 VII524301 VSE524301 WCA524301 WLW524301 WVS524301 K589837 JG589837 TC589837 ACY589837 AMU589837 AWQ589837 BGM589837 BQI589837 CAE589837 CKA589837 CTW589837 DDS589837 DNO589837 DXK589837 EHG589837 ERC589837 FAY589837 FKU589837 FUQ589837 GEM589837 GOI589837 GYE589837 HIA589837 HRW589837 IBS589837 ILO589837 IVK589837 JFG589837 JPC589837 JYY589837 KIU589837 KSQ589837 LCM589837 LMI589837 LWE589837 MGA589837 MPW589837 MZS589837 NJO589837 NTK589837 ODG589837 ONC589837 OWY589837 PGU589837 PQQ589837 QAM589837 QKI589837 QUE589837 REA589837 RNW589837 RXS589837 SHO589837 SRK589837 TBG589837 TLC589837 TUY589837 UEU589837 UOQ589837 UYM589837 VII589837 VSE589837 WCA589837 WLW589837 WVS589837 K655373 JG655373 TC655373 ACY655373 AMU655373 AWQ655373 BGM655373 BQI655373 CAE655373 CKA655373 CTW655373 DDS655373 DNO655373 DXK655373 EHG655373 ERC655373 FAY655373 FKU655373 FUQ655373 GEM655373 GOI655373 GYE655373 HIA655373 HRW655373 IBS655373 ILO655373 IVK655373 JFG655373 JPC655373 JYY655373 KIU655373 KSQ655373 LCM655373 LMI655373 LWE655373 MGA655373 MPW655373 MZS655373 NJO655373 NTK655373 ODG655373 ONC655373 OWY655373 PGU655373 PQQ655373 QAM655373 QKI655373 QUE655373 REA655373 RNW655373 RXS655373 SHO655373 SRK655373 TBG655373 TLC655373 TUY655373 UEU655373 UOQ655373 UYM655373 VII655373 VSE655373 WCA655373 WLW655373 WVS655373 K720909 JG720909 TC720909 ACY720909 AMU720909 AWQ720909 BGM720909 BQI720909 CAE720909 CKA720909 CTW720909 DDS720909 DNO720909 DXK720909 EHG720909 ERC720909 FAY720909 FKU720909 FUQ720909 GEM720909 GOI720909 GYE720909 HIA720909 HRW720909 IBS720909 ILO720909 IVK720909 JFG720909 JPC720909 JYY720909 KIU720909 KSQ720909 LCM720909 LMI720909 LWE720909 MGA720909 MPW720909 MZS720909 NJO720909 NTK720909 ODG720909 ONC720909 OWY720909 PGU720909 PQQ720909 QAM720909 QKI720909 QUE720909 REA720909 RNW720909 RXS720909 SHO720909 SRK720909 TBG720909 TLC720909 TUY720909 UEU720909 UOQ720909 UYM720909 VII720909 VSE720909 WCA720909 WLW720909 WVS720909 K786445 JG786445 TC786445 ACY786445 AMU786445 AWQ786445 BGM786445 BQI786445 CAE786445 CKA786445 CTW786445 DDS786445 DNO786445 DXK786445 EHG786445 ERC786445 FAY786445 FKU786445 FUQ786445 GEM786445 GOI786445 GYE786445 HIA786445 HRW786445 IBS786445 ILO786445 IVK786445 JFG786445 JPC786445 JYY786445 KIU786445 KSQ786445 LCM786445 LMI786445 LWE786445 MGA786445 MPW786445 MZS786445 NJO786445 NTK786445 ODG786445 ONC786445 OWY786445 PGU786445 PQQ786445 QAM786445 QKI786445 QUE786445 REA786445 RNW786445 RXS786445 SHO786445 SRK786445 TBG786445 TLC786445 TUY786445 UEU786445 UOQ786445 UYM786445 VII786445 VSE786445 WCA786445 WLW786445 WVS786445 K851981 JG851981 TC851981 ACY851981 AMU851981 AWQ851981 BGM851981 BQI851981 CAE851981 CKA851981 CTW851981 DDS851981 DNO851981 DXK851981 EHG851981 ERC851981 FAY851981 FKU851981 FUQ851981 GEM851981 GOI851981 GYE851981 HIA851981 HRW851981 IBS851981 ILO851981 IVK851981 JFG851981 JPC851981 JYY851981 KIU851981 KSQ851981 LCM851981 LMI851981 LWE851981 MGA851981 MPW851981 MZS851981 NJO851981 NTK851981 ODG851981 ONC851981 OWY851981 PGU851981 PQQ851981 QAM851981 QKI851981 QUE851981 REA851981 RNW851981 RXS851981 SHO851981 SRK851981 TBG851981 TLC851981 TUY851981 UEU851981 UOQ851981 UYM851981 VII851981 VSE851981 WCA851981 WLW851981 WVS851981 K917517 JG917517 TC917517 ACY917517 AMU917517 AWQ917517 BGM917517 BQI917517 CAE917517 CKA917517 CTW917517 DDS917517 DNO917517 DXK917517 EHG917517 ERC917517 FAY917517 FKU917517 FUQ917517 GEM917517 GOI917517 GYE917517 HIA917517 HRW917517 IBS917517 ILO917517 IVK917517 JFG917517 JPC917517 JYY917517 KIU917517 KSQ917517 LCM917517 LMI917517 LWE917517 MGA917517 MPW917517 MZS917517 NJO917517 NTK917517 ODG917517 ONC917517 OWY917517 PGU917517 PQQ917517 QAM917517 QKI917517 QUE917517 REA917517 RNW917517 RXS917517 SHO917517 SRK917517 TBG917517 TLC917517 TUY917517 UEU917517 UOQ917517 UYM917517 VII917517 VSE917517 WCA917517 WLW917517 WVS917517 K983053 JG983053 TC983053 ACY983053 AMU983053 AWQ983053 BGM983053 BQI983053 CAE983053 CKA983053 CTW983053 DDS983053 DNO983053 DXK983053 EHG983053 ERC983053 FAY983053 FKU983053 FUQ983053 GEM983053 GOI983053 GYE983053 HIA983053 HRW983053 IBS983053 ILO983053 IVK983053 JFG983053 JPC983053 JYY983053 KIU983053 KSQ983053 LCM983053 LMI983053 LWE983053 MGA983053 MPW983053 MZS983053 NJO983053 NTK983053 ODG983053 ONC983053 OWY983053 PGU983053 PQQ983053 QAM983053 QKI983053 QUE983053 REA983053 RNW983053 RXS983053 SHO983053 SRK983053 TBG983053 TLC983053 TUY983053 UEU983053 UOQ983053 UYM983053 VII983053 VSE983053 WCA983053 WLW983053 WVS983053 K4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K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K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K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K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K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K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K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K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K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K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K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K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K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K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K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formula1>$C$52:$C$53</formula1>
    </dataValidation>
    <dataValidation type="list" allowBlank="1" showInputMessage="1" showErrorMessage="1"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$AA$6:$AA$31</formula1>
    </dataValidation>
  </dataValidations>
  <printOptions horizontalCentered="1" headings="1"/>
  <pageMargins left="0.23" right="0.18" top="0.41" bottom="0.44" header="0.17" footer="0.25"/>
  <pageSetup scale="7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workbookViewId="0">
      <selection activeCell="B13" sqref="B13"/>
    </sheetView>
  </sheetViews>
  <sheetFormatPr defaultRowHeight="15" x14ac:dyDescent="0.25"/>
  <cols>
    <col min="1" max="1" width="15.140625" bestFit="1" customWidth="1"/>
    <col min="2" max="2" width="9.85546875" bestFit="1" customWidth="1"/>
    <col min="3" max="3" width="8.5703125" bestFit="1" customWidth="1"/>
    <col min="4" max="4" width="10" bestFit="1" customWidth="1"/>
    <col min="5" max="5" width="9.42578125" bestFit="1" customWidth="1"/>
    <col min="6" max="6" width="6.42578125" bestFit="1" customWidth="1"/>
    <col min="7" max="7" width="16.42578125" bestFit="1" customWidth="1"/>
    <col min="8" max="8" width="9.28515625" bestFit="1" customWidth="1"/>
    <col min="9" max="9" width="8.5703125" bestFit="1" customWidth="1"/>
    <col min="10" max="10" width="4.5703125" bestFit="1" customWidth="1"/>
    <col min="11" max="12" width="8.85546875" bestFit="1" customWidth="1"/>
    <col min="13" max="13" width="16.140625" bestFit="1" customWidth="1"/>
    <col min="14" max="14" width="12.42578125" bestFit="1" customWidth="1"/>
    <col min="15" max="15" width="6.42578125" bestFit="1" customWidth="1"/>
    <col min="16" max="16" width="5.85546875" bestFit="1" customWidth="1"/>
    <col min="17" max="17" width="5.5703125" bestFit="1" customWidth="1"/>
    <col min="18" max="18" width="7.7109375" bestFit="1" customWidth="1"/>
    <col min="19" max="19" width="4.42578125" bestFit="1" customWidth="1"/>
    <col min="20" max="20" width="7.5703125" bestFit="1" customWidth="1"/>
    <col min="21" max="21" width="6.85546875" bestFit="1" customWidth="1"/>
    <col min="22" max="22" width="11" style="103" bestFit="1" customWidth="1"/>
  </cols>
  <sheetData>
    <row r="1" spans="1:22" x14ac:dyDescent="0.25">
      <c r="A1" s="138">
        <v>1</v>
      </c>
      <c r="B1" s="138">
        <v>2</v>
      </c>
      <c r="C1" s="138">
        <v>3</v>
      </c>
      <c r="D1" s="138">
        <v>4</v>
      </c>
      <c r="E1" s="138">
        <v>5</v>
      </c>
      <c r="F1" s="138">
        <v>6</v>
      </c>
      <c r="G1" s="138">
        <v>7</v>
      </c>
      <c r="H1" s="138">
        <v>8</v>
      </c>
      <c r="I1" s="138">
        <v>9</v>
      </c>
      <c r="J1" s="138">
        <v>10</v>
      </c>
      <c r="K1" s="138">
        <v>11</v>
      </c>
      <c r="L1" s="138">
        <v>12</v>
      </c>
      <c r="M1" s="138">
        <v>13</v>
      </c>
      <c r="N1" s="138">
        <v>14</v>
      </c>
      <c r="O1" s="138">
        <v>15</v>
      </c>
      <c r="P1" s="138">
        <v>16</v>
      </c>
      <c r="Q1" s="138">
        <v>17</v>
      </c>
      <c r="R1" s="138">
        <v>18</v>
      </c>
      <c r="S1" s="138">
        <v>19</v>
      </c>
      <c r="T1" s="138">
        <v>20</v>
      </c>
      <c r="U1" s="138">
        <v>21</v>
      </c>
      <c r="V1" s="86"/>
    </row>
    <row r="2" spans="1:22" x14ac:dyDescent="0.25">
      <c r="A2" s="139" t="s">
        <v>268</v>
      </c>
      <c r="B2" s="139" t="s">
        <v>269</v>
      </c>
      <c r="C2" s="139" t="s">
        <v>270</v>
      </c>
      <c r="D2" s="139" t="s">
        <v>271</v>
      </c>
      <c r="E2" s="139" t="s">
        <v>272</v>
      </c>
      <c r="F2" s="139" t="s">
        <v>273</v>
      </c>
      <c r="G2" s="139" t="s">
        <v>274</v>
      </c>
      <c r="H2" s="139" t="s">
        <v>275</v>
      </c>
      <c r="I2" s="139" t="s">
        <v>276</v>
      </c>
      <c r="J2" s="139" t="s">
        <v>97</v>
      </c>
      <c r="K2" s="139" t="s">
        <v>277</v>
      </c>
      <c r="L2" s="139" t="s">
        <v>278</v>
      </c>
      <c r="M2" s="139" t="s">
        <v>293</v>
      </c>
      <c r="N2" s="139" t="s">
        <v>280</v>
      </c>
      <c r="O2" s="139" t="s">
        <v>281</v>
      </c>
      <c r="P2" s="140" t="s">
        <v>282</v>
      </c>
      <c r="Q2" s="139" t="s">
        <v>283</v>
      </c>
      <c r="R2" s="140" t="s">
        <v>284</v>
      </c>
      <c r="S2" s="140" t="s">
        <v>285</v>
      </c>
      <c r="T2" s="140" t="s">
        <v>105</v>
      </c>
      <c r="U2" s="140" t="s">
        <v>107</v>
      </c>
      <c r="V2" s="89"/>
    </row>
    <row r="3" spans="1:22" x14ac:dyDescent="0.25">
      <c r="A3" s="94" t="s">
        <v>294</v>
      </c>
      <c r="B3" s="94">
        <v>4</v>
      </c>
      <c r="C3" s="94">
        <v>16</v>
      </c>
      <c r="D3" s="94">
        <v>6</v>
      </c>
      <c r="E3" s="94">
        <v>1100</v>
      </c>
      <c r="F3" s="94">
        <v>2000</v>
      </c>
      <c r="G3" s="94">
        <v>600</v>
      </c>
      <c r="H3" s="94">
        <v>9.5</v>
      </c>
      <c r="I3" s="97">
        <v>95</v>
      </c>
      <c r="J3" s="96">
        <v>0.6</v>
      </c>
      <c r="K3" s="97" t="s">
        <v>295</v>
      </c>
      <c r="L3" s="97" t="s">
        <v>296</v>
      </c>
      <c r="M3" s="98">
        <v>3</v>
      </c>
      <c r="N3" s="94">
        <v>2.7</v>
      </c>
      <c r="O3" s="141">
        <v>200</v>
      </c>
      <c r="P3" s="95">
        <v>25</v>
      </c>
      <c r="Q3" s="95">
        <v>9.1999999999999993</v>
      </c>
      <c r="R3" s="95">
        <v>30000</v>
      </c>
      <c r="S3" s="95">
        <v>9</v>
      </c>
      <c r="T3" s="95">
        <v>1.22</v>
      </c>
      <c r="U3" s="95">
        <v>1.02</v>
      </c>
      <c r="V3" s="91"/>
    </row>
    <row r="4" spans="1:22" x14ac:dyDescent="0.25">
      <c r="A4" s="94" t="s">
        <v>297</v>
      </c>
      <c r="B4" s="94">
        <v>4</v>
      </c>
      <c r="C4" s="94">
        <v>16</v>
      </c>
      <c r="D4" s="94">
        <v>14</v>
      </c>
      <c r="E4" s="94">
        <v>600</v>
      </c>
      <c r="F4" s="94">
        <v>800</v>
      </c>
      <c r="G4" s="94">
        <v>1000</v>
      </c>
      <c r="H4" s="94">
        <v>15</v>
      </c>
      <c r="I4" s="97">
        <v>70</v>
      </c>
      <c r="J4" s="96">
        <v>0.6</v>
      </c>
      <c r="K4" s="97" t="s">
        <v>295</v>
      </c>
      <c r="L4" s="97" t="s">
        <v>296</v>
      </c>
      <c r="M4" s="98">
        <v>3</v>
      </c>
      <c r="N4" s="94"/>
      <c r="O4" s="97"/>
      <c r="P4" s="95"/>
      <c r="Q4" s="95"/>
      <c r="R4" s="95">
        <v>60000</v>
      </c>
      <c r="S4" s="95"/>
      <c r="T4" s="95"/>
      <c r="U4" s="95"/>
      <c r="V4" s="91"/>
    </row>
    <row r="5" spans="1:22" x14ac:dyDescent="0.25">
      <c r="A5" s="94" t="s">
        <v>298</v>
      </c>
      <c r="B5" s="94">
        <v>4</v>
      </c>
      <c r="C5" s="94">
        <v>16</v>
      </c>
      <c r="D5" s="94">
        <v>14</v>
      </c>
      <c r="E5" s="94">
        <v>600</v>
      </c>
      <c r="F5" s="94">
        <v>800</v>
      </c>
      <c r="G5" s="94">
        <v>1000</v>
      </c>
      <c r="H5" s="94">
        <v>15</v>
      </c>
      <c r="I5" s="97">
        <v>70</v>
      </c>
      <c r="J5" s="96">
        <v>0.6</v>
      </c>
      <c r="K5" s="97" t="s">
        <v>295</v>
      </c>
      <c r="L5" s="97" t="s">
        <v>296</v>
      </c>
      <c r="M5" s="98">
        <v>4.5</v>
      </c>
      <c r="N5" s="94"/>
      <c r="O5" s="97"/>
      <c r="P5" s="95"/>
      <c r="Q5" s="95"/>
      <c r="R5" s="95">
        <v>60000</v>
      </c>
      <c r="S5" s="95"/>
      <c r="T5" s="95"/>
      <c r="U5" s="95"/>
      <c r="V5" s="91"/>
    </row>
    <row r="6" spans="1:22" x14ac:dyDescent="0.25">
      <c r="A6" s="94" t="s">
        <v>299</v>
      </c>
      <c r="B6" s="94">
        <v>4</v>
      </c>
      <c r="C6" s="94">
        <v>16</v>
      </c>
      <c r="D6" s="94">
        <v>20</v>
      </c>
      <c r="E6" s="94">
        <v>600</v>
      </c>
      <c r="F6" s="94">
        <v>800</v>
      </c>
      <c r="G6" s="94">
        <v>1000</v>
      </c>
      <c r="H6" s="94">
        <v>20.9</v>
      </c>
      <c r="I6" s="97">
        <v>70</v>
      </c>
      <c r="J6" s="96">
        <v>0.6</v>
      </c>
      <c r="K6" s="97" t="s">
        <v>295</v>
      </c>
      <c r="L6" s="97" t="s">
        <v>296</v>
      </c>
      <c r="M6" s="98">
        <v>3</v>
      </c>
      <c r="N6" s="94"/>
      <c r="O6" s="97"/>
      <c r="P6" s="95"/>
      <c r="Q6" s="95"/>
      <c r="R6" s="95">
        <v>120000</v>
      </c>
      <c r="S6" s="95"/>
      <c r="T6" s="95"/>
      <c r="U6" s="95"/>
      <c r="V6" s="91"/>
    </row>
    <row r="7" spans="1:22" x14ac:dyDescent="0.25">
      <c r="A7" s="94" t="s">
        <v>300</v>
      </c>
      <c r="B7" s="94">
        <v>4</v>
      </c>
      <c r="C7" s="94">
        <v>16</v>
      </c>
      <c r="D7" s="94">
        <v>20</v>
      </c>
      <c r="E7" s="94">
        <v>600</v>
      </c>
      <c r="F7" s="94">
        <v>800</v>
      </c>
      <c r="G7" s="94">
        <v>1000</v>
      </c>
      <c r="H7" s="94">
        <v>20.9</v>
      </c>
      <c r="I7" s="97">
        <v>70</v>
      </c>
      <c r="J7" s="96">
        <v>0.6</v>
      </c>
      <c r="K7" s="97" t="s">
        <v>295</v>
      </c>
      <c r="L7" s="97" t="s">
        <v>296</v>
      </c>
      <c r="M7" s="98">
        <v>4.5</v>
      </c>
      <c r="N7" s="94"/>
      <c r="O7" s="97"/>
      <c r="P7" s="95"/>
      <c r="Q7" s="95"/>
      <c r="R7" s="95">
        <v>120000</v>
      </c>
      <c r="S7" s="95"/>
      <c r="T7" s="95"/>
      <c r="U7" s="95"/>
      <c r="V7" s="91"/>
    </row>
    <row r="8" spans="1:22" x14ac:dyDescent="0.25">
      <c r="A8" s="94" t="s">
        <v>301</v>
      </c>
      <c r="B8" s="95">
        <f t="shared" ref="B8:I8" si="0">B3</f>
        <v>4</v>
      </c>
      <c r="C8" s="95">
        <f t="shared" si="0"/>
        <v>16</v>
      </c>
      <c r="D8" s="95">
        <f t="shared" si="0"/>
        <v>6</v>
      </c>
      <c r="E8" s="95">
        <f t="shared" si="0"/>
        <v>1100</v>
      </c>
      <c r="F8" s="95">
        <f t="shared" si="0"/>
        <v>2000</v>
      </c>
      <c r="G8" s="95">
        <f t="shared" si="0"/>
        <v>600</v>
      </c>
      <c r="H8" s="95">
        <f t="shared" si="0"/>
        <v>9.5</v>
      </c>
      <c r="I8" s="95">
        <f t="shared" si="0"/>
        <v>95</v>
      </c>
      <c r="J8" s="96">
        <v>0.9</v>
      </c>
      <c r="K8" s="97" t="s">
        <v>296</v>
      </c>
      <c r="L8" s="97" t="s">
        <v>296</v>
      </c>
      <c r="M8" s="95">
        <f t="shared" ref="M8:U8" si="1">M3</f>
        <v>3</v>
      </c>
      <c r="N8" s="95">
        <f t="shared" si="1"/>
        <v>2.7</v>
      </c>
      <c r="O8" s="95">
        <f t="shared" si="1"/>
        <v>200</v>
      </c>
      <c r="P8" s="95">
        <f t="shared" si="1"/>
        <v>25</v>
      </c>
      <c r="Q8" s="95">
        <f t="shared" si="1"/>
        <v>9.1999999999999993</v>
      </c>
      <c r="R8" s="95">
        <f t="shared" si="1"/>
        <v>30000</v>
      </c>
      <c r="S8" s="95">
        <f t="shared" si="1"/>
        <v>9</v>
      </c>
      <c r="T8" s="95">
        <f t="shared" si="1"/>
        <v>1.22</v>
      </c>
      <c r="U8" s="95">
        <f t="shared" si="1"/>
        <v>1.02</v>
      </c>
      <c r="V8" s="91"/>
    </row>
    <row r="9" spans="1:22" x14ac:dyDescent="0.25">
      <c r="A9" s="94" t="s">
        <v>302</v>
      </c>
      <c r="B9" s="95">
        <f t="shared" ref="B9:I9" si="2">B8</f>
        <v>4</v>
      </c>
      <c r="C9" s="95">
        <f t="shared" si="2"/>
        <v>16</v>
      </c>
      <c r="D9" s="95">
        <f t="shared" si="2"/>
        <v>6</v>
      </c>
      <c r="E9" s="95">
        <f t="shared" si="2"/>
        <v>1100</v>
      </c>
      <c r="F9" s="95">
        <f t="shared" si="2"/>
        <v>2000</v>
      </c>
      <c r="G9" s="95">
        <f t="shared" si="2"/>
        <v>600</v>
      </c>
      <c r="H9" s="95">
        <f t="shared" si="2"/>
        <v>9.5</v>
      </c>
      <c r="I9" s="95">
        <f t="shared" si="2"/>
        <v>95</v>
      </c>
      <c r="J9" s="96">
        <v>0.6</v>
      </c>
      <c r="K9" s="97" t="s">
        <v>295</v>
      </c>
      <c r="L9" s="97" t="s">
        <v>296</v>
      </c>
      <c r="M9" s="95">
        <f t="shared" ref="M9:U9" si="3">M8</f>
        <v>3</v>
      </c>
      <c r="N9" s="95">
        <f t="shared" si="3"/>
        <v>2.7</v>
      </c>
      <c r="O9" s="95">
        <f t="shared" si="3"/>
        <v>200</v>
      </c>
      <c r="P9" s="95">
        <f t="shared" si="3"/>
        <v>25</v>
      </c>
      <c r="Q9" s="95">
        <f t="shared" si="3"/>
        <v>9.1999999999999993</v>
      </c>
      <c r="R9" s="95">
        <f t="shared" si="3"/>
        <v>30000</v>
      </c>
      <c r="S9" s="95">
        <f t="shared" si="3"/>
        <v>9</v>
      </c>
      <c r="T9" s="95">
        <f t="shared" si="3"/>
        <v>1.22</v>
      </c>
      <c r="U9" s="95">
        <f t="shared" si="3"/>
        <v>1.02</v>
      </c>
      <c r="V9" s="91"/>
    </row>
    <row r="10" spans="1:22" x14ac:dyDescent="0.25">
      <c r="A10" s="94" t="s">
        <v>303</v>
      </c>
      <c r="B10" s="94">
        <v>4</v>
      </c>
      <c r="C10" s="94">
        <v>16</v>
      </c>
      <c r="D10" s="94">
        <v>12</v>
      </c>
      <c r="E10" s="94">
        <v>600</v>
      </c>
      <c r="F10" s="94">
        <v>800</v>
      </c>
      <c r="G10" s="94">
        <v>1000</v>
      </c>
      <c r="H10" s="94">
        <v>15</v>
      </c>
      <c r="I10" s="97">
        <v>70</v>
      </c>
      <c r="J10" s="96">
        <v>0.9</v>
      </c>
      <c r="K10" s="97" t="s">
        <v>296</v>
      </c>
      <c r="L10" s="97" t="s">
        <v>296</v>
      </c>
      <c r="M10" s="98">
        <v>3</v>
      </c>
      <c r="N10" s="94"/>
      <c r="O10" s="97"/>
      <c r="P10" s="97"/>
      <c r="Q10" s="97"/>
      <c r="R10" s="95">
        <v>60000</v>
      </c>
      <c r="S10" s="96"/>
      <c r="T10" s="95"/>
      <c r="U10" s="95"/>
      <c r="V10" s="91"/>
    </row>
    <row r="11" spans="1:22" x14ac:dyDescent="0.25">
      <c r="A11" s="94" t="s">
        <v>304</v>
      </c>
      <c r="B11" s="94">
        <v>4</v>
      </c>
      <c r="C11" s="94">
        <v>16</v>
      </c>
      <c r="D11" s="94">
        <v>20</v>
      </c>
      <c r="E11" s="94">
        <v>600</v>
      </c>
      <c r="F11" s="94">
        <v>800</v>
      </c>
      <c r="G11" s="94">
        <v>1000</v>
      </c>
      <c r="H11" s="94">
        <v>20.9</v>
      </c>
      <c r="I11" s="97">
        <v>70</v>
      </c>
      <c r="J11" s="96">
        <v>0.9</v>
      </c>
      <c r="K11" s="97" t="s">
        <v>296</v>
      </c>
      <c r="L11" s="97" t="s">
        <v>296</v>
      </c>
      <c r="M11" s="98">
        <v>3</v>
      </c>
      <c r="N11" s="94"/>
      <c r="O11" s="97"/>
      <c r="P11" s="97"/>
      <c r="Q11" s="97"/>
      <c r="R11" s="95">
        <v>120000</v>
      </c>
      <c r="S11" s="96"/>
      <c r="T11" s="95"/>
      <c r="U11" s="95"/>
      <c r="V11" s="91"/>
    </row>
    <row r="12" spans="1:22" x14ac:dyDescent="0.25">
      <c r="A12" s="99"/>
      <c r="B12" s="99"/>
      <c r="C12" s="99"/>
      <c r="D12" s="99"/>
      <c r="E12" s="99"/>
      <c r="F12" s="99"/>
      <c r="G12" s="99"/>
      <c r="H12" s="99"/>
      <c r="I12" s="100"/>
      <c r="J12" s="100"/>
      <c r="K12" s="100"/>
      <c r="L12" s="100"/>
      <c r="M12" s="100"/>
      <c r="N12" s="100"/>
      <c r="O12" s="100"/>
      <c r="P12" s="100"/>
      <c r="Q12" s="100"/>
      <c r="R12" s="101"/>
      <c r="S12" s="101"/>
      <c r="V12" s="91"/>
    </row>
    <row r="13" spans="1:22" x14ac:dyDescent="0.25">
      <c r="A13" s="99" t="s">
        <v>305</v>
      </c>
      <c r="B13" s="102"/>
      <c r="C13" s="99"/>
      <c r="D13" s="99"/>
      <c r="E13" s="99"/>
      <c r="F13" s="99"/>
      <c r="G13" s="99"/>
      <c r="H13" s="99"/>
      <c r="I13" s="100"/>
      <c r="J13" s="100"/>
      <c r="K13" s="100"/>
      <c r="L13" s="100"/>
      <c r="M13" s="100"/>
      <c r="N13" s="100"/>
      <c r="O13" s="100"/>
      <c r="P13" s="100"/>
      <c r="Q13" s="100"/>
      <c r="R13" s="101"/>
      <c r="S13" s="101"/>
      <c r="V13" s="91"/>
    </row>
    <row r="14" spans="1:22" x14ac:dyDescent="0.25">
      <c r="A14" s="99"/>
      <c r="B14" s="99"/>
      <c r="C14" s="99"/>
      <c r="D14" s="99"/>
      <c r="E14" s="99"/>
      <c r="F14" s="99"/>
      <c r="G14" s="99"/>
      <c r="H14" s="99"/>
      <c r="I14" s="100"/>
      <c r="J14" s="100"/>
      <c r="K14" s="100"/>
      <c r="L14" s="100"/>
      <c r="M14" s="100"/>
      <c r="N14" s="100"/>
      <c r="O14" s="100"/>
      <c r="P14" s="100"/>
      <c r="Q14" s="100"/>
      <c r="R14" s="101"/>
      <c r="S14" s="101"/>
    </row>
    <row r="15" spans="1:22" x14ac:dyDescent="0.25">
      <c r="A15" t="s">
        <v>306</v>
      </c>
      <c r="B15" t="s">
        <v>307</v>
      </c>
      <c r="D15" s="142"/>
      <c r="E15" s="143" t="s">
        <v>308</v>
      </c>
      <c r="F15" s="143" t="s">
        <v>309</v>
      </c>
      <c r="G15" s="144" t="s">
        <v>310</v>
      </c>
      <c r="K15" s="100"/>
      <c r="L15" s="100"/>
      <c r="S15" s="101"/>
    </row>
    <row r="16" spans="1:22" x14ac:dyDescent="0.25">
      <c r="A16" s="145" t="e">
        <f>VLOOKUP($B$13,'partData (2)'!$A$3:$N$11,5,FALSE)</f>
        <v>#N/A</v>
      </c>
      <c r="B16" s="142" t="s">
        <v>292</v>
      </c>
      <c r="D16" s="101" t="e">
        <f t="shared" ref="D16:D21" si="4">CONCATENATE(E16&amp;F16)</f>
        <v>#N/A</v>
      </c>
      <c r="E16" s="143" t="e">
        <f>A16</f>
        <v>#N/A</v>
      </c>
      <c r="F16" s="143" t="s">
        <v>292</v>
      </c>
      <c r="G16" s="146" t="s">
        <v>311</v>
      </c>
      <c r="K16" s="100"/>
      <c r="L16" s="100"/>
      <c r="S16" s="101"/>
    </row>
    <row r="17" spans="1:19" x14ac:dyDescent="0.25">
      <c r="A17" s="111" t="e">
        <f>VLOOKUP($B$13,'partData (2)'!$A$3:$N$11,6,FALSE)</f>
        <v>#N/A</v>
      </c>
      <c r="B17" s="100" t="s">
        <v>312</v>
      </c>
      <c r="D17" s="101" t="e">
        <f t="shared" si="4"/>
        <v>#N/A</v>
      </c>
      <c r="E17" s="143" t="e">
        <f>A17</f>
        <v>#N/A</v>
      </c>
      <c r="F17" s="143" t="s">
        <v>292</v>
      </c>
      <c r="G17" s="146">
        <v>30.1</v>
      </c>
      <c r="K17" s="100"/>
      <c r="L17" s="100"/>
      <c r="S17" s="101"/>
    </row>
    <row r="18" spans="1:19" x14ac:dyDescent="0.25">
      <c r="A18" s="111" t="e">
        <f>VLOOKUP($B$13,'partData (2)'!$A$3:$N$11,7,FALSE)</f>
        <v>#N/A</v>
      </c>
      <c r="B18" s="100"/>
      <c r="D18" s="101" t="e">
        <f t="shared" si="4"/>
        <v>#N/A</v>
      </c>
      <c r="E18" s="143" t="e">
        <f>A18</f>
        <v>#N/A</v>
      </c>
      <c r="F18" s="143" t="s">
        <v>292</v>
      </c>
      <c r="G18" s="146">
        <v>60.4</v>
      </c>
      <c r="K18" s="100"/>
      <c r="L18" s="100"/>
      <c r="S18" s="101"/>
    </row>
    <row r="19" spans="1:19" x14ac:dyDescent="0.25">
      <c r="A19" s="100"/>
      <c r="B19" s="100"/>
      <c r="D19" s="101" t="e">
        <f t="shared" si="4"/>
        <v>#N/A</v>
      </c>
      <c r="E19" s="143" t="e">
        <f>A16</f>
        <v>#N/A</v>
      </c>
      <c r="F19" s="143" t="s">
        <v>312</v>
      </c>
      <c r="G19" s="146" t="s">
        <v>313</v>
      </c>
      <c r="K19" s="100"/>
      <c r="L19" s="100"/>
      <c r="S19" s="101"/>
    </row>
    <row r="20" spans="1:19" x14ac:dyDescent="0.25">
      <c r="A20" s="100"/>
      <c r="B20" s="100"/>
      <c r="D20" s="101" t="e">
        <f t="shared" si="4"/>
        <v>#N/A</v>
      </c>
      <c r="E20" s="143" t="e">
        <f>A17</f>
        <v>#N/A</v>
      </c>
      <c r="F20" s="143" t="s">
        <v>312</v>
      </c>
      <c r="G20" s="146">
        <v>243</v>
      </c>
      <c r="K20" s="100"/>
      <c r="L20" s="100"/>
      <c r="S20" s="101"/>
    </row>
    <row r="21" spans="1:19" x14ac:dyDescent="0.25">
      <c r="A21" s="100"/>
      <c r="B21" s="100"/>
      <c r="D21" s="101" t="e">
        <f t="shared" si="4"/>
        <v>#N/A</v>
      </c>
      <c r="E21" s="143" t="e">
        <f>A18</f>
        <v>#N/A</v>
      </c>
      <c r="F21" s="143" t="s">
        <v>312</v>
      </c>
      <c r="G21" s="146">
        <v>121</v>
      </c>
      <c r="K21" s="100"/>
      <c r="L21" s="100"/>
      <c r="S21" s="101"/>
    </row>
    <row r="22" spans="1:19" x14ac:dyDescent="0.25">
      <c r="A22" s="122"/>
      <c r="B22" s="99"/>
      <c r="C22" s="99"/>
      <c r="D22" s="100"/>
      <c r="E22" s="100"/>
      <c r="K22" s="100"/>
      <c r="L22" s="100"/>
      <c r="M22" s="100"/>
      <c r="N22" s="100"/>
      <c r="O22" s="100"/>
      <c r="P22" s="100"/>
      <c r="Q22" s="100"/>
      <c r="R22" s="101"/>
      <c r="S22" s="101"/>
    </row>
    <row r="23" spans="1:19" x14ac:dyDescent="0.25">
      <c r="A23" s="99"/>
      <c r="B23" s="99"/>
      <c r="C23" s="99"/>
      <c r="D23" s="99"/>
      <c r="E23" s="99"/>
      <c r="F23" s="99"/>
      <c r="G23" s="99"/>
      <c r="H23" s="99"/>
      <c r="I23" s="100"/>
      <c r="J23" s="100"/>
      <c r="K23" s="100"/>
      <c r="L23" s="100"/>
      <c r="M23" s="100"/>
      <c r="N23" s="100"/>
      <c r="O23" s="100"/>
      <c r="P23" s="100"/>
      <c r="Q23" s="100"/>
      <c r="R23" s="101"/>
      <c r="S23" s="101"/>
    </row>
    <row r="24" spans="1:19" x14ac:dyDescent="0.25">
      <c r="A24" s="99"/>
      <c r="B24" s="99"/>
      <c r="C24" s="99"/>
      <c r="D24" s="99"/>
      <c r="E24" s="99"/>
      <c r="F24" s="99"/>
      <c r="G24" s="99"/>
      <c r="H24" s="99"/>
      <c r="I24" s="100"/>
      <c r="J24" s="100"/>
      <c r="K24" s="100"/>
      <c r="L24" s="100"/>
      <c r="M24" s="100"/>
      <c r="N24" s="100"/>
      <c r="O24" s="100"/>
      <c r="P24" s="100"/>
      <c r="Q24" s="100"/>
      <c r="R24" s="101"/>
      <c r="S24" s="101"/>
    </row>
    <row r="25" spans="1:19" x14ac:dyDescent="0.25">
      <c r="A25" s="128"/>
      <c r="B25" s="99"/>
      <c r="C25" s="99"/>
      <c r="D25" s="99"/>
      <c r="E25" s="99"/>
      <c r="F25" s="99"/>
      <c r="G25" s="99"/>
      <c r="H25" s="99"/>
      <c r="I25" s="100"/>
      <c r="J25" s="100"/>
      <c r="K25" s="100"/>
      <c r="L25" s="100"/>
      <c r="M25" s="100"/>
      <c r="N25" s="100"/>
      <c r="O25" s="100"/>
      <c r="P25" s="100"/>
      <c r="Q25" s="100"/>
      <c r="R25" s="101"/>
      <c r="S25" s="101"/>
    </row>
    <row r="26" spans="1:19" x14ac:dyDescent="0.25">
      <c r="A26" s="99"/>
      <c r="B26" s="99"/>
      <c r="C26" s="99"/>
      <c r="D26" s="99"/>
      <c r="E26" s="99"/>
      <c r="F26" s="99"/>
      <c r="G26" s="99"/>
      <c r="H26" s="99"/>
      <c r="I26" s="100"/>
      <c r="J26" s="100"/>
      <c r="K26" s="100"/>
      <c r="L26" s="100"/>
      <c r="M26" s="100"/>
      <c r="N26" s="100"/>
      <c r="O26" s="100"/>
      <c r="P26" s="100"/>
      <c r="Q26" s="100"/>
      <c r="R26" s="101"/>
      <c r="S26" s="101"/>
    </row>
    <row r="27" spans="1:19" x14ac:dyDescent="0.25">
      <c r="A27" s="99"/>
      <c r="B27" s="99"/>
      <c r="C27" s="99"/>
      <c r="D27" s="99"/>
      <c r="E27" s="99"/>
      <c r="F27" s="99"/>
      <c r="G27" s="99"/>
      <c r="H27" s="99"/>
      <c r="I27" s="100"/>
      <c r="J27" s="100"/>
      <c r="K27" s="100"/>
      <c r="L27" s="100"/>
      <c r="M27" s="100"/>
      <c r="N27" s="100"/>
      <c r="O27" s="100"/>
      <c r="P27" s="100"/>
      <c r="Q27" s="100"/>
      <c r="R27" s="101"/>
      <c r="S27" s="101"/>
    </row>
    <row r="28" spans="1:19" x14ac:dyDescent="0.25">
      <c r="A28" s="99"/>
      <c r="B28" s="99"/>
      <c r="C28" s="99"/>
      <c r="D28" s="99"/>
      <c r="E28" s="99"/>
      <c r="F28" s="99"/>
      <c r="G28" s="99"/>
      <c r="H28" s="99"/>
      <c r="I28" s="100"/>
      <c r="J28" s="100"/>
      <c r="K28" s="100"/>
      <c r="L28" s="100"/>
      <c r="M28" s="100"/>
      <c r="N28" s="100"/>
      <c r="O28" s="100"/>
      <c r="P28" s="100"/>
      <c r="Q28" s="100"/>
      <c r="R28" s="101"/>
      <c r="S28" s="101"/>
    </row>
    <row r="30" spans="1:19" x14ac:dyDescent="0.25">
      <c r="A30" s="99"/>
      <c r="B30" s="99"/>
      <c r="C30" s="99"/>
      <c r="D30" s="99"/>
      <c r="E30" s="99"/>
      <c r="F30" s="99"/>
      <c r="G30" s="99"/>
      <c r="H30" s="99"/>
    </row>
    <row r="31" spans="1:19" x14ac:dyDescent="0.25">
      <c r="A31" s="99"/>
      <c r="B31" s="99"/>
      <c r="C31" s="99"/>
      <c r="D31" s="99"/>
      <c r="E31" s="99"/>
      <c r="F31" s="99"/>
      <c r="G31" s="99"/>
      <c r="H31" s="99"/>
    </row>
    <row r="32" spans="1:19" x14ac:dyDescent="0.25">
      <c r="A32" s="99"/>
      <c r="B32" s="99"/>
      <c r="C32" s="99"/>
      <c r="D32" s="99"/>
      <c r="E32" s="99"/>
      <c r="F32" s="99"/>
      <c r="G32" s="99"/>
      <c r="H32" s="99"/>
    </row>
    <row r="33" spans="1:8" x14ac:dyDescent="0.25">
      <c r="A33" s="99"/>
      <c r="B33" s="99"/>
      <c r="C33" s="99"/>
      <c r="D33" s="99"/>
      <c r="E33" s="99"/>
      <c r="F33" s="99"/>
      <c r="G33" s="99"/>
      <c r="H33" s="99"/>
    </row>
    <row r="34" spans="1:8" x14ac:dyDescent="0.25">
      <c r="A34" s="99"/>
      <c r="B34" s="99"/>
      <c r="C34" s="99"/>
      <c r="D34" s="99"/>
      <c r="E34" s="99"/>
      <c r="F34" s="99"/>
      <c r="G34" s="99"/>
      <c r="H34" s="99"/>
    </row>
    <row r="35" spans="1:8" x14ac:dyDescent="0.25">
      <c r="A35" s="99"/>
      <c r="B35" s="99"/>
      <c r="C35" s="99"/>
      <c r="D35" s="99"/>
      <c r="E35" s="99"/>
      <c r="F35" s="99"/>
      <c r="G35" s="99"/>
      <c r="H35" s="99"/>
    </row>
    <row r="36" spans="1:8" x14ac:dyDescent="0.25">
      <c r="A36" s="99"/>
      <c r="B36" s="99"/>
      <c r="C36" s="99"/>
      <c r="D36" s="99"/>
      <c r="E36" s="99"/>
      <c r="F36" s="99"/>
      <c r="G36" s="99"/>
      <c r="H36" s="99"/>
    </row>
    <row r="37" spans="1:8" x14ac:dyDescent="0.25">
      <c r="A37" s="99"/>
      <c r="B37" s="99"/>
      <c r="C37" s="99"/>
      <c r="D37" s="99"/>
      <c r="E37" s="99"/>
      <c r="F37" s="99"/>
      <c r="G37" s="99"/>
      <c r="H37" s="99"/>
    </row>
    <row r="38" spans="1:8" x14ac:dyDescent="0.25">
      <c r="A38" s="99"/>
      <c r="B38" s="99"/>
      <c r="C38" s="99"/>
      <c r="D38" s="99"/>
      <c r="E38" s="99"/>
      <c r="F38" s="99"/>
      <c r="G38" s="99"/>
      <c r="H38" s="99"/>
    </row>
    <row r="39" spans="1:8" x14ac:dyDescent="0.25">
      <c r="A39" s="99"/>
      <c r="B39" s="99"/>
      <c r="C39" s="99"/>
      <c r="D39" s="99"/>
      <c r="E39" s="99"/>
      <c r="F39" s="99"/>
      <c r="G39" s="99"/>
      <c r="H39" s="99"/>
    </row>
    <row r="40" spans="1:8" x14ac:dyDescent="0.25">
      <c r="A40" s="99"/>
      <c r="B40" s="99"/>
      <c r="C40" s="99"/>
      <c r="D40" s="99"/>
      <c r="E40" s="99"/>
      <c r="F40" s="99"/>
      <c r="G40" s="99"/>
      <c r="H40" s="99"/>
    </row>
    <row r="41" spans="1:8" x14ac:dyDescent="0.25">
      <c r="A41" s="99"/>
      <c r="B41" s="99"/>
      <c r="C41" s="99"/>
      <c r="D41" s="99"/>
      <c r="E41" s="99"/>
      <c r="F41" s="99"/>
      <c r="G41" s="99"/>
      <c r="H41" s="99"/>
    </row>
    <row r="42" spans="1:8" x14ac:dyDescent="0.25">
      <c r="A42" s="99"/>
      <c r="B42" s="99"/>
      <c r="C42" s="99"/>
      <c r="D42" s="99"/>
      <c r="E42" s="99"/>
      <c r="F42" s="99"/>
      <c r="G42" s="99"/>
      <c r="H42" s="99"/>
    </row>
    <row r="43" spans="1:8" x14ac:dyDescent="0.25">
      <c r="A43" s="99"/>
      <c r="B43" s="99"/>
      <c r="C43" s="99"/>
      <c r="D43" s="99"/>
      <c r="E43" s="99"/>
      <c r="F43" s="99"/>
      <c r="G43" s="99"/>
      <c r="H43" s="99"/>
    </row>
    <row r="44" spans="1:8" x14ac:dyDescent="0.25">
      <c r="A44" s="99"/>
      <c r="B44" s="99"/>
      <c r="C44" s="99"/>
      <c r="D44" s="99"/>
      <c r="E44" s="99"/>
      <c r="F44" s="99"/>
      <c r="G44" s="99"/>
      <c r="H44" s="99"/>
    </row>
    <row r="45" spans="1:8" x14ac:dyDescent="0.25">
      <c r="A45" s="99"/>
      <c r="B45" s="99"/>
      <c r="C45" s="99"/>
      <c r="D45" s="99"/>
      <c r="E45" s="99"/>
      <c r="F45" s="99"/>
      <c r="G45" s="99"/>
      <c r="H45" s="99"/>
    </row>
    <row r="46" spans="1:8" x14ac:dyDescent="0.25">
      <c r="A46" s="99"/>
      <c r="B46" s="99"/>
      <c r="C46" s="99"/>
      <c r="D46" s="99"/>
      <c r="E46" s="99"/>
      <c r="F46" s="99"/>
      <c r="G46" s="99"/>
      <c r="H46" s="99"/>
    </row>
    <row r="47" spans="1:8" x14ac:dyDescent="0.25">
      <c r="A47" s="99"/>
      <c r="B47" s="99"/>
      <c r="C47" s="99"/>
      <c r="D47" s="99"/>
      <c r="E47" s="99"/>
      <c r="F47" s="99"/>
      <c r="G47" s="99"/>
      <c r="H47" s="99"/>
    </row>
    <row r="48" spans="1:8" x14ac:dyDescent="0.25">
      <c r="A48" s="99"/>
      <c r="B48" s="99"/>
      <c r="C48" s="99"/>
      <c r="D48" s="99"/>
      <c r="E48" s="99"/>
      <c r="F48" s="99"/>
      <c r="G48" s="99"/>
      <c r="H48" s="99"/>
    </row>
  </sheetData>
  <protectedRanges>
    <protectedRange password="CD94" sqref="V1:V13" name="Range1"/>
  </protectedRange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B5"/>
  <sheetViews>
    <sheetView workbookViewId="0">
      <selection activeCell="B6" sqref="B6"/>
    </sheetView>
  </sheetViews>
  <sheetFormatPr defaultRowHeight="15" x14ac:dyDescent="0.25"/>
  <cols>
    <col min="2" max="2" width="20.42578125" bestFit="1" customWidth="1"/>
  </cols>
  <sheetData>
    <row r="2" spans="2:2" x14ac:dyDescent="0.25">
      <c r="B2" t="s">
        <v>5</v>
      </c>
    </row>
    <row r="3" spans="2:2" x14ac:dyDescent="0.25">
      <c r="B3" t="s">
        <v>6</v>
      </c>
    </row>
    <row r="4" spans="2:2" x14ac:dyDescent="0.25">
      <c r="B4" t="s">
        <v>68</v>
      </c>
    </row>
    <row r="5" spans="2:2" x14ac:dyDescent="0.25">
      <c r="B5" t="s">
        <v>69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800AA2-EEB7-4C57-AE17-D3868A19F7E7}">
  <ds:schemaRefs>
    <ds:schemaRef ds:uri="http://schemas.microsoft.com/office/infopath/2007/PartnerControls"/>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C2DB35C-6663-4A92-937A-E65EB27E9D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81</vt:i4>
      </vt:variant>
    </vt:vector>
  </HeadingPairs>
  <TitlesOfParts>
    <vt:vector size="88" baseType="lpstr">
      <vt:lpstr>Device Calculator</vt:lpstr>
      <vt:lpstr>Schematic Checklist</vt:lpstr>
      <vt:lpstr>Layout Checklist</vt:lpstr>
      <vt:lpstr>partData</vt:lpstr>
      <vt:lpstr>compensation</vt:lpstr>
      <vt:lpstr>partData (2)</vt:lpstr>
      <vt:lpstr>Extra</vt:lpstr>
      <vt:lpstr>ADDR</vt:lpstr>
      <vt:lpstr>compensation!C_1</vt:lpstr>
      <vt:lpstr>compensation!C_2</vt:lpstr>
      <vt:lpstr>compensation!C_3</vt:lpstr>
      <vt:lpstr>c_couple</vt:lpstr>
      <vt:lpstr>c_ramp</vt:lpstr>
      <vt:lpstr>Cboot</vt:lpstr>
      <vt:lpstr>Cin</vt:lpstr>
      <vt:lpstr>Cout</vt:lpstr>
      <vt:lpstr>compensation!COUT_1</vt:lpstr>
      <vt:lpstr>Cout_derating</vt:lpstr>
      <vt:lpstr>Cout_nominal</vt:lpstr>
      <vt:lpstr>Cvcc</vt:lpstr>
      <vt:lpstr>compensation!DCGAIN</vt:lpstr>
      <vt:lpstr>DCR</vt:lpstr>
      <vt:lpstr>compensation!DCR_1</vt:lpstr>
      <vt:lpstr>dVo_dc</vt:lpstr>
      <vt:lpstr>dVo_trans</vt:lpstr>
      <vt:lpstr>compensation!EAP</vt:lpstr>
      <vt:lpstr>ESR</vt:lpstr>
      <vt:lpstr>compensation!ESR_1</vt:lpstr>
      <vt:lpstr>ESR_nominal</vt:lpstr>
      <vt:lpstr>f_LC</vt:lpstr>
      <vt:lpstr>Fco</vt:lpstr>
      <vt:lpstr>compensation!Fp_1_1</vt:lpstr>
      <vt:lpstr>compensation!Fp_2_1</vt:lpstr>
      <vt:lpstr>'Device Calculator'!fsw</vt:lpstr>
      <vt:lpstr>FSW</vt:lpstr>
      <vt:lpstr>fsw_select</vt:lpstr>
      <vt:lpstr>compensation!Fz_1_1</vt:lpstr>
      <vt:lpstr>compensation!Fz_2_1</vt:lpstr>
      <vt:lpstr>compensation!GBWP</vt:lpstr>
      <vt:lpstr>compensation!IC</vt:lpstr>
      <vt:lpstr>Io_max_IC</vt:lpstr>
      <vt:lpstr>Io_step</vt:lpstr>
      <vt:lpstr>Iout</vt:lpstr>
      <vt:lpstr>IOUT_max</vt:lpstr>
      <vt:lpstr>Iripple_max</vt:lpstr>
      <vt:lpstr>Iripple_min</vt:lpstr>
      <vt:lpstr>Ivalley</vt:lpstr>
      <vt:lpstr>Kind</vt:lpstr>
      <vt:lpstr>Lout</vt:lpstr>
      <vt:lpstr>LOUT_1</vt:lpstr>
      <vt:lpstr>compensation!MLCC</vt:lpstr>
      <vt:lpstr>compensation!MLCC_ESR</vt:lpstr>
      <vt:lpstr>N_Cout</vt:lpstr>
      <vt:lpstr>N_factor</vt:lpstr>
      <vt:lpstr>OC_clamp</vt:lpstr>
      <vt:lpstr>PM</vt:lpstr>
      <vt:lpstr>compensation!Print_Area</vt:lpstr>
      <vt:lpstr>Q_input</vt:lpstr>
      <vt:lpstr>compensation!R_1</vt:lpstr>
      <vt:lpstr>compensation!R_2</vt:lpstr>
      <vt:lpstr>compensation!R_3</vt:lpstr>
      <vt:lpstr>compensation!R_4</vt:lpstr>
      <vt:lpstr>r_ripple</vt:lpstr>
      <vt:lpstr>Rdson_HS</vt:lpstr>
      <vt:lpstr>Rdson_LS</vt:lpstr>
      <vt:lpstr>Rfb_b</vt:lpstr>
      <vt:lpstr>Rfb_t</vt:lpstr>
      <vt:lpstr>compensation!RLOAD</vt:lpstr>
      <vt:lpstr>compensation!ROUT_min</vt:lpstr>
      <vt:lpstr>Rpg</vt:lpstr>
      <vt:lpstr>toff_min_max</vt:lpstr>
      <vt:lpstr>Tol_L</vt:lpstr>
      <vt:lpstr>ton_min_max</vt:lpstr>
      <vt:lpstr>vfb_1</vt:lpstr>
      <vt:lpstr>vfb_ripple_calc</vt:lpstr>
      <vt:lpstr>Vi_ripple_target</vt:lpstr>
      <vt:lpstr>compensation!VIN</vt:lpstr>
      <vt:lpstr>Vin_max</vt:lpstr>
      <vt:lpstr>Vin_min</vt:lpstr>
      <vt:lpstr>Vin_nom</vt:lpstr>
      <vt:lpstr>vinj_calculated</vt:lpstr>
      <vt:lpstr>Vout</vt:lpstr>
      <vt:lpstr>VOUT_1</vt:lpstr>
      <vt:lpstr>compensation!VRAMP</vt:lpstr>
      <vt:lpstr>compensation!VREF</vt:lpstr>
      <vt:lpstr>Vref</vt:lpstr>
      <vt:lpstr>compensation!VRMP</vt:lpstr>
      <vt:lpstr>compensation!wCO</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Jackson, Layne</cp:lastModifiedBy>
  <cp:lastPrinted>2015-12-02T21:47:30Z</cp:lastPrinted>
  <dcterms:created xsi:type="dcterms:W3CDTF">2015-06-04T00:22:15Z</dcterms:created>
  <dcterms:modified xsi:type="dcterms:W3CDTF">2020-07-06T19:27:28Z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