
<file path=[Content_Types].xml><?xml version="1.0" encoding="utf-8"?>
<Types xmlns="http://schemas.openxmlformats.org/package/2006/content-types">
  <Default Extension="bin" ContentType="application/vnd.openxmlformats-officedocument.spreadsheetml.printerSettings"/>
  <Default Extension="emf" ContentType="image/x-emf"/>
  <Default Extension="gif" ContentType="image/gi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embeddings/oleObject1.bin" ContentType="application/vnd.openxmlformats-officedocument.oleObject"/>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harts/chart3.xml" ContentType="application/vnd.openxmlformats-officedocument.drawingml.chart+xml"/>
  <Override PartName="/xl/drawings/drawing4.xml" ContentType="application/vnd.openxmlformats-officedocument.drawing+xml"/>
  <Override PartName="/xl/comments4.xml" ContentType="application/vnd.openxmlformats-officedocument.spreadsheetml.comments+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charts/chart7.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24226"/>
  <mc:AlternateContent xmlns:mc="http://schemas.openxmlformats.org/markup-compatibility/2006">
    <mc:Choice Requires="x15">
      <x15ac:absPath xmlns:x15ac="http://schemas.microsoft.com/office/spreadsheetml/2010/11/ac" url="C:\Users\omair\Desktop\LMB5156 Quickstart\"/>
    </mc:Choice>
  </mc:AlternateContent>
  <xr:revisionPtr revIDLastSave="0" documentId="13_ncr:1_{9BD26E9D-13D9-4AA5-8D4F-6575EAA03DA7}" xr6:coauthVersionLast="47" xr6:coauthVersionMax="47" xr10:uidLastSave="{00000000-0000-0000-0000-000000000000}"/>
  <workbookProtection workbookAlgorithmName="SHA-512" workbookHashValue="gc34FGggw3Ir8zQVSgaZChUqrVvVKYZwhSXpduqtPUD6nQuIaEe42JJKFmE/OmtpkzYp1ZfCj82eR88ZFlGbkQ==" workbookSaltValue="MvI2n84VClkXRpVOZBZk3g==" workbookSpinCount="100000" lockStructure="1"/>
  <bookViews>
    <workbookView xWindow="-120" yWindow="-120" windowWidth="29040" windowHeight="15720" xr2:uid="{00000000-000D-0000-FFFF-FFFF00000000}"/>
  </bookViews>
  <sheets>
    <sheet name="Design Converter" sheetId="1" r:id="rId1"/>
    <sheet name="Variable_Management" sheetId="2" state="hidden" r:id="rId2"/>
    <sheet name="Eff_vs_IOUT" sheetId="4" state="hidden" r:id="rId3"/>
    <sheet name="Loop_Modeling" sheetId="5" state="hidden" r:id="rId4"/>
    <sheet name="Constants" sheetId="3" state="hidden" r:id="rId5"/>
    <sheet name="Plot_Management_Eff" sheetId="6" state="hidden" r:id="rId6"/>
    <sheet name="Plot_Management_Sch" sheetId="7" state="hidden" r:id="rId7"/>
    <sheet name="Lists" sheetId="8" state="hidden" r:id="rId8"/>
    <sheet name="Licenses" sheetId="10" r:id="rId9"/>
    <sheet name="Sheet1" sheetId="9" state="hidden" r:id="rId10"/>
  </sheets>
  <externalReferences>
    <externalReference r:id="rId11"/>
  </externalReferences>
  <definedNames>
    <definedName name="Acs">Constants!$B$30</definedName>
    <definedName name="Adc">Loop_Modeling!$B$35</definedName>
    <definedName name="Adc_ea">Loop_Modeling!$B$61</definedName>
    <definedName name="ADC_VINmin">Variable_Management!$B$189</definedName>
    <definedName name="CCOMP">Variable_Management!$B$230</definedName>
    <definedName name="CComp_calc">Variable_Management!$B$229</definedName>
    <definedName name="CHF">Variable_Management!$B$232</definedName>
    <definedName name="Comp_calc">Variable_Management!$B$229</definedName>
    <definedName name="CondMode">OFFSET(Lists!$B$9,0,0,COUNTIF(Lists!$B$9:$B$11,"?CM*"),1)</definedName>
    <definedName name="Cout">Variable_Management!$B$155</definedName>
    <definedName name="Cout_min">Variable_Management!$B$153</definedName>
    <definedName name="D_limit_max">Constants!$B$18</definedName>
    <definedName name="D_limit_min">Constants!$B$16</definedName>
    <definedName name="D_limit_nom">Constants!$B$17</definedName>
    <definedName name="Dc_CCM_VIN_max">Variable_Management!$B$50</definedName>
    <definedName name="Dc_CCM_VIN_min">Variable_Management!$B$42</definedName>
    <definedName name="Dc_CCM_VIN_nom">Variable_Management!$B$46</definedName>
    <definedName name="Dc_DCM_VIN_nom">Variable_Management!$B$62</definedName>
    <definedName name="Dc_max_IC">Variable_Management!$B$21</definedName>
    <definedName name="Dc_max_ideal">Variable_Management!$A$20</definedName>
    <definedName name="Dc_Mode">Variable_Management!$B$36</definedName>
    <definedName name="Dc_Mode_Loop">Loop_Modeling!$B$14</definedName>
    <definedName name="Dc_rip_max">Variable_Management!$B$79</definedName>
    <definedName name="Dc_VIN_max">Variable_Management!$B$31</definedName>
    <definedName name="Dc_VIN_min">Variable_Management!$B$23</definedName>
    <definedName name="Dc_VIN_nom">Variable_Management!$B$27</definedName>
    <definedName name="display_SCH">INDIRECT(Plot_Management_Sch!$A$1)</definedName>
    <definedName name="EFF_est">Variable_Management!$B$17</definedName>
    <definedName name="Eff_vs_IOUT">Plot_Management_Eff!$C$3</definedName>
    <definedName name="fcross">Variable_Management!$B$213</definedName>
    <definedName name="fcross_est">Variable_Management!$B$212</definedName>
    <definedName name="FIR_BYPASSED">'[1]Digital Filter'!$T$84</definedName>
    <definedName name="fp_ea_est">Variable_Management!$B$223</definedName>
    <definedName name="Fsw">Variable_Management!$B$10</definedName>
    <definedName name="fz_ea_est">Variable_Management!$B$221</definedName>
    <definedName name="fz_rhp">Variable_Management!$B$198</definedName>
    <definedName name="Gcomp">Constants!$B$29</definedName>
    <definedName name="Gea_mid_calc">Variable_Management!$B$217</definedName>
    <definedName name="gfs">Variable_Management!$B$249</definedName>
    <definedName name="gm_ea">Constants!$B$34</definedName>
    <definedName name="Gplant_fc_dB">Loop_Modeling!$AD$7</definedName>
    <definedName name="IIN_33">Variable_Management!$B$81</definedName>
    <definedName name="IL_avg_VIN_max">Variable_Management!$B$33</definedName>
    <definedName name="IL_avg_VIN_min">Variable_Management!$B$25</definedName>
    <definedName name="IL_avg_VIN_nom">Variable_Management!$B$29</definedName>
    <definedName name="IL_pk">Variable_Management!$B$142</definedName>
    <definedName name="IL_pk_max">Variable_Management!$B$143</definedName>
    <definedName name="ILp_VINmax">Variable_Management!$B$119</definedName>
    <definedName name="ILp_VINmin">Variable_Management!$B$113</definedName>
    <definedName name="ILp_VINnom">Variable_Management!$B$116</definedName>
    <definedName name="ILrip">Variable_Management!$B$71</definedName>
    <definedName name="ILrip_VINmax">Variable_Management!$B$118</definedName>
    <definedName name="ILrip_VINmin">Variable_Management!$B$112</definedName>
    <definedName name="ILrip_VINnom">Variable_Management!$B$115</definedName>
    <definedName name="IOUT">Variable_Management!$B$14</definedName>
    <definedName name="Ipk_margin">Variable_Management!$B$122</definedName>
    <definedName name="Ipk_selected">Variable_Management!$B$123</definedName>
    <definedName name="IQ">Constants!$B$48</definedName>
    <definedName name="IRMS_COUT">Variable_Management!$B$154</definedName>
    <definedName name="Isl">Constants!$B$25</definedName>
    <definedName name="Iss">Constants!$B$37</definedName>
    <definedName name="Kslope">Variable_Management!$B$130</definedName>
    <definedName name="L_DCM">Variable_Management!$B$89</definedName>
    <definedName name="Lm">Variable_Management!$B$84</definedName>
    <definedName name="Lopt">Variable_Management!$B$76</definedName>
    <definedName name="Lopt_2">Variable_Management!$B$82</definedName>
    <definedName name="POUT">Variable_Management!$B$16</definedName>
    <definedName name="_xlnm.Print_Area" localSheetId="0">'Design Converter'!$A$1:$Z$100</definedName>
    <definedName name="Q">Loop_Modeling!$B$49</definedName>
    <definedName name="Q_VINmin">Variable_Management!$B$206</definedName>
    <definedName name="Qg_tot">Variable_Management!$B$244</definedName>
    <definedName name="Qgd">Variable_Management!$B$245</definedName>
    <definedName name="Qgs">Variable_Management!$B$246</definedName>
    <definedName name="Qrr">Variable_Management!$B$239</definedName>
    <definedName name="R_cs">Variable_Management!$B$138</definedName>
    <definedName name="R_sl">Variable_Management!$B$139</definedName>
    <definedName name="RCOMP">Variable_Management!$B$228</definedName>
    <definedName name="Rcomp_calc">Variable_Management!$B$227</definedName>
    <definedName name="Rcs_max">Variable_Management!$B$127</definedName>
    <definedName name="Rcs_w_sl">Variable_Management!$B$131</definedName>
    <definedName name="Rcs_wo_sl">Variable_Management!$B$128</definedName>
    <definedName name="Rdcr">Variable_Management!$B$85</definedName>
    <definedName name="RDS_on">Variable_Management!$B$243</definedName>
    <definedName name="Resr">Variable_Management!$B$156</definedName>
    <definedName name="RFBB">Variable_Management!$B$184</definedName>
    <definedName name="RFBB_calc">Variable_Management!$B$183</definedName>
    <definedName name="RFBT">Variable_Management!$B$182</definedName>
    <definedName name="Rgate">Variable_Management!$B$247</definedName>
    <definedName name="ROUT">Variable_Management!$B$15</definedName>
    <definedName name="Rsl_int">Constants!$B$26</definedName>
    <definedName name="Rsl_max">Constants!$B$28</definedName>
    <definedName name="RT">Variable_Management!$B$11</definedName>
    <definedName name="Ruvlo_bottom_calc">Variable_Management!$B$173</definedName>
    <definedName name="Ruvlo_top">Variable_Management!$B$172</definedName>
    <definedName name="Ruvlo_top_calc">Variable_Management!$B$171</definedName>
    <definedName name="SCH_1">Plot_Management_Sch!$B$2</definedName>
    <definedName name="SCH_2">Plot_Management_Sch!$B$4</definedName>
    <definedName name="Se_VINmin">Variable_Management!$B$202</definedName>
    <definedName name="Sn_VINmin">Variable_Management!$B$203</definedName>
    <definedName name="tf_sw">Variable_Management!$B$256</definedName>
    <definedName name="tr_sw">Variable_Management!$B$255</definedName>
    <definedName name="tss">Variable_Management!$B$162</definedName>
    <definedName name="UV_fall">Constants!$B$41</definedName>
    <definedName name="UV_I_hyst">Constants!$B$42</definedName>
    <definedName name="UV_rise">Constants!$B$40</definedName>
    <definedName name="Vcc">Constants!$B$45</definedName>
    <definedName name="Vcl">Constants!$B$27</definedName>
    <definedName name="Vd_rect">Variable_Management!$B$238</definedName>
    <definedName name="VIN_33">Variable_Management!$B$80</definedName>
    <definedName name="VIN_max">Variable_Management!$B$9</definedName>
    <definedName name="VIN_min">Variable_Management!$B$7</definedName>
    <definedName name="VIN_nom">Variable_Management!$B$8</definedName>
    <definedName name="VIN_op_max">Constants!$B$52</definedName>
    <definedName name="VIN_op_max_56">Constants!$B$53</definedName>
    <definedName name="VIN_op_min">Constants!$B$51</definedName>
    <definedName name="VIN_var">Variable_Management!$B$8</definedName>
    <definedName name="VOUT">Variable_Management!$B$13</definedName>
    <definedName name="Vout_rip_sel">Variable_Management!$B$152</definedName>
    <definedName name="Vref">Constants!$B$33</definedName>
    <definedName name="Vth">Variable_Management!$B$250</definedName>
    <definedName name="Vuvlo_off">Variable_Management!$B$167</definedName>
    <definedName name="Vuvlo_on">Variable_Management!$B$166</definedName>
    <definedName name="wp_hf">Loop_Modeling!$B$50</definedName>
    <definedName name="wp_lf">Loop_Modeling!$B$36</definedName>
    <definedName name="wp_lf_VINmin">Variable_Management!$B$191</definedName>
    <definedName name="wp0_ea">Loop_Modeling!$B$63</definedName>
    <definedName name="wp1_ea">Loop_Modeling!$B$64</definedName>
    <definedName name="wsl">Loop_Modeling!$B$48</definedName>
    <definedName name="wsl_VINmin">Variable_Management!$B$205</definedName>
    <definedName name="wz_ea">Loop_Modeling!$B$62</definedName>
    <definedName name="wz_esr">Loop_Modeling!$B$42</definedName>
    <definedName name="wz_esr_VINmin">Variable_Management!$B$194</definedName>
    <definedName name="wz_rhp">Loop_Modeling!$B$39</definedName>
    <definedName name="wz_RHP_VINmin">Variable_Management!$B$197</definedName>
  </definedNames>
  <calcPr calcId="191029"/>
  <fileRecoveryPr repairLoad="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7" l="1"/>
  <c r="B36" i="2" l="1"/>
  <c r="M126" i="2"/>
  <c r="B2" i="6"/>
  <c r="B48" i="3"/>
  <c r="B251" i="2"/>
  <c r="B250" i="2"/>
  <c r="B249" i="2"/>
  <c r="B247" i="2"/>
  <c r="B246" i="2"/>
  <c r="B245" i="2"/>
  <c r="B244" i="2"/>
  <c r="B243" i="2"/>
  <c r="B239" i="2"/>
  <c r="B238" i="2"/>
  <c r="B172" i="2"/>
  <c r="B42" i="3"/>
  <c r="B170" i="2" s="1"/>
  <c r="B169" i="2"/>
  <c r="B168" i="2"/>
  <c r="B167" i="2"/>
  <c r="B166" i="2"/>
  <c r="B162" i="2"/>
  <c r="B37" i="3"/>
  <c r="B160" i="2"/>
  <c r="B213" i="2"/>
  <c r="B34" i="3"/>
  <c r="O548" i="5"/>
  <c r="O549" i="5"/>
  <c r="O550" i="5"/>
  <c r="O551" i="5"/>
  <c r="O552" i="5"/>
  <c r="O553" i="5"/>
  <c r="O554" i="5"/>
  <c r="O555" i="5"/>
  <c r="O556" i="5"/>
  <c r="O557" i="5"/>
  <c r="O558" i="5"/>
  <c r="O559" i="5"/>
  <c r="O560" i="5"/>
  <c r="O537" i="5"/>
  <c r="O538" i="5"/>
  <c r="O539" i="5"/>
  <c r="O540" i="5"/>
  <c r="O541" i="5"/>
  <c r="O542" i="5"/>
  <c r="O543" i="5"/>
  <c r="O544" i="5"/>
  <c r="O545" i="5"/>
  <c r="O546" i="5"/>
  <c r="O547" i="5"/>
  <c r="O520" i="5"/>
  <c r="O521" i="5"/>
  <c r="O522" i="5"/>
  <c r="O523" i="5"/>
  <c r="O524" i="5"/>
  <c r="O525" i="5"/>
  <c r="O526" i="5"/>
  <c r="O527" i="5"/>
  <c r="O528" i="5"/>
  <c r="O529" i="5"/>
  <c r="O530" i="5"/>
  <c r="O531" i="5"/>
  <c r="O532" i="5"/>
  <c r="O533" i="5"/>
  <c r="O534" i="5"/>
  <c r="O535" i="5"/>
  <c r="O536" i="5"/>
  <c r="O519" i="5"/>
  <c r="O420" i="5"/>
  <c r="O421" i="5"/>
  <c r="O422" i="5"/>
  <c r="O423" i="5"/>
  <c r="O424" i="5"/>
  <c r="O425" i="5"/>
  <c r="O426" i="5"/>
  <c r="O427" i="5"/>
  <c r="O428" i="5"/>
  <c r="O429" i="5"/>
  <c r="O430" i="5"/>
  <c r="O431" i="5"/>
  <c r="O432" i="5"/>
  <c r="O433" i="5"/>
  <c r="O434" i="5"/>
  <c r="O435" i="5"/>
  <c r="O436" i="5"/>
  <c r="O437" i="5"/>
  <c r="O438" i="5"/>
  <c r="O439" i="5"/>
  <c r="O440" i="5"/>
  <c r="O441" i="5"/>
  <c r="O442" i="5"/>
  <c r="O443" i="5"/>
  <c r="O444" i="5"/>
  <c r="O445" i="5"/>
  <c r="O446" i="5"/>
  <c r="O447" i="5"/>
  <c r="O448" i="5"/>
  <c r="O449" i="5"/>
  <c r="O450" i="5"/>
  <c r="O451" i="5"/>
  <c r="O452" i="5"/>
  <c r="O453" i="5"/>
  <c r="O454" i="5"/>
  <c r="O455" i="5"/>
  <c r="O456" i="5"/>
  <c r="O457" i="5"/>
  <c r="O458" i="5"/>
  <c r="O459" i="5"/>
  <c r="O460" i="5"/>
  <c r="O461" i="5"/>
  <c r="O462" i="5"/>
  <c r="O463" i="5"/>
  <c r="O464" i="5"/>
  <c r="O465" i="5"/>
  <c r="O466" i="5"/>
  <c r="O467" i="5"/>
  <c r="O468" i="5"/>
  <c r="O469" i="5"/>
  <c r="O470" i="5"/>
  <c r="O471" i="5"/>
  <c r="O472" i="5"/>
  <c r="O473" i="5"/>
  <c r="O474" i="5"/>
  <c r="O475" i="5"/>
  <c r="O476" i="5"/>
  <c r="O477" i="5"/>
  <c r="O478" i="5"/>
  <c r="O479" i="5"/>
  <c r="O480" i="5"/>
  <c r="O481" i="5"/>
  <c r="O482" i="5"/>
  <c r="O483" i="5"/>
  <c r="O484" i="5"/>
  <c r="O485" i="5"/>
  <c r="O486" i="5"/>
  <c r="O487" i="5"/>
  <c r="O488" i="5"/>
  <c r="O489" i="5"/>
  <c r="O490" i="5"/>
  <c r="O491" i="5"/>
  <c r="O492" i="5"/>
  <c r="O493" i="5"/>
  <c r="O494" i="5"/>
  <c r="O495" i="5"/>
  <c r="O496" i="5"/>
  <c r="O497" i="5"/>
  <c r="O498" i="5"/>
  <c r="O499" i="5"/>
  <c r="O500" i="5"/>
  <c r="O501" i="5"/>
  <c r="O502" i="5"/>
  <c r="O503" i="5"/>
  <c r="O504" i="5"/>
  <c r="O505" i="5"/>
  <c r="O506" i="5"/>
  <c r="O507" i="5"/>
  <c r="O508" i="5"/>
  <c r="O509" i="5"/>
  <c r="O510" i="5"/>
  <c r="O511" i="5"/>
  <c r="O512" i="5"/>
  <c r="O513" i="5"/>
  <c r="O514" i="5"/>
  <c r="O515" i="5"/>
  <c r="O516" i="5"/>
  <c r="O517" i="5"/>
  <c r="O518" i="5"/>
  <c r="O419" i="5"/>
  <c r="O320" i="5"/>
  <c r="O321" i="5"/>
  <c r="O322" i="5"/>
  <c r="O323" i="5"/>
  <c r="O324" i="5"/>
  <c r="O325" i="5"/>
  <c r="O326" i="5"/>
  <c r="O327" i="5"/>
  <c r="O328" i="5"/>
  <c r="O329" i="5"/>
  <c r="O330" i="5"/>
  <c r="O331" i="5"/>
  <c r="O332" i="5"/>
  <c r="O333" i="5"/>
  <c r="O334" i="5"/>
  <c r="O335" i="5"/>
  <c r="O336" i="5"/>
  <c r="O337" i="5"/>
  <c r="O338" i="5"/>
  <c r="O339" i="5"/>
  <c r="O340" i="5"/>
  <c r="O341" i="5"/>
  <c r="O342" i="5"/>
  <c r="O343" i="5"/>
  <c r="O344" i="5"/>
  <c r="O345" i="5"/>
  <c r="O346" i="5"/>
  <c r="O347" i="5"/>
  <c r="O348" i="5"/>
  <c r="O349" i="5"/>
  <c r="O350" i="5"/>
  <c r="O351" i="5"/>
  <c r="O352" i="5"/>
  <c r="O353" i="5"/>
  <c r="O354" i="5"/>
  <c r="O355" i="5"/>
  <c r="O356" i="5"/>
  <c r="O357" i="5"/>
  <c r="O358" i="5"/>
  <c r="O359" i="5"/>
  <c r="O360" i="5"/>
  <c r="O361" i="5"/>
  <c r="O362" i="5"/>
  <c r="O363" i="5"/>
  <c r="O364" i="5"/>
  <c r="O365" i="5"/>
  <c r="O366" i="5"/>
  <c r="O367" i="5"/>
  <c r="O368" i="5"/>
  <c r="O369" i="5"/>
  <c r="O370" i="5"/>
  <c r="O371" i="5"/>
  <c r="O372" i="5"/>
  <c r="O373" i="5"/>
  <c r="O374" i="5"/>
  <c r="O375" i="5"/>
  <c r="O376" i="5"/>
  <c r="O377" i="5"/>
  <c r="O378" i="5"/>
  <c r="O379" i="5"/>
  <c r="O380" i="5"/>
  <c r="O381" i="5"/>
  <c r="O382" i="5"/>
  <c r="O383" i="5"/>
  <c r="O384" i="5"/>
  <c r="O385" i="5"/>
  <c r="O386" i="5"/>
  <c r="O387" i="5"/>
  <c r="O388" i="5"/>
  <c r="O389" i="5"/>
  <c r="O390" i="5"/>
  <c r="O391" i="5"/>
  <c r="O392" i="5"/>
  <c r="O393" i="5"/>
  <c r="O394" i="5"/>
  <c r="O395" i="5"/>
  <c r="O396" i="5"/>
  <c r="O397" i="5"/>
  <c r="O398" i="5"/>
  <c r="O399" i="5"/>
  <c r="O400" i="5"/>
  <c r="O401" i="5"/>
  <c r="O402" i="5"/>
  <c r="O403" i="5"/>
  <c r="O404" i="5"/>
  <c r="O405" i="5"/>
  <c r="O406" i="5"/>
  <c r="O407" i="5"/>
  <c r="O408" i="5"/>
  <c r="O409" i="5"/>
  <c r="O410" i="5"/>
  <c r="O411" i="5"/>
  <c r="O412" i="5"/>
  <c r="O413" i="5"/>
  <c r="O414" i="5"/>
  <c r="O415" i="5"/>
  <c r="O416" i="5"/>
  <c r="O417" i="5"/>
  <c r="O418" i="5"/>
  <c r="O319" i="5"/>
  <c r="O220" i="5"/>
  <c r="O221" i="5"/>
  <c r="O222" i="5"/>
  <c r="O223" i="5"/>
  <c r="O224" i="5"/>
  <c r="O225" i="5"/>
  <c r="O226" i="5"/>
  <c r="O227" i="5"/>
  <c r="O228" i="5"/>
  <c r="O229" i="5"/>
  <c r="O230" i="5"/>
  <c r="O231" i="5"/>
  <c r="O232" i="5"/>
  <c r="O233" i="5"/>
  <c r="O234" i="5"/>
  <c r="O235" i="5"/>
  <c r="O236" i="5"/>
  <c r="O237" i="5"/>
  <c r="O238" i="5"/>
  <c r="O239" i="5"/>
  <c r="O240" i="5"/>
  <c r="O241" i="5"/>
  <c r="O242" i="5"/>
  <c r="O243" i="5"/>
  <c r="O244" i="5"/>
  <c r="O245" i="5"/>
  <c r="O246" i="5"/>
  <c r="O247" i="5"/>
  <c r="O248" i="5"/>
  <c r="O249" i="5"/>
  <c r="O250" i="5"/>
  <c r="O251" i="5"/>
  <c r="O252" i="5"/>
  <c r="O253" i="5"/>
  <c r="O254" i="5"/>
  <c r="O255" i="5"/>
  <c r="O256" i="5"/>
  <c r="O257" i="5"/>
  <c r="O258" i="5"/>
  <c r="O259" i="5"/>
  <c r="O260" i="5"/>
  <c r="O261" i="5"/>
  <c r="O262" i="5"/>
  <c r="O263" i="5"/>
  <c r="O264" i="5"/>
  <c r="O265" i="5"/>
  <c r="O266" i="5"/>
  <c r="O267" i="5"/>
  <c r="O268" i="5"/>
  <c r="O269" i="5"/>
  <c r="O270" i="5"/>
  <c r="O271" i="5"/>
  <c r="O272" i="5"/>
  <c r="O273" i="5"/>
  <c r="O274" i="5"/>
  <c r="O275" i="5"/>
  <c r="O276" i="5"/>
  <c r="O277" i="5"/>
  <c r="O278" i="5"/>
  <c r="O279" i="5"/>
  <c r="O280" i="5"/>
  <c r="O281" i="5"/>
  <c r="O282" i="5"/>
  <c r="O283" i="5"/>
  <c r="O284" i="5"/>
  <c r="O285" i="5"/>
  <c r="O286" i="5"/>
  <c r="O287" i="5"/>
  <c r="O288" i="5"/>
  <c r="O289" i="5"/>
  <c r="O290" i="5"/>
  <c r="O291" i="5"/>
  <c r="O292" i="5"/>
  <c r="O293" i="5"/>
  <c r="O294" i="5"/>
  <c r="O295" i="5"/>
  <c r="O296" i="5"/>
  <c r="O297" i="5"/>
  <c r="O298" i="5"/>
  <c r="O299" i="5"/>
  <c r="O300" i="5"/>
  <c r="O301" i="5"/>
  <c r="O302" i="5"/>
  <c r="O303" i="5"/>
  <c r="O304" i="5"/>
  <c r="O305" i="5"/>
  <c r="O306" i="5"/>
  <c r="O307" i="5"/>
  <c r="O308" i="5"/>
  <c r="O309" i="5"/>
  <c r="O310" i="5"/>
  <c r="O311" i="5"/>
  <c r="O312" i="5"/>
  <c r="O313" i="5"/>
  <c r="O314" i="5"/>
  <c r="O315" i="5"/>
  <c r="O316" i="5"/>
  <c r="O317" i="5"/>
  <c r="O318" i="5"/>
  <c r="O219" i="5"/>
  <c r="O120" i="5"/>
  <c r="O121" i="5"/>
  <c r="O122" i="5"/>
  <c r="O123" i="5"/>
  <c r="O124" i="5"/>
  <c r="O125" i="5"/>
  <c r="O126" i="5"/>
  <c r="O127" i="5"/>
  <c r="O128" i="5"/>
  <c r="O129" i="5"/>
  <c r="O130" i="5"/>
  <c r="O131" i="5"/>
  <c r="O132" i="5"/>
  <c r="O133" i="5"/>
  <c r="O134" i="5"/>
  <c r="O135" i="5"/>
  <c r="O136" i="5"/>
  <c r="O137" i="5"/>
  <c r="O138" i="5"/>
  <c r="O139" i="5"/>
  <c r="O140" i="5"/>
  <c r="O141" i="5"/>
  <c r="O142" i="5"/>
  <c r="O143" i="5"/>
  <c r="O144" i="5"/>
  <c r="O145" i="5"/>
  <c r="O146" i="5"/>
  <c r="O147" i="5"/>
  <c r="O148" i="5"/>
  <c r="O149" i="5"/>
  <c r="O150" i="5"/>
  <c r="O151" i="5"/>
  <c r="O152" i="5"/>
  <c r="O153" i="5"/>
  <c r="O154" i="5"/>
  <c r="O155" i="5"/>
  <c r="O156" i="5"/>
  <c r="O157" i="5"/>
  <c r="O158" i="5"/>
  <c r="O159" i="5"/>
  <c r="O160" i="5"/>
  <c r="O161" i="5"/>
  <c r="O162" i="5"/>
  <c r="O163" i="5"/>
  <c r="O164" i="5"/>
  <c r="O165" i="5"/>
  <c r="O166" i="5"/>
  <c r="O167" i="5"/>
  <c r="O168" i="5"/>
  <c r="O169" i="5"/>
  <c r="O170" i="5"/>
  <c r="O171" i="5"/>
  <c r="O172" i="5"/>
  <c r="O173" i="5"/>
  <c r="O174" i="5"/>
  <c r="O175" i="5"/>
  <c r="O176" i="5"/>
  <c r="O177" i="5"/>
  <c r="O178" i="5"/>
  <c r="O179" i="5"/>
  <c r="O180" i="5"/>
  <c r="O181" i="5"/>
  <c r="O182" i="5"/>
  <c r="O183" i="5"/>
  <c r="O184" i="5"/>
  <c r="O185" i="5"/>
  <c r="O186" i="5"/>
  <c r="O187" i="5"/>
  <c r="O188" i="5"/>
  <c r="O189" i="5"/>
  <c r="O190" i="5"/>
  <c r="O191" i="5"/>
  <c r="O192" i="5"/>
  <c r="O193" i="5"/>
  <c r="O194" i="5"/>
  <c r="O195" i="5"/>
  <c r="O196" i="5"/>
  <c r="O197" i="5"/>
  <c r="O198" i="5"/>
  <c r="O199" i="5"/>
  <c r="O200" i="5"/>
  <c r="O201" i="5"/>
  <c r="O202" i="5"/>
  <c r="O203" i="5"/>
  <c r="O204" i="5"/>
  <c r="O205" i="5"/>
  <c r="O206" i="5"/>
  <c r="O207" i="5"/>
  <c r="O208" i="5"/>
  <c r="O209" i="5"/>
  <c r="O210" i="5"/>
  <c r="O211" i="5"/>
  <c r="O212" i="5"/>
  <c r="O213" i="5"/>
  <c r="O214" i="5"/>
  <c r="O215" i="5"/>
  <c r="O216" i="5"/>
  <c r="O217" i="5"/>
  <c r="O218" i="5"/>
  <c r="O119" i="5"/>
  <c r="O20" i="5"/>
  <c r="O21" i="5"/>
  <c r="O22" i="5"/>
  <c r="O23" i="5"/>
  <c r="O24" i="5"/>
  <c r="O25" i="5"/>
  <c r="O26" i="5"/>
  <c r="O27" i="5"/>
  <c r="O28" i="5"/>
  <c r="O29" i="5"/>
  <c r="O30" i="5"/>
  <c r="O31" i="5"/>
  <c r="O32" i="5"/>
  <c r="O33" i="5"/>
  <c r="O34" i="5"/>
  <c r="O35" i="5"/>
  <c r="O36" i="5"/>
  <c r="O37" i="5"/>
  <c r="O38" i="5"/>
  <c r="O39" i="5"/>
  <c r="O40" i="5"/>
  <c r="O41" i="5"/>
  <c r="O42" i="5"/>
  <c r="O43" i="5"/>
  <c r="O44" i="5"/>
  <c r="O45" i="5"/>
  <c r="O46" i="5"/>
  <c r="O47" i="5"/>
  <c r="O48" i="5"/>
  <c r="O49" i="5"/>
  <c r="O50" i="5"/>
  <c r="O51" i="5"/>
  <c r="O52" i="5"/>
  <c r="O53" i="5"/>
  <c r="O54" i="5"/>
  <c r="O55" i="5"/>
  <c r="O56" i="5"/>
  <c r="O57" i="5"/>
  <c r="O58" i="5"/>
  <c r="O59" i="5"/>
  <c r="O60" i="5"/>
  <c r="O61" i="5"/>
  <c r="O62" i="5"/>
  <c r="O63" i="5"/>
  <c r="O64" i="5"/>
  <c r="O65" i="5"/>
  <c r="O66" i="5"/>
  <c r="O67" i="5"/>
  <c r="O68" i="5"/>
  <c r="O69" i="5"/>
  <c r="O70" i="5"/>
  <c r="O71" i="5"/>
  <c r="O72" i="5"/>
  <c r="O73" i="5"/>
  <c r="O74" i="5"/>
  <c r="O75" i="5"/>
  <c r="O76" i="5"/>
  <c r="O77" i="5"/>
  <c r="O78" i="5"/>
  <c r="O79" i="5"/>
  <c r="O80" i="5"/>
  <c r="O81" i="5"/>
  <c r="O82" i="5"/>
  <c r="O83" i="5"/>
  <c r="O84" i="5"/>
  <c r="O85" i="5"/>
  <c r="O86" i="5"/>
  <c r="O87" i="5"/>
  <c r="O88" i="5"/>
  <c r="O89" i="5"/>
  <c r="O90" i="5"/>
  <c r="O91" i="5"/>
  <c r="O92" i="5"/>
  <c r="O93" i="5"/>
  <c r="O94" i="5"/>
  <c r="O95" i="5"/>
  <c r="O96" i="5"/>
  <c r="O97" i="5"/>
  <c r="O98" i="5"/>
  <c r="O99" i="5"/>
  <c r="O100" i="5"/>
  <c r="O101" i="5"/>
  <c r="O102" i="5"/>
  <c r="O103" i="5"/>
  <c r="O104" i="5"/>
  <c r="O105" i="5"/>
  <c r="O106" i="5"/>
  <c r="O107" i="5"/>
  <c r="O108" i="5"/>
  <c r="O109" i="5"/>
  <c r="O110" i="5"/>
  <c r="O111" i="5"/>
  <c r="O112" i="5"/>
  <c r="O113" i="5"/>
  <c r="O114" i="5"/>
  <c r="O115" i="5"/>
  <c r="O116" i="5"/>
  <c r="O117" i="5"/>
  <c r="O118" i="5"/>
  <c r="O19" i="5"/>
  <c r="O8" i="5"/>
  <c r="B29" i="3"/>
  <c r="B31" i="5" s="1"/>
  <c r="B182" i="2"/>
  <c r="B55" i="5" s="1"/>
  <c r="B184" i="2"/>
  <c r="B56" i="5" s="1"/>
  <c r="B230" i="2"/>
  <c r="B232" i="2"/>
  <c r="B59" i="5" s="1"/>
  <c r="B228" i="2"/>
  <c r="B28" i="5"/>
  <c r="B156" i="2"/>
  <c r="B155" i="2"/>
  <c r="B152" i="2"/>
  <c r="B144" i="2"/>
  <c r="B139" i="2"/>
  <c r="B27" i="5" s="1"/>
  <c r="B138" i="2"/>
  <c r="B26" i="5" s="1"/>
  <c r="B27" i="3"/>
  <c r="B25" i="3"/>
  <c r="B122" i="2"/>
  <c r="B85" i="2"/>
  <c r="B84" i="2"/>
  <c r="B22" i="3"/>
  <c r="B71" i="2"/>
  <c r="B10" i="2"/>
  <c r="AP87" i="4" s="1"/>
  <c r="B14" i="3"/>
  <c r="B12" i="3"/>
  <c r="B10" i="3"/>
  <c r="B17" i="2"/>
  <c r="B14" i="2"/>
  <c r="H85" i="1" s="1"/>
  <c r="B13" i="2"/>
  <c r="B9" i="2"/>
  <c r="B5" i="8" s="1"/>
  <c r="B8" i="2"/>
  <c r="T121" i="4" s="1"/>
  <c r="B7" i="2"/>
  <c r="B21" i="5" l="1"/>
  <c r="B10" i="5"/>
  <c r="B89" i="2"/>
  <c r="B194" i="2"/>
  <c r="B195" i="2" s="1"/>
  <c r="B63" i="5"/>
  <c r="AG532" i="5" s="1"/>
  <c r="T130" i="4"/>
  <c r="AQ130" i="4" s="1"/>
  <c r="T118" i="4"/>
  <c r="AQ118" i="4" s="1"/>
  <c r="T29" i="4"/>
  <c r="AQ29" i="4" s="1"/>
  <c r="T31" i="4"/>
  <c r="AQ31" i="4" s="1"/>
  <c r="T63" i="4"/>
  <c r="T138" i="4"/>
  <c r="AQ138" i="4" s="1"/>
  <c r="T126" i="4"/>
  <c r="AQ126" i="4" s="1"/>
  <c r="T49" i="4"/>
  <c r="AQ49" i="4" s="1"/>
  <c r="T19" i="4"/>
  <c r="AQ19" i="4" s="1"/>
  <c r="T74" i="4"/>
  <c r="AQ74" i="4" s="1"/>
  <c r="T54" i="4"/>
  <c r="AQ54" i="4" s="1"/>
  <c r="T28" i="4"/>
  <c r="AQ28" i="4" s="1"/>
  <c r="T132" i="4"/>
  <c r="AQ132" i="4" s="1"/>
  <c r="T13" i="4"/>
  <c r="AQ13" i="4" s="1"/>
  <c r="T144" i="4"/>
  <c r="AQ144" i="4" s="1"/>
  <c r="T124" i="4"/>
  <c r="AQ124" i="4" s="1"/>
  <c r="T151" i="4"/>
  <c r="AQ151" i="4" s="1"/>
  <c r="T88" i="4"/>
  <c r="AQ88" i="4" s="1"/>
  <c r="T76" i="4"/>
  <c r="AQ76" i="4" s="1"/>
  <c r="R84" i="4"/>
  <c r="B36" i="5"/>
  <c r="Q96" i="5" s="1"/>
  <c r="T33" i="4"/>
  <c r="AQ33" i="4" s="1"/>
  <c r="B35" i="5"/>
  <c r="T79" i="4"/>
  <c r="AG68" i="5"/>
  <c r="AH68" i="5" s="1"/>
  <c r="AG550" i="5"/>
  <c r="AH550" i="5" s="1"/>
  <c r="B58" i="5"/>
  <c r="R62" i="4"/>
  <c r="B15" i="2"/>
  <c r="R143" i="4"/>
  <c r="B16" i="2"/>
  <c r="H15" i="1" s="1"/>
  <c r="B20" i="5"/>
  <c r="R79" i="4"/>
  <c r="R105" i="4"/>
  <c r="R34" i="4"/>
  <c r="B45" i="5"/>
  <c r="B11" i="2"/>
  <c r="H13" i="1" s="1"/>
  <c r="B19" i="3"/>
  <c r="B20" i="3" s="1"/>
  <c r="B21" i="2" s="1"/>
  <c r="H16" i="1" s="1"/>
  <c r="B13" i="5"/>
  <c r="AP56" i="4"/>
  <c r="K21" i="2"/>
  <c r="AP30" i="4"/>
  <c r="AP116" i="4"/>
  <c r="AP115" i="4"/>
  <c r="AP66" i="4"/>
  <c r="AP49" i="4"/>
  <c r="O12" i="4"/>
  <c r="T30" i="4"/>
  <c r="AQ30" i="4" s="1"/>
  <c r="T152" i="4"/>
  <c r="AQ152" i="4" s="1"/>
  <c r="T82" i="4"/>
  <c r="AQ82" i="4" s="1"/>
  <c r="T27" i="4"/>
  <c r="AQ27" i="4" s="1"/>
  <c r="T137" i="4"/>
  <c r="AQ137" i="4" s="1"/>
  <c r="T105" i="4"/>
  <c r="T80" i="4"/>
  <c r="T24" i="4"/>
  <c r="AQ24" i="4" s="1"/>
  <c r="T62" i="4"/>
  <c r="AQ62" i="4" s="1"/>
  <c r="T93" i="4"/>
  <c r="AQ93" i="4" s="1"/>
  <c r="R141" i="4"/>
  <c r="R133" i="4"/>
  <c r="R98" i="4"/>
  <c r="R155" i="4"/>
  <c r="R76" i="4"/>
  <c r="T136" i="4"/>
  <c r="AQ136" i="4" s="1"/>
  <c r="T21" i="4"/>
  <c r="AQ21" i="4" s="1"/>
  <c r="T110" i="4"/>
  <c r="AQ110" i="4" s="1"/>
  <c r="T133" i="4"/>
  <c r="AQ133" i="4" s="1"/>
  <c r="T59" i="4"/>
  <c r="AQ59" i="4" s="1"/>
  <c r="B39" i="5"/>
  <c r="W161" i="5" s="1"/>
  <c r="Y161" i="5" s="1"/>
  <c r="T128" i="4"/>
  <c r="AQ128" i="4" s="1"/>
  <c r="T64" i="4"/>
  <c r="AQ64" i="4" s="1"/>
  <c r="T15" i="4"/>
  <c r="AQ15" i="4" s="1"/>
  <c r="T122" i="4"/>
  <c r="AQ122" i="4" s="1"/>
  <c r="T58" i="4"/>
  <c r="AQ58" i="4" s="1"/>
  <c r="T108" i="4"/>
  <c r="AQ108" i="4" s="1"/>
  <c r="T60" i="4"/>
  <c r="AQ60" i="4" s="1"/>
  <c r="T16" i="4"/>
  <c r="AQ16" i="4" s="1"/>
  <c r="T102" i="4"/>
  <c r="AQ102" i="4" s="1"/>
  <c r="T40" i="4"/>
  <c r="AQ40" i="4" s="1"/>
  <c r="T9" i="4"/>
  <c r="AQ9" i="4" s="1"/>
  <c r="T147" i="4"/>
  <c r="AQ147" i="4" s="1"/>
  <c r="T131" i="4"/>
  <c r="AQ131" i="4" s="1"/>
  <c r="T115" i="4"/>
  <c r="AQ115" i="4" s="1"/>
  <c r="T101" i="4"/>
  <c r="AQ101" i="4" s="1"/>
  <c r="T87" i="4"/>
  <c r="AQ87" i="4" s="1"/>
  <c r="T73" i="4"/>
  <c r="T57" i="4"/>
  <c r="AQ57" i="4" s="1"/>
  <c r="T43" i="4"/>
  <c r="AQ43" i="4" s="1"/>
  <c r="T103" i="4"/>
  <c r="AQ103" i="4" s="1"/>
  <c r="T77" i="4"/>
  <c r="AQ77" i="4" s="1"/>
  <c r="T25" i="4"/>
  <c r="AQ25" i="4" s="1"/>
  <c r="T72" i="4"/>
  <c r="AQ72" i="4" s="1"/>
  <c r="T66" i="4"/>
  <c r="AQ66" i="4" s="1"/>
  <c r="T20" i="4"/>
  <c r="AQ20" i="4" s="1"/>
  <c r="T149" i="4"/>
  <c r="AQ149" i="4" s="1"/>
  <c r="T75" i="4"/>
  <c r="AQ75" i="4" s="1"/>
  <c r="T120" i="4"/>
  <c r="AQ120" i="4" s="1"/>
  <c r="T56" i="4"/>
  <c r="AQ56" i="4" s="1"/>
  <c r="T12" i="4"/>
  <c r="AQ12" i="4" s="1"/>
  <c r="T114" i="4"/>
  <c r="AQ114" i="4" s="1"/>
  <c r="T50" i="4"/>
  <c r="AQ50" i="4" s="1"/>
  <c r="T14" i="4"/>
  <c r="AQ14" i="4" s="1"/>
  <c r="T52" i="4"/>
  <c r="AQ52" i="4" s="1"/>
  <c r="T8" i="4"/>
  <c r="AQ8" i="4" s="1"/>
  <c r="T94" i="4"/>
  <c r="AQ94" i="4" s="1"/>
  <c r="T37" i="4"/>
  <c r="AQ37" i="4" s="1"/>
  <c r="T145" i="4"/>
  <c r="AQ145" i="4" s="1"/>
  <c r="T129" i="4"/>
  <c r="AQ129" i="4" s="1"/>
  <c r="T113" i="4"/>
  <c r="AQ113" i="4" s="1"/>
  <c r="T99" i="4"/>
  <c r="AQ99" i="4" s="1"/>
  <c r="T71" i="4"/>
  <c r="AQ71" i="4" s="1"/>
  <c r="T55" i="4"/>
  <c r="AQ55" i="4" s="1"/>
  <c r="T41" i="4"/>
  <c r="AQ41" i="4" s="1"/>
  <c r="T17" i="4"/>
  <c r="AQ17" i="4" s="1"/>
  <c r="T89" i="4"/>
  <c r="AQ89" i="4" s="1"/>
  <c r="O9" i="4"/>
  <c r="T112" i="4"/>
  <c r="AQ112" i="4" s="1"/>
  <c r="T48" i="4"/>
  <c r="AQ48" i="4" s="1"/>
  <c r="T106" i="4"/>
  <c r="AQ106" i="4" s="1"/>
  <c r="T42" i="4"/>
  <c r="AQ42" i="4" s="1"/>
  <c r="T156" i="4"/>
  <c r="AQ156" i="4" s="1"/>
  <c r="T100" i="4"/>
  <c r="AQ100" i="4" s="1"/>
  <c r="T44" i="4"/>
  <c r="AQ44" i="4" s="1"/>
  <c r="T150" i="4"/>
  <c r="AQ150" i="4" s="1"/>
  <c r="T86" i="4"/>
  <c r="AQ86" i="4" s="1"/>
  <c r="T26" i="4"/>
  <c r="AQ26" i="4" s="1"/>
  <c r="T157" i="4"/>
  <c r="AQ157" i="4" s="1"/>
  <c r="T143" i="4"/>
  <c r="AQ143" i="4" s="1"/>
  <c r="T127" i="4"/>
  <c r="AQ127" i="4" s="1"/>
  <c r="T111" i="4"/>
  <c r="AQ111" i="4" s="1"/>
  <c r="T97" i="4"/>
  <c r="AQ97" i="4" s="1"/>
  <c r="T85" i="4"/>
  <c r="AQ85" i="4" s="1"/>
  <c r="T69" i="4"/>
  <c r="AQ69" i="4" s="1"/>
  <c r="T38" i="4"/>
  <c r="AQ38" i="4" s="1"/>
  <c r="T135" i="4"/>
  <c r="AQ135" i="4" s="1"/>
  <c r="T91" i="4"/>
  <c r="AQ91" i="4" s="1"/>
  <c r="T47" i="4"/>
  <c r="AQ47" i="4" s="1"/>
  <c r="B46" i="5"/>
  <c r="T68" i="4"/>
  <c r="AQ68" i="4" s="1"/>
  <c r="T11" i="4"/>
  <c r="AQ11" i="4" s="1"/>
  <c r="T45" i="4"/>
  <c r="AQ45" i="4" s="1"/>
  <c r="T7" i="4"/>
  <c r="AQ7" i="4" s="1"/>
  <c r="T10" i="4"/>
  <c r="AQ10" i="4" s="1"/>
  <c r="T104" i="4"/>
  <c r="AQ104" i="4" s="1"/>
  <c r="T36" i="4"/>
  <c r="AQ36" i="4" s="1"/>
  <c r="T154" i="4"/>
  <c r="AQ154" i="4" s="1"/>
  <c r="T98" i="4"/>
  <c r="AQ98" i="4" s="1"/>
  <c r="T39" i="4"/>
  <c r="AQ39" i="4" s="1"/>
  <c r="T148" i="4"/>
  <c r="AQ148" i="4" s="1"/>
  <c r="T92" i="4"/>
  <c r="AQ92" i="4" s="1"/>
  <c r="T142" i="4"/>
  <c r="AQ142" i="4" s="1"/>
  <c r="T78" i="4"/>
  <c r="AQ78" i="4" s="1"/>
  <c r="T23" i="4"/>
  <c r="AQ23" i="4" s="1"/>
  <c r="T155" i="4"/>
  <c r="AQ155" i="4" s="1"/>
  <c r="T141" i="4"/>
  <c r="T125" i="4"/>
  <c r="AQ125" i="4" s="1"/>
  <c r="T109" i="4"/>
  <c r="AQ109" i="4" s="1"/>
  <c r="T95" i="4"/>
  <c r="AQ95" i="4" s="1"/>
  <c r="T83" i="4"/>
  <c r="AQ83" i="4" s="1"/>
  <c r="T67" i="4"/>
  <c r="AQ67" i="4" s="1"/>
  <c r="T53" i="4"/>
  <c r="AQ53" i="4" s="1"/>
  <c r="B11" i="5"/>
  <c r="T119" i="4"/>
  <c r="AQ119" i="4" s="1"/>
  <c r="T61" i="4"/>
  <c r="AQ61" i="4" s="1"/>
  <c r="T18" i="4"/>
  <c r="AQ18" i="4" s="1"/>
  <c r="T116" i="4"/>
  <c r="AQ116" i="4" s="1"/>
  <c r="T46" i="4"/>
  <c r="AQ46" i="4" s="1"/>
  <c r="T117" i="4"/>
  <c r="AQ117" i="4" s="1"/>
  <c r="T22" i="4"/>
  <c r="AQ22" i="4" s="1"/>
  <c r="B17" i="5"/>
  <c r="P15" i="5" s="1"/>
  <c r="T96" i="4"/>
  <c r="AQ96" i="4" s="1"/>
  <c r="T32" i="4"/>
  <c r="AQ32" i="4" s="1"/>
  <c r="T146" i="4"/>
  <c r="AQ146" i="4" s="1"/>
  <c r="T90" i="4"/>
  <c r="AQ90" i="4" s="1"/>
  <c r="T35" i="4"/>
  <c r="AQ35" i="4" s="1"/>
  <c r="T140" i="4"/>
  <c r="AQ140" i="4" s="1"/>
  <c r="T84" i="4"/>
  <c r="AQ84" i="4" s="1"/>
  <c r="T34" i="4"/>
  <c r="AQ34" i="4" s="1"/>
  <c r="T134" i="4"/>
  <c r="T70" i="4"/>
  <c r="AQ70" i="4" s="1"/>
  <c r="T153" i="4"/>
  <c r="AQ153" i="4" s="1"/>
  <c r="T139" i="4"/>
  <c r="AQ139" i="4" s="1"/>
  <c r="T123" i="4"/>
  <c r="AQ123" i="4" s="1"/>
  <c r="T107" i="4"/>
  <c r="AQ107" i="4" s="1"/>
  <c r="T81" i="4"/>
  <c r="AQ81" i="4" s="1"/>
  <c r="T65" i="4"/>
  <c r="AQ65" i="4" s="1"/>
  <c r="T51" i="4"/>
  <c r="AQ51" i="4" s="1"/>
  <c r="L126" i="2"/>
  <c r="K38" i="5"/>
  <c r="B24" i="5"/>
  <c r="AG168" i="5"/>
  <c r="AH168" i="5" s="1"/>
  <c r="AG272" i="5"/>
  <c r="AI272" i="5" s="1"/>
  <c r="AG248" i="5"/>
  <c r="AH248" i="5" s="1"/>
  <c r="R134" i="4"/>
  <c r="R96" i="4"/>
  <c r="R71" i="4"/>
  <c r="R20" i="4"/>
  <c r="AP109" i="4"/>
  <c r="AP59" i="4"/>
  <c r="AP25" i="4"/>
  <c r="B57" i="5"/>
  <c r="B62" i="5"/>
  <c r="AM272" i="5" s="1"/>
  <c r="R126" i="4"/>
  <c r="R77" i="4"/>
  <c r="R24" i="4"/>
  <c r="R39" i="4"/>
  <c r="AP45" i="4"/>
  <c r="AP104" i="4"/>
  <c r="R91" i="4"/>
  <c r="R69" i="4"/>
  <c r="R148" i="4"/>
  <c r="R21" i="4"/>
  <c r="AP37" i="4"/>
  <c r="AP111" i="4"/>
  <c r="R70" i="4"/>
  <c r="R12" i="4"/>
  <c r="R140" i="4"/>
  <c r="AP128" i="4"/>
  <c r="AP156" i="4"/>
  <c r="B42" i="2"/>
  <c r="B3" i="8"/>
  <c r="AP33" i="4"/>
  <c r="AP58" i="4"/>
  <c r="AP127" i="4"/>
  <c r="AP123" i="4"/>
  <c r="AP148" i="4"/>
  <c r="AP53" i="4"/>
  <c r="AP94" i="4"/>
  <c r="B199" i="2"/>
  <c r="AP81" i="4"/>
  <c r="AP74" i="4"/>
  <c r="AP120" i="4"/>
  <c r="AP20" i="4"/>
  <c r="AP15" i="4"/>
  <c r="AP117" i="4"/>
  <c r="AP142" i="4"/>
  <c r="AP89" i="4"/>
  <c r="AP130" i="4"/>
  <c r="AP11" i="4"/>
  <c r="AP28" i="4"/>
  <c r="AP64" i="4"/>
  <c r="AP133" i="4"/>
  <c r="AP150" i="4"/>
  <c r="AP97" i="4"/>
  <c r="AP138" i="4"/>
  <c r="AP43" i="4"/>
  <c r="AP36" i="4"/>
  <c r="AP88" i="4"/>
  <c r="AP14" i="4"/>
  <c r="AP7" i="4"/>
  <c r="AP153" i="4"/>
  <c r="AP154" i="4"/>
  <c r="AP51" i="4"/>
  <c r="AP92" i="4"/>
  <c r="AP144" i="4"/>
  <c r="AP22" i="4"/>
  <c r="AP32" i="4"/>
  <c r="R10" i="4"/>
  <c r="R135" i="4"/>
  <c r="AP110" i="4"/>
  <c r="AP100" i="4"/>
  <c r="AP26" i="4"/>
  <c r="AP86" i="4"/>
  <c r="AP139" i="4"/>
  <c r="AP10" i="4"/>
  <c r="R19" i="4"/>
  <c r="R30" i="4"/>
  <c r="R100" i="4"/>
  <c r="R14" i="4"/>
  <c r="R95" i="4"/>
  <c r="R9" i="4"/>
  <c r="R93" i="4"/>
  <c r="R157" i="4"/>
  <c r="R86" i="4"/>
  <c r="R150" i="4"/>
  <c r="B191" i="2"/>
  <c r="B192" i="2" s="1"/>
  <c r="B220" i="2" s="1"/>
  <c r="B221" i="2" s="1"/>
  <c r="R23" i="4"/>
  <c r="R44" i="4"/>
  <c r="R108" i="4"/>
  <c r="R38" i="4"/>
  <c r="R103" i="4"/>
  <c r="R18" i="4"/>
  <c r="R101" i="4"/>
  <c r="R22" i="4"/>
  <c r="R94" i="4"/>
  <c r="R8" i="4"/>
  <c r="R27" i="4"/>
  <c r="R52" i="4"/>
  <c r="R116" i="4"/>
  <c r="R47" i="4"/>
  <c r="R111" i="4"/>
  <c r="R45" i="4"/>
  <c r="R109" i="4"/>
  <c r="R40" i="4"/>
  <c r="R102" i="4"/>
  <c r="R35" i="4"/>
  <c r="R68" i="4"/>
  <c r="R132" i="4"/>
  <c r="R63" i="4"/>
  <c r="R127" i="4"/>
  <c r="R61" i="4"/>
  <c r="R125" i="4"/>
  <c r="R54" i="4"/>
  <c r="R118" i="4"/>
  <c r="R7" i="4"/>
  <c r="R37" i="4"/>
  <c r="R73" i="4"/>
  <c r="R137" i="4"/>
  <c r="R66" i="4"/>
  <c r="R130" i="4"/>
  <c r="R64" i="4"/>
  <c r="R128" i="4"/>
  <c r="R59" i="4"/>
  <c r="R123" i="4"/>
  <c r="B42" i="5"/>
  <c r="T64" i="5" s="1"/>
  <c r="B183" i="2"/>
  <c r="H61" i="1" s="1"/>
  <c r="AG409" i="5"/>
  <c r="AI409" i="5" s="1"/>
  <c r="B62" i="2"/>
  <c r="B66" i="2"/>
  <c r="Q51" i="1"/>
  <c r="B127" i="2"/>
  <c r="B141" i="2"/>
  <c r="K141" i="2" s="1"/>
  <c r="B254" i="2"/>
  <c r="B256" i="2" s="1"/>
  <c r="B163" i="2"/>
  <c r="H47" i="1" s="1"/>
  <c r="K8" i="2"/>
  <c r="B60" i="2"/>
  <c r="B58" i="2"/>
  <c r="B203" i="2"/>
  <c r="AQ80" i="4"/>
  <c r="H57" i="1"/>
  <c r="B179" i="2" s="1"/>
  <c r="AG64" i="5"/>
  <c r="AG256" i="5"/>
  <c r="AG368" i="5"/>
  <c r="AG360" i="5"/>
  <c r="AG328" i="5"/>
  <c r="O7" i="5"/>
  <c r="B219" i="2"/>
  <c r="AQ121" i="4"/>
  <c r="AQ105" i="4"/>
  <c r="B48" i="2"/>
  <c r="B50" i="2"/>
  <c r="B31" i="2" s="1"/>
  <c r="B12" i="5"/>
  <c r="AP41" i="4"/>
  <c r="AP105" i="4"/>
  <c r="AP18" i="4"/>
  <c r="AP82" i="4"/>
  <c r="AP146" i="4"/>
  <c r="AP143" i="4"/>
  <c r="AP136" i="4"/>
  <c r="AP67" i="4"/>
  <c r="AP131" i="4"/>
  <c r="AP44" i="4"/>
  <c r="AP108" i="4"/>
  <c r="AP47" i="4"/>
  <c r="AP112" i="4"/>
  <c r="AP61" i="4"/>
  <c r="AP125" i="4"/>
  <c r="AP38" i="4"/>
  <c r="AP102" i="4"/>
  <c r="AP23" i="4"/>
  <c r="AP96" i="4"/>
  <c r="B48" i="5"/>
  <c r="B205" i="2"/>
  <c r="AP57" i="4"/>
  <c r="AP121" i="4"/>
  <c r="AP34" i="4"/>
  <c r="AP98" i="4"/>
  <c r="AP31" i="4"/>
  <c r="AP24" i="4"/>
  <c r="AP19" i="4"/>
  <c r="AP83" i="4"/>
  <c r="AP147" i="4"/>
  <c r="AP60" i="4"/>
  <c r="AP124" i="4"/>
  <c r="AP103" i="4"/>
  <c r="AP13" i="4"/>
  <c r="AP77" i="4"/>
  <c r="AP141" i="4"/>
  <c r="AP54" i="4"/>
  <c r="AP118" i="4"/>
  <c r="AP63" i="4"/>
  <c r="AP152" i="4"/>
  <c r="O15" i="4"/>
  <c r="K126" i="2"/>
  <c r="M8" i="4"/>
  <c r="AP65" i="4"/>
  <c r="AP129" i="4"/>
  <c r="AP42" i="4"/>
  <c r="AP106" i="4"/>
  <c r="AP55" i="4"/>
  <c r="AP48" i="4"/>
  <c r="AP27" i="4"/>
  <c r="AP91" i="4"/>
  <c r="AP155" i="4"/>
  <c r="AP68" i="4"/>
  <c r="AP132" i="4"/>
  <c r="AP135" i="4"/>
  <c r="AP21" i="4"/>
  <c r="AP85" i="4"/>
  <c r="AP149" i="4"/>
  <c r="AP62" i="4"/>
  <c r="AP126" i="4"/>
  <c r="AP95" i="4"/>
  <c r="J125" i="2"/>
  <c r="AP9" i="4"/>
  <c r="AP73" i="4"/>
  <c r="AP137" i="4"/>
  <c r="AP50" i="4"/>
  <c r="AP114" i="4"/>
  <c r="AP71" i="4"/>
  <c r="AP72" i="4"/>
  <c r="AP35" i="4"/>
  <c r="AP99" i="4"/>
  <c r="AP12" i="4"/>
  <c r="AP76" i="4"/>
  <c r="AP140" i="4"/>
  <c r="AP8" i="4"/>
  <c r="AP29" i="4"/>
  <c r="AP93" i="4"/>
  <c r="AP157" i="4"/>
  <c r="AP70" i="4"/>
  <c r="AP134" i="4"/>
  <c r="AP119" i="4"/>
  <c r="AG31" i="5"/>
  <c r="AG143" i="5"/>
  <c r="AG135" i="5"/>
  <c r="AM135" i="5"/>
  <c r="AG127" i="5"/>
  <c r="AG351" i="5"/>
  <c r="AG495" i="5"/>
  <c r="AG487" i="5"/>
  <c r="AG463" i="5"/>
  <c r="AG455" i="5"/>
  <c r="AP151" i="4"/>
  <c r="AP78" i="4"/>
  <c r="AP101" i="4"/>
  <c r="AP40" i="4"/>
  <c r="AP84" i="4"/>
  <c r="AP107" i="4"/>
  <c r="AP80" i="4"/>
  <c r="AP122" i="4"/>
  <c r="AP145" i="4"/>
  <c r="AP17" i="4"/>
  <c r="B39" i="2"/>
  <c r="H17" i="1" s="1"/>
  <c r="B189" i="2"/>
  <c r="P7" i="5" s="1"/>
  <c r="B197" i="2"/>
  <c r="B198" i="2" s="1"/>
  <c r="R25" i="4"/>
  <c r="R41" i="4"/>
  <c r="R49" i="4"/>
  <c r="R81" i="4"/>
  <c r="R113" i="4"/>
  <c r="R145" i="4"/>
  <c r="R42" i="4"/>
  <c r="R74" i="4"/>
  <c r="R106" i="4"/>
  <c r="R138" i="4"/>
  <c r="R32" i="4"/>
  <c r="R72" i="4"/>
  <c r="R104" i="4"/>
  <c r="R136" i="4"/>
  <c r="R26" i="4"/>
  <c r="R67" i="4"/>
  <c r="R99" i="4"/>
  <c r="R131" i="4"/>
  <c r="R13" i="4"/>
  <c r="B44" i="2"/>
  <c r="R29" i="4"/>
  <c r="R28" i="4"/>
  <c r="R57" i="4"/>
  <c r="R89" i="4"/>
  <c r="R121" i="4"/>
  <c r="R153" i="4"/>
  <c r="R50" i="4"/>
  <c r="R82" i="4"/>
  <c r="R114" i="4"/>
  <c r="R146" i="4"/>
  <c r="R48" i="4"/>
  <c r="R80" i="4"/>
  <c r="R112" i="4"/>
  <c r="R144" i="4"/>
  <c r="R43" i="4"/>
  <c r="R75" i="4"/>
  <c r="R107" i="4"/>
  <c r="R139" i="4"/>
  <c r="B52" i="2"/>
  <c r="B33" i="2" s="1"/>
  <c r="R15" i="4"/>
  <c r="R31" i="4"/>
  <c r="R36" i="4"/>
  <c r="R60" i="4"/>
  <c r="R92" i="4"/>
  <c r="R124" i="4"/>
  <c r="R156" i="4"/>
  <c r="R55" i="4"/>
  <c r="R87" i="4"/>
  <c r="R119" i="4"/>
  <c r="R151" i="4"/>
  <c r="R53" i="4"/>
  <c r="R85" i="4"/>
  <c r="R117" i="4"/>
  <c r="R149" i="4"/>
  <c r="R46" i="4"/>
  <c r="R78" i="4"/>
  <c r="R110" i="4"/>
  <c r="R142" i="4"/>
  <c r="B161" i="2"/>
  <c r="H45" i="1" s="1"/>
  <c r="B55" i="2"/>
  <c r="B68" i="2"/>
  <c r="R17" i="4"/>
  <c r="R33" i="4"/>
  <c r="R16" i="4"/>
  <c r="R65" i="4"/>
  <c r="R97" i="4"/>
  <c r="R129" i="4"/>
  <c r="R11" i="4"/>
  <c r="R58" i="4"/>
  <c r="R90" i="4"/>
  <c r="R122" i="4"/>
  <c r="R154" i="4"/>
  <c r="R56" i="4"/>
  <c r="R88" i="4"/>
  <c r="R120" i="4"/>
  <c r="R152" i="4"/>
  <c r="R51" i="4"/>
  <c r="R83" i="4"/>
  <c r="R115" i="4"/>
  <c r="R147" i="4"/>
  <c r="B185" i="2"/>
  <c r="J126" i="2"/>
  <c r="B29" i="5"/>
  <c r="B202" i="2"/>
  <c r="AQ79" i="4"/>
  <c r="AQ63" i="4"/>
  <c r="AP39" i="4"/>
  <c r="AP46" i="4"/>
  <c r="AP69" i="4"/>
  <c r="AP79" i="4"/>
  <c r="AP52" i="4"/>
  <c r="AP75" i="4"/>
  <c r="AP16" i="4"/>
  <c r="AP90" i="4"/>
  <c r="AP113" i="4"/>
  <c r="AM253" i="5"/>
  <c r="AM482" i="5"/>
  <c r="AM498" i="5"/>
  <c r="AM486" i="5"/>
  <c r="AM66" i="5"/>
  <c r="AG38" i="5"/>
  <c r="AG42" i="5"/>
  <c r="AG54" i="5"/>
  <c r="AG65" i="5"/>
  <c r="AG66" i="5"/>
  <c r="AG93" i="5"/>
  <c r="AG121" i="5"/>
  <c r="AG89" i="5"/>
  <c r="AG92" i="5"/>
  <c r="AG130" i="5"/>
  <c r="AG110" i="5"/>
  <c r="AG153" i="5"/>
  <c r="AG165" i="5"/>
  <c r="AG133" i="5"/>
  <c r="AG218" i="5"/>
  <c r="AG164" i="5"/>
  <c r="AG229" i="5"/>
  <c r="AG233" i="5"/>
  <c r="AG273" i="5"/>
  <c r="AG301" i="5"/>
  <c r="AG324" i="5"/>
  <c r="AG250" i="5"/>
  <c r="AG286" i="5"/>
  <c r="AG316" i="5"/>
  <c r="AG237" i="5"/>
  <c r="AG281" i="5"/>
  <c r="AG313" i="5"/>
  <c r="AG345" i="5"/>
  <c r="AG284" i="5"/>
  <c r="AG378" i="5"/>
  <c r="AG436" i="5"/>
  <c r="AG321" i="5"/>
  <c r="AG396" i="5"/>
  <c r="AG417" i="5"/>
  <c r="AG346" i="5"/>
  <c r="AG438" i="5"/>
  <c r="AG510" i="5"/>
  <c r="AG370" i="5"/>
  <c r="AG516" i="5"/>
  <c r="AG474" i="5"/>
  <c r="AG548" i="5"/>
  <c r="AG380" i="5"/>
  <c r="AG492" i="5"/>
  <c r="AG542" i="5"/>
  <c r="AG536" i="5"/>
  <c r="AG426" i="5"/>
  <c r="AG523" i="5"/>
  <c r="AG449" i="5"/>
  <c r="AG544" i="5"/>
  <c r="AG45" i="5"/>
  <c r="AG26" i="5"/>
  <c r="AG94" i="5"/>
  <c r="AG101" i="5"/>
  <c r="AG134" i="5"/>
  <c r="AG158" i="5"/>
  <c r="AG140" i="5"/>
  <c r="AG212" i="5"/>
  <c r="AG252" i="5"/>
  <c r="AG274" i="5"/>
  <c r="AG306" i="5"/>
  <c r="AG332" i="5"/>
  <c r="AG258" i="5"/>
  <c r="AG244" i="5"/>
  <c r="AG285" i="5"/>
  <c r="AG318" i="5"/>
  <c r="AG348" i="5"/>
  <c r="AG290" i="5"/>
  <c r="AG382" i="5"/>
  <c r="AG406" i="5"/>
  <c r="AG437" i="5"/>
  <c r="AG326" i="5"/>
  <c r="AG372" i="5"/>
  <c r="AG405" i="5"/>
  <c r="AG418" i="5"/>
  <c r="AG350" i="5"/>
  <c r="AG485" i="5"/>
  <c r="AG517" i="5"/>
  <c r="AG452" i="5"/>
  <c r="AG477" i="5"/>
  <c r="AG506" i="5"/>
  <c r="AG540" i="5"/>
  <c r="AG428" i="5"/>
  <c r="AG470" i="5"/>
  <c r="AG21" i="5"/>
  <c r="AG20" i="5"/>
  <c r="AG22" i="5"/>
  <c r="AG77" i="5"/>
  <c r="AG126" i="5"/>
  <c r="AG109" i="5"/>
  <c r="AG138" i="5"/>
  <c r="AG173" i="5"/>
  <c r="AG181" i="5"/>
  <c r="AG157" i="5"/>
  <c r="AG189" i="5"/>
  <c r="AG154" i="5"/>
  <c r="AG234" i="5"/>
  <c r="AG238" i="5"/>
  <c r="AG205" i="5"/>
  <c r="AG270" i="5"/>
  <c r="AG354" i="5"/>
  <c r="AG330" i="5"/>
  <c r="AG394" i="5"/>
  <c r="AG420" i="5"/>
  <c r="AG226" i="5"/>
  <c r="AG333" i="5"/>
  <c r="AG381" i="5"/>
  <c r="AG390" i="5"/>
  <c r="AG450" i="5"/>
  <c r="AG493" i="5"/>
  <c r="AG522" i="5"/>
  <c r="AG422" i="5"/>
  <c r="AG458" i="5"/>
  <c r="AG302" i="5"/>
  <c r="AG524" i="5"/>
  <c r="AG551" i="5"/>
  <c r="AG520" i="5"/>
  <c r="AG365" i="5"/>
  <c r="AG556" i="5"/>
  <c r="AG29" i="5"/>
  <c r="AG34" i="5"/>
  <c r="AG69" i="5"/>
  <c r="AG78" i="5"/>
  <c r="AG141" i="5"/>
  <c r="AG142" i="5"/>
  <c r="AG118" i="5"/>
  <c r="AG182" i="5"/>
  <c r="AG190" i="5"/>
  <c r="AG221" i="5"/>
  <c r="AG314" i="5"/>
  <c r="AG210" i="5"/>
  <c r="AG276" i="5"/>
  <c r="AG261" i="5"/>
  <c r="AG356" i="5"/>
  <c r="AG341" i="5"/>
  <c r="AG397" i="5"/>
  <c r="AG421" i="5"/>
  <c r="AG262" i="5"/>
  <c r="AG340" i="5"/>
  <c r="AG386" i="5"/>
  <c r="AG410" i="5"/>
  <c r="AG402" i="5"/>
  <c r="AG412" i="5"/>
  <c r="AG494" i="5"/>
  <c r="AG530" i="5"/>
  <c r="AG460" i="5"/>
  <c r="AG486" i="5"/>
  <c r="AG528" i="5"/>
  <c r="AG444" i="5"/>
  <c r="AG454" i="5"/>
  <c r="AG558" i="5"/>
  <c r="AG30" i="5"/>
  <c r="AG37" i="5"/>
  <c r="AG58" i="5"/>
  <c r="AG70" i="5"/>
  <c r="AG82" i="5"/>
  <c r="AG148" i="5"/>
  <c r="AG146" i="5"/>
  <c r="AG178" i="5"/>
  <c r="AG149" i="5"/>
  <c r="AG162" i="5"/>
  <c r="AG194" i="5"/>
  <c r="AG245" i="5"/>
  <c r="AG166" i="5"/>
  <c r="AG222" i="5"/>
  <c r="AG214" i="5"/>
  <c r="AG260" i="5"/>
  <c r="AG278" i="5"/>
  <c r="AG117" i="5"/>
  <c r="AG300" i="5"/>
  <c r="AG338" i="5"/>
  <c r="AG364" i="5"/>
  <c r="AG398" i="5"/>
  <c r="AG202" i="5"/>
  <c r="AG404" i="5"/>
  <c r="AG466" i="5"/>
  <c r="AG294" i="5"/>
  <c r="AG434" i="5"/>
  <c r="AG462" i="5"/>
  <c r="AG498" i="5"/>
  <c r="AG531" i="5"/>
  <c r="AG476" i="5"/>
  <c r="AG552" i="5"/>
  <c r="AG389" i="5"/>
  <c r="AG461" i="5"/>
  <c r="AG560" i="5"/>
  <c r="B4" i="8"/>
  <c r="B64" i="2"/>
  <c r="B46" i="2"/>
  <c r="B61" i="5"/>
  <c r="AM476" i="5"/>
  <c r="AM436" i="5"/>
  <c r="B171" i="2"/>
  <c r="H52" i="1" s="1"/>
  <c r="B173" i="2"/>
  <c r="AG527" i="5"/>
  <c r="AG535" i="5"/>
  <c r="AG557" i="5"/>
  <c r="AG363" i="5"/>
  <c r="AG497" i="5"/>
  <c r="AG499" i="5"/>
  <c r="AG305" i="5"/>
  <c r="AG387" i="5"/>
  <c r="AG355" i="5"/>
  <c r="AG267" i="5"/>
  <c r="AG119" i="5"/>
  <c r="AG113" i="5"/>
  <c r="AG97" i="5"/>
  <c r="AG81" i="5"/>
  <c r="AM459" i="5"/>
  <c r="AM395" i="5"/>
  <c r="AM41" i="5"/>
  <c r="AG521" i="5"/>
  <c r="AG473" i="5"/>
  <c r="AG337" i="5"/>
  <c r="AG451" i="5"/>
  <c r="AG299" i="5"/>
  <c r="AG283" i="5"/>
  <c r="AG257" i="5"/>
  <c r="AG211" i="5"/>
  <c r="AG131" i="5"/>
  <c r="AG25" i="5"/>
  <c r="AM235" i="5"/>
  <c r="AM115" i="5"/>
  <c r="B64" i="5"/>
  <c r="AJ64" i="5" s="1"/>
  <c r="AG457" i="5"/>
  <c r="AG491" i="5"/>
  <c r="AG379" i="5"/>
  <c r="AG291" i="5"/>
  <c r="AG259" i="5"/>
  <c r="AG217" i="5"/>
  <c r="AG129" i="5"/>
  <c r="AG51" i="5"/>
  <c r="AM449" i="5"/>
  <c r="AM519" i="5"/>
  <c r="AG99" i="5"/>
  <c r="AM251" i="5"/>
  <c r="AG91" i="5"/>
  <c r="AG549" i="5" l="1"/>
  <c r="AI549" i="5" s="1"/>
  <c r="AG546" i="5"/>
  <c r="AI546" i="5" s="1"/>
  <c r="AG49" i="5"/>
  <c r="AH49" i="5" s="1"/>
  <c r="AG132" i="5"/>
  <c r="AH132" i="5" s="1"/>
  <c r="AG483" i="5"/>
  <c r="AI483" i="5" s="1"/>
  <c r="AG526" i="5"/>
  <c r="AI526" i="5" s="1"/>
  <c r="AG63" i="5"/>
  <c r="AG479" i="5"/>
  <c r="AI479" i="5" s="1"/>
  <c r="AG534" i="5"/>
  <c r="AG71" i="5"/>
  <c r="AI71" i="5" s="1"/>
  <c r="AG44" i="5"/>
  <c r="AG424" i="5"/>
  <c r="AG508" i="5"/>
  <c r="AH508" i="5" s="1"/>
  <c r="AG504" i="5"/>
  <c r="AG83" i="5"/>
  <c r="AI83" i="5" s="1"/>
  <c r="AG503" i="5"/>
  <c r="AH503" i="5" s="1"/>
  <c r="AG416" i="5"/>
  <c r="AG73" i="5"/>
  <c r="AG512" i="5"/>
  <c r="AG375" i="5"/>
  <c r="AG224" i="5"/>
  <c r="AH224" i="5" s="1"/>
  <c r="AG188" i="5"/>
  <c r="AH188" i="5" s="1"/>
  <c r="AG203" i="5"/>
  <c r="AH203" i="5" s="1"/>
  <c r="AG515" i="5"/>
  <c r="AI515" i="5" s="1"/>
  <c r="AG357" i="5"/>
  <c r="AG160" i="5"/>
  <c r="AG467" i="5"/>
  <c r="AG176" i="5"/>
  <c r="AG289" i="5"/>
  <c r="AI289" i="5" s="1"/>
  <c r="AG60" i="5"/>
  <c r="AI60" i="5" s="1"/>
  <c r="AG184" i="5"/>
  <c r="AG361" i="5"/>
  <c r="AI361" i="5" s="1"/>
  <c r="AG297" i="5"/>
  <c r="AI297" i="5" s="1"/>
  <c r="AG385" i="5"/>
  <c r="AG192" i="5"/>
  <c r="AG377" i="5"/>
  <c r="AI377" i="5" s="1"/>
  <c r="AG84" i="5"/>
  <c r="AH84" i="5" s="1"/>
  <c r="AG174" i="5"/>
  <c r="AI174" i="5" s="1"/>
  <c r="AG359" i="5"/>
  <c r="AG47" i="5"/>
  <c r="AG264" i="5"/>
  <c r="AG72" i="5"/>
  <c r="AG507" i="5"/>
  <c r="AH507" i="5" s="1"/>
  <c r="AG320" i="5"/>
  <c r="AG200" i="5"/>
  <c r="AI200" i="5" s="1"/>
  <c r="AG186" i="5"/>
  <c r="AG501" i="5"/>
  <c r="AG61" i="5"/>
  <c r="AG435" i="5"/>
  <c r="AG446" i="5"/>
  <c r="AI446" i="5" s="1"/>
  <c r="AG553" i="5"/>
  <c r="AG383" i="5"/>
  <c r="AG55" i="5"/>
  <c r="AG280" i="5"/>
  <c r="AI280" i="5" s="1"/>
  <c r="AG96" i="5"/>
  <c r="AG347" i="5"/>
  <c r="AI347" i="5" s="1"/>
  <c r="AG336" i="5"/>
  <c r="AH336" i="5" s="1"/>
  <c r="AG208" i="5"/>
  <c r="AG220" i="5"/>
  <c r="AG509" i="5"/>
  <c r="AH509" i="5" s="1"/>
  <c r="AG108" i="5"/>
  <c r="AI108" i="5" s="1"/>
  <c r="AG453" i="5"/>
  <c r="AH453" i="5" s="1"/>
  <c r="AG206" i="5"/>
  <c r="AH206" i="5" s="1"/>
  <c r="AG545" i="5"/>
  <c r="AH545" i="5" s="1"/>
  <c r="AG223" i="5"/>
  <c r="AG79" i="5"/>
  <c r="AG432" i="5"/>
  <c r="AG296" i="5"/>
  <c r="AG104" i="5"/>
  <c r="AG547" i="5"/>
  <c r="AI547" i="5" s="1"/>
  <c r="AG403" i="5"/>
  <c r="AI403" i="5" s="1"/>
  <c r="AG344" i="5"/>
  <c r="AG32" i="5"/>
  <c r="AI32" i="5" s="1"/>
  <c r="AG228" i="5"/>
  <c r="AG315" i="5"/>
  <c r="AI315" i="5" s="1"/>
  <c r="AG171" i="5"/>
  <c r="AG511" i="5"/>
  <c r="AG525" i="5"/>
  <c r="AG239" i="5"/>
  <c r="AG87" i="5"/>
  <c r="AI87" i="5" s="1"/>
  <c r="AG448" i="5"/>
  <c r="AG304" i="5"/>
  <c r="AG112" i="5"/>
  <c r="AG425" i="5"/>
  <c r="AG319" i="5"/>
  <c r="AG352" i="5"/>
  <c r="AH352" i="5" s="1"/>
  <c r="AG40" i="5"/>
  <c r="AG292" i="5"/>
  <c r="AI292" i="5" s="1"/>
  <c r="AG187" i="5"/>
  <c r="AH187" i="5" s="1"/>
  <c r="AG215" i="5"/>
  <c r="AI215" i="5" s="1"/>
  <c r="AG183" i="5"/>
  <c r="AI183" i="5" s="1"/>
  <c r="AG533" i="5"/>
  <c r="AG255" i="5"/>
  <c r="AG103" i="5"/>
  <c r="AG464" i="5"/>
  <c r="AG312" i="5"/>
  <c r="AH312" i="5" s="1"/>
  <c r="AG8" i="5"/>
  <c r="AG441" i="5"/>
  <c r="AG376" i="5"/>
  <c r="AG80" i="5"/>
  <c r="AG502" i="5"/>
  <c r="AG27" i="5"/>
  <c r="AI27" i="5" s="1"/>
  <c r="AG213" i="5"/>
  <c r="AG247" i="5"/>
  <c r="AG439" i="5"/>
  <c r="AG287" i="5"/>
  <c r="AG488" i="5"/>
  <c r="AG128" i="5"/>
  <c r="AG513" i="5"/>
  <c r="AG28" i="5"/>
  <c r="AI28" i="5" s="1"/>
  <c r="AG554" i="5"/>
  <c r="AG400" i="5"/>
  <c r="AI400" i="5" s="1"/>
  <c r="AG88" i="5"/>
  <c r="AH88" i="5" s="1"/>
  <c r="AG478" i="5"/>
  <c r="AG67" i="5"/>
  <c r="AG265" i="5"/>
  <c r="AH265" i="5" s="1"/>
  <c r="AG293" i="5"/>
  <c r="AG447" i="5"/>
  <c r="AI447" i="5" s="1"/>
  <c r="AG219" i="5"/>
  <c r="AG496" i="5"/>
  <c r="AG144" i="5"/>
  <c r="AG353" i="5"/>
  <c r="AI353" i="5" s="1"/>
  <c r="AG36" i="5"/>
  <c r="AG538" i="5"/>
  <c r="AG408" i="5"/>
  <c r="AI68" i="5"/>
  <c r="AG358" i="5"/>
  <c r="AI358" i="5" s="1"/>
  <c r="AG75" i="5"/>
  <c r="AH75" i="5" s="1"/>
  <c r="AG196" i="5"/>
  <c r="AH196" i="5" s="1"/>
  <c r="AG269" i="5"/>
  <c r="AH269" i="5" s="1"/>
  <c r="AG411" i="5"/>
  <c r="AI411" i="5" s="1"/>
  <c r="AG159" i="5"/>
  <c r="AG384" i="5"/>
  <c r="AG216" i="5"/>
  <c r="AI216" i="5" s="1"/>
  <c r="AG529" i="5"/>
  <c r="AG19" i="5"/>
  <c r="AG440" i="5"/>
  <c r="AG288" i="5"/>
  <c r="AG169" i="5"/>
  <c r="AG322" i="5"/>
  <c r="AG323" i="5"/>
  <c r="AI323" i="5" s="1"/>
  <c r="AG86" i="5"/>
  <c r="AG125" i="5"/>
  <c r="AH125" i="5" s="1"/>
  <c r="AH272" i="5"/>
  <c r="AG419" i="5"/>
  <c r="AG175" i="5"/>
  <c r="AG392" i="5"/>
  <c r="AG24" i="5"/>
  <c r="AG519" i="5"/>
  <c r="AI519" i="5" s="1"/>
  <c r="AG456" i="5"/>
  <c r="AI456" i="5" s="1"/>
  <c r="AG120" i="5"/>
  <c r="AG185" i="5"/>
  <c r="AH185" i="5" s="1"/>
  <c r="AG307" i="5"/>
  <c r="AH307" i="5" s="1"/>
  <c r="AG298" i="5"/>
  <c r="AG179" i="5"/>
  <c r="AG172" i="5"/>
  <c r="AH172" i="5" s="1"/>
  <c r="AI224" i="5"/>
  <c r="AG327" i="5"/>
  <c r="AG199" i="5"/>
  <c r="AH199" i="5" s="1"/>
  <c r="AG232" i="5"/>
  <c r="AG48" i="5"/>
  <c r="AG443" i="5"/>
  <c r="AI443" i="5" s="1"/>
  <c r="AG472" i="5"/>
  <c r="AG136" i="5"/>
  <c r="AG105" i="5"/>
  <c r="AH105" i="5" s="1"/>
  <c r="AG268" i="5"/>
  <c r="AI268" i="5" s="1"/>
  <c r="AG339" i="5"/>
  <c r="AI339" i="5" s="1"/>
  <c r="AG253" i="5"/>
  <c r="AH253" i="5" s="1"/>
  <c r="AG295" i="5"/>
  <c r="AI295" i="5" s="1"/>
  <c r="AI168" i="5"/>
  <c r="AG335" i="5"/>
  <c r="AG23" i="5"/>
  <c r="AG240" i="5"/>
  <c r="AG56" i="5"/>
  <c r="AG459" i="5"/>
  <c r="AI459" i="5" s="1"/>
  <c r="AG480" i="5"/>
  <c r="AG152" i="5"/>
  <c r="AH152" i="5" s="1"/>
  <c r="AG98" i="5"/>
  <c r="AI98" i="5" s="1"/>
  <c r="AG371" i="5"/>
  <c r="AI371" i="5" s="1"/>
  <c r="AG427" i="5"/>
  <c r="AH427" i="5" s="1"/>
  <c r="AG415" i="5"/>
  <c r="AI415" i="5" s="1"/>
  <c r="AG475" i="5"/>
  <c r="AG114" i="5"/>
  <c r="AH114" i="5" s="1"/>
  <c r="AG559" i="5"/>
  <c r="AH559" i="5" s="1"/>
  <c r="AG429" i="5"/>
  <c r="AI429" i="5" s="1"/>
  <c r="AG207" i="5"/>
  <c r="AH207" i="5" s="1"/>
  <c r="AG85" i="5"/>
  <c r="AI85" i="5" s="1"/>
  <c r="AG177" i="5"/>
  <c r="AI177" i="5" s="1"/>
  <c r="AG309" i="5"/>
  <c r="AH309" i="5" s="1"/>
  <c r="AG102" i="5"/>
  <c r="AH102" i="5" s="1"/>
  <c r="AG505" i="5"/>
  <c r="AI505" i="5" s="1"/>
  <c r="AG50" i="5"/>
  <c r="AH50" i="5" s="1"/>
  <c r="AG518" i="5"/>
  <c r="AH518" i="5" s="1"/>
  <c r="AG246" i="5"/>
  <c r="AI246" i="5" s="1"/>
  <c r="AG106" i="5"/>
  <c r="AH106" i="5" s="1"/>
  <c r="AG484" i="5"/>
  <c r="AH484" i="5" s="1"/>
  <c r="AG391" i="5"/>
  <c r="AI391" i="5" s="1"/>
  <c r="AG236" i="5"/>
  <c r="AI236" i="5" s="1"/>
  <c r="AG151" i="5"/>
  <c r="AI151" i="5" s="1"/>
  <c r="AH71" i="5"/>
  <c r="AG193" i="5"/>
  <c r="AG303" i="5"/>
  <c r="AG123" i="5"/>
  <c r="AH123" i="5" s="1"/>
  <c r="AG395" i="5"/>
  <c r="AG107" i="5"/>
  <c r="AH107" i="5" s="1"/>
  <c r="AG514" i="5"/>
  <c r="AG343" i="5"/>
  <c r="AG155" i="5"/>
  <c r="AH155" i="5" s="1"/>
  <c r="AG46" i="5"/>
  <c r="AI46" i="5" s="1"/>
  <c r="AG481" i="5"/>
  <c r="AG282" i="5"/>
  <c r="AG201" i="5"/>
  <c r="AH201" i="5" s="1"/>
  <c r="AG310" i="5"/>
  <c r="AH310" i="5" s="1"/>
  <c r="AG163" i="5"/>
  <c r="AG235" i="5"/>
  <c r="AG124" i="5"/>
  <c r="AG539" i="5"/>
  <c r="AG401" i="5"/>
  <c r="AG227" i="5"/>
  <c r="AH227" i="5" s="1"/>
  <c r="AG62" i="5"/>
  <c r="AG442" i="5"/>
  <c r="AG271" i="5"/>
  <c r="AG209" i="5"/>
  <c r="AI209" i="5" s="1"/>
  <c r="AG180" i="5"/>
  <c r="AH180" i="5" s="1"/>
  <c r="AG197" i="5"/>
  <c r="AH197" i="5" s="1"/>
  <c r="AG243" i="5"/>
  <c r="AI243" i="5" s="1"/>
  <c r="AG147" i="5"/>
  <c r="AI147" i="5" s="1"/>
  <c r="AG413" i="5"/>
  <c r="AH413" i="5" s="1"/>
  <c r="AG362" i="5"/>
  <c r="AG225" i="5"/>
  <c r="AI225" i="5" s="1"/>
  <c r="AG90" i="5"/>
  <c r="AH90" i="5" s="1"/>
  <c r="AG468" i="5"/>
  <c r="AI468" i="5" s="1"/>
  <c r="AG231" i="5"/>
  <c r="AH231" i="5" s="1"/>
  <c r="AG41" i="5"/>
  <c r="AH41" i="5" s="1"/>
  <c r="AG407" i="5"/>
  <c r="AI407" i="5" s="1"/>
  <c r="AG242" i="5"/>
  <c r="AG251" i="5"/>
  <c r="AG170" i="5"/>
  <c r="AH170" i="5" s="1"/>
  <c r="AG100" i="5"/>
  <c r="AG373" i="5"/>
  <c r="AI373" i="5" s="1"/>
  <c r="AG277" i="5"/>
  <c r="AI277" i="5" s="1"/>
  <c r="AG115" i="5"/>
  <c r="AI115" i="5" s="1"/>
  <c r="AG204" i="5"/>
  <c r="AH204" i="5" s="1"/>
  <c r="AG433" i="5"/>
  <c r="AI433" i="5" s="1"/>
  <c r="AG57" i="5"/>
  <c r="AG334" i="5"/>
  <c r="AH334" i="5" s="1"/>
  <c r="AG249" i="5"/>
  <c r="AH249" i="5" s="1"/>
  <c r="AG275" i="5"/>
  <c r="AH275" i="5" s="1"/>
  <c r="AG198" i="5"/>
  <c r="AG116" i="5"/>
  <c r="AH116" i="5" s="1"/>
  <c r="AG445" i="5"/>
  <c r="AH445" i="5" s="1"/>
  <c r="AG266" i="5"/>
  <c r="AI266" i="5" s="1"/>
  <c r="AG122" i="5"/>
  <c r="AI122" i="5" s="1"/>
  <c r="AG555" i="5"/>
  <c r="AH555" i="5" s="1"/>
  <c r="AG393" i="5"/>
  <c r="AI393" i="5" s="1"/>
  <c r="AG537" i="5"/>
  <c r="AI537" i="5" s="1"/>
  <c r="AG414" i="5"/>
  <c r="AG59" i="5"/>
  <c r="AI59" i="5" s="1"/>
  <c r="AG490" i="5"/>
  <c r="AH490" i="5" s="1"/>
  <c r="AG308" i="5"/>
  <c r="AI308" i="5" s="1"/>
  <c r="AG139" i="5"/>
  <c r="AH139" i="5" s="1"/>
  <c r="AG254" i="5"/>
  <c r="AI254" i="5" s="1"/>
  <c r="AG76" i="5"/>
  <c r="AI76" i="5" s="1"/>
  <c r="AG423" i="5"/>
  <c r="AI423" i="5" s="1"/>
  <c r="AG349" i="5"/>
  <c r="AG167" i="5"/>
  <c r="AH167" i="5" s="1"/>
  <c r="AG39" i="5"/>
  <c r="AH39" i="5" s="1"/>
  <c r="AG489" i="5"/>
  <c r="AG145" i="5"/>
  <c r="AI145" i="5" s="1"/>
  <c r="AG482" i="5"/>
  <c r="AH482" i="5" s="1"/>
  <c r="AG366" i="5"/>
  <c r="AI366" i="5" s="1"/>
  <c r="AG195" i="5"/>
  <c r="AH195" i="5" s="1"/>
  <c r="AG311" i="5"/>
  <c r="AI311" i="5" s="1"/>
  <c r="AG156" i="5"/>
  <c r="AG465" i="5"/>
  <c r="AI465" i="5" s="1"/>
  <c r="AG367" i="5"/>
  <c r="AG230" i="5"/>
  <c r="AG74" i="5"/>
  <c r="AG471" i="5"/>
  <c r="AH471" i="5" s="1"/>
  <c r="AG161" i="5"/>
  <c r="AH161" i="5" s="1"/>
  <c r="AG500" i="5"/>
  <c r="AI500" i="5" s="1"/>
  <c r="AG317" i="5"/>
  <c r="AI317" i="5" s="1"/>
  <c r="AG35" i="5"/>
  <c r="AH35" i="5" s="1"/>
  <c r="AG374" i="5"/>
  <c r="AI374" i="5" s="1"/>
  <c r="AG111" i="5"/>
  <c r="AI111" i="5" s="1"/>
  <c r="AG33" i="5"/>
  <c r="AI33" i="5" s="1"/>
  <c r="AG469" i="5"/>
  <c r="AI469" i="5" s="1"/>
  <c r="AG279" i="5"/>
  <c r="AH279" i="5" s="1"/>
  <c r="AG137" i="5"/>
  <c r="AH137" i="5" s="1"/>
  <c r="AM365" i="5"/>
  <c r="AM258" i="5"/>
  <c r="AM133" i="5"/>
  <c r="AM348" i="5"/>
  <c r="AM445" i="5"/>
  <c r="AM93" i="5"/>
  <c r="AM540" i="5"/>
  <c r="AM508" i="5"/>
  <c r="AM362" i="5"/>
  <c r="AM234" i="5"/>
  <c r="AM370" i="5"/>
  <c r="AO370" i="5" s="1"/>
  <c r="AM530" i="5"/>
  <c r="AO530" i="5" s="1"/>
  <c r="AM285" i="5"/>
  <c r="AM332" i="5"/>
  <c r="AM525" i="5"/>
  <c r="AM189" i="5"/>
  <c r="AM105" i="5"/>
  <c r="AM69" i="5"/>
  <c r="AJ187" i="5"/>
  <c r="AJ307" i="5"/>
  <c r="T31" i="5"/>
  <c r="AJ521" i="5"/>
  <c r="AJ283" i="5"/>
  <c r="T51" i="5"/>
  <c r="AI518" i="5"/>
  <c r="AI207" i="5"/>
  <c r="AH83" i="5"/>
  <c r="T65" i="5"/>
  <c r="T308" i="5"/>
  <c r="T73" i="5"/>
  <c r="T75" i="5"/>
  <c r="AM549" i="5"/>
  <c r="AM409" i="5"/>
  <c r="AM113" i="5"/>
  <c r="AM347" i="5"/>
  <c r="AM500" i="5"/>
  <c r="AM485" i="5"/>
  <c r="AM334" i="5"/>
  <c r="AM238" i="5"/>
  <c r="AN238" i="5" s="1"/>
  <c r="AM29" i="5"/>
  <c r="AN29" i="5" s="1"/>
  <c r="AM426" i="5"/>
  <c r="AN426" i="5" s="1"/>
  <c r="AM322" i="5"/>
  <c r="AM53" i="5"/>
  <c r="AM454" i="5"/>
  <c r="AM286" i="5"/>
  <c r="AM186" i="5"/>
  <c r="AM62" i="5"/>
  <c r="AO62" i="5" s="1"/>
  <c r="AM493" i="5"/>
  <c r="AM222" i="5"/>
  <c r="AM492" i="5"/>
  <c r="AM326" i="5"/>
  <c r="AM68" i="5"/>
  <c r="AM487" i="5"/>
  <c r="AM496" i="5"/>
  <c r="AH377" i="5"/>
  <c r="AM263" i="5"/>
  <c r="AN263" i="5" s="1"/>
  <c r="AM554" i="5"/>
  <c r="AN554" i="5" s="1"/>
  <c r="AM243" i="5"/>
  <c r="AM388" i="5"/>
  <c r="AM520" i="5"/>
  <c r="AM346" i="5"/>
  <c r="AM173" i="5"/>
  <c r="AM550" i="5"/>
  <c r="AN550" i="5" s="1"/>
  <c r="AM458" i="5"/>
  <c r="AM298" i="5"/>
  <c r="AM38" i="5"/>
  <c r="AM484" i="5"/>
  <c r="AM389" i="5"/>
  <c r="AM204" i="5"/>
  <c r="AM28" i="5"/>
  <c r="AM397" i="5"/>
  <c r="AO397" i="5" s="1"/>
  <c r="AM141" i="5"/>
  <c r="AN141" i="5" s="1"/>
  <c r="AM394" i="5"/>
  <c r="AO394" i="5" s="1"/>
  <c r="AM161" i="5"/>
  <c r="AM431" i="5"/>
  <c r="AM495" i="5"/>
  <c r="AM359" i="5"/>
  <c r="AM546" i="5"/>
  <c r="AM24" i="5"/>
  <c r="AN24" i="5" s="1"/>
  <c r="AM457" i="5"/>
  <c r="AM129" i="5"/>
  <c r="AM211" i="5"/>
  <c r="AM410" i="5"/>
  <c r="AM270" i="5"/>
  <c r="AM430" i="5"/>
  <c r="AM58" i="5"/>
  <c r="AN58" i="5" s="1"/>
  <c r="AM198" i="5"/>
  <c r="AO198" i="5" s="1"/>
  <c r="AM31" i="5"/>
  <c r="AN31" i="5" s="1"/>
  <c r="AM72" i="5"/>
  <c r="AM289" i="5"/>
  <c r="AM155" i="5"/>
  <c r="AM83" i="5"/>
  <c r="AM299" i="5"/>
  <c r="AM396" i="5"/>
  <c r="AO396" i="5" s="1"/>
  <c r="AM434" i="5"/>
  <c r="AM306" i="5"/>
  <c r="AM122" i="5"/>
  <c r="AM437" i="5"/>
  <c r="AM354" i="5"/>
  <c r="AM282" i="5"/>
  <c r="AM26" i="5"/>
  <c r="AM462" i="5"/>
  <c r="AO462" i="5" s="1"/>
  <c r="AM293" i="5"/>
  <c r="AO293" i="5" s="1"/>
  <c r="AM205" i="5"/>
  <c r="AN205" i="5" s="1"/>
  <c r="AM42" i="5"/>
  <c r="AM374" i="5"/>
  <c r="AM149" i="5"/>
  <c r="AM422" i="5"/>
  <c r="AM194" i="5"/>
  <c r="AM311" i="5"/>
  <c r="AO311" i="5" s="1"/>
  <c r="AM175" i="5"/>
  <c r="AM32" i="5"/>
  <c r="AM465" i="5"/>
  <c r="AN465" i="5" s="1"/>
  <c r="AM145" i="5"/>
  <c r="AM324" i="5"/>
  <c r="AM556" i="5"/>
  <c r="AM438" i="5"/>
  <c r="AM61" i="5"/>
  <c r="AO61" i="5" s="1"/>
  <c r="AM418" i="5"/>
  <c r="AO418" i="5" s="1"/>
  <c r="AM514" i="5"/>
  <c r="AO514" i="5" s="1"/>
  <c r="AM157" i="5"/>
  <c r="AM423" i="5"/>
  <c r="AM128" i="5"/>
  <c r="AM225" i="5"/>
  <c r="AN225" i="5" s="1"/>
  <c r="AM369" i="5"/>
  <c r="AM450" i="5"/>
  <c r="AN450" i="5" s="1"/>
  <c r="AM506" i="5"/>
  <c r="AM262" i="5"/>
  <c r="AM109" i="5"/>
  <c r="AM536" i="5"/>
  <c r="AM349" i="5"/>
  <c r="AM261" i="5"/>
  <c r="AM372" i="5"/>
  <c r="AM412" i="5"/>
  <c r="AO412" i="5" s="1"/>
  <c r="AM404" i="5"/>
  <c r="AO404" i="5" s="1"/>
  <c r="AM162" i="5"/>
  <c r="AN162" i="5" s="1"/>
  <c r="AM552" i="5"/>
  <c r="AO552" i="5" s="1"/>
  <c r="AM413" i="5"/>
  <c r="AM85" i="5"/>
  <c r="AM340" i="5"/>
  <c r="AM197" i="5"/>
  <c r="AM447" i="5"/>
  <c r="AN447" i="5" s="1"/>
  <c r="AM383" i="5"/>
  <c r="AM360" i="5"/>
  <c r="AM48" i="5"/>
  <c r="AM435" i="5"/>
  <c r="AM130" i="5"/>
  <c r="AM302" i="5"/>
  <c r="AM228" i="5"/>
  <c r="AM444" i="5"/>
  <c r="AO444" i="5" s="1"/>
  <c r="AM136" i="5"/>
  <c r="AO136" i="5" s="1"/>
  <c r="AM185" i="5"/>
  <c r="AN185" i="5" s="1"/>
  <c r="AM131" i="5"/>
  <c r="AM195" i="5"/>
  <c r="AM281" i="5"/>
  <c r="AM169" i="5"/>
  <c r="AJ539" i="5"/>
  <c r="AL539" i="5" s="1"/>
  <c r="AM209" i="5"/>
  <c r="AN209" i="5" s="1"/>
  <c r="AM551" i="5"/>
  <c r="AM325" i="5"/>
  <c r="AM318" i="5"/>
  <c r="AM98" i="5"/>
  <c r="AM518" i="5"/>
  <c r="AM390" i="5"/>
  <c r="AM210" i="5"/>
  <c r="AM528" i="5"/>
  <c r="AN528" i="5" s="1"/>
  <c r="AM532" i="5"/>
  <c r="AM301" i="5"/>
  <c r="AO301" i="5" s="1"/>
  <c r="AM142" i="5"/>
  <c r="AN142" i="5" s="1"/>
  <c r="AM543" i="5"/>
  <c r="AM338" i="5"/>
  <c r="AM82" i="5"/>
  <c r="AM356" i="5"/>
  <c r="AM116" i="5"/>
  <c r="AN116" i="5" s="1"/>
  <c r="AI88" i="5"/>
  <c r="AM87" i="5"/>
  <c r="AM176" i="5"/>
  <c r="AM118" i="5"/>
  <c r="AM510" i="5"/>
  <c r="AM490" i="5"/>
  <c r="AM294" i="5"/>
  <c r="AM106" i="5"/>
  <c r="AN106" i="5" s="1"/>
  <c r="AM560" i="5"/>
  <c r="AO560" i="5" s="1"/>
  <c r="AM206" i="5"/>
  <c r="AO206" i="5" s="1"/>
  <c r="AM481" i="5"/>
  <c r="AM358" i="5"/>
  <c r="AM110" i="5"/>
  <c r="AM223" i="5"/>
  <c r="AM127" i="5"/>
  <c r="AM267" i="5"/>
  <c r="AO267" i="5" s="1"/>
  <c r="AM421" i="5"/>
  <c r="AM341" i="5"/>
  <c r="AM174" i="5"/>
  <c r="AM45" i="5"/>
  <c r="AM474" i="5"/>
  <c r="AM252" i="5"/>
  <c r="AN252" i="5" s="1"/>
  <c r="AM274" i="5"/>
  <c r="AM132" i="5"/>
  <c r="AN132" i="5" s="1"/>
  <c r="AM79" i="5"/>
  <c r="AH266" i="5"/>
  <c r="AM533" i="5"/>
  <c r="AN533" i="5" s="1"/>
  <c r="AM455" i="5"/>
  <c r="AM367" i="5"/>
  <c r="AM239" i="5"/>
  <c r="AN239" i="5" s="1"/>
  <c r="AM219" i="5"/>
  <c r="T167" i="5"/>
  <c r="U167" i="5" s="1"/>
  <c r="AM71" i="5"/>
  <c r="T153" i="5"/>
  <c r="T122" i="5"/>
  <c r="AM328" i="5"/>
  <c r="AM224" i="5"/>
  <c r="AM56" i="5"/>
  <c r="AN56" i="5" s="1"/>
  <c r="AH297" i="5"/>
  <c r="AM385" i="5"/>
  <c r="AO385" i="5" s="1"/>
  <c r="AM331" i="5"/>
  <c r="AM260" i="5"/>
  <c r="AN260" i="5" s="1"/>
  <c r="AM415" i="5"/>
  <c r="AM547" i="5"/>
  <c r="AM446" i="5"/>
  <c r="AM420" i="5"/>
  <c r="AO420" i="5" s="1"/>
  <c r="AM220" i="5"/>
  <c r="AM81" i="5"/>
  <c r="AO81" i="5" s="1"/>
  <c r="AM463" i="5"/>
  <c r="AM419" i="5"/>
  <c r="AM167" i="5"/>
  <c r="AM23" i="5"/>
  <c r="T198" i="5"/>
  <c r="T58" i="5"/>
  <c r="V58" i="5" s="1"/>
  <c r="AH526" i="5"/>
  <c r="AM232" i="5"/>
  <c r="AN232" i="5" s="1"/>
  <c r="AM296" i="5"/>
  <c r="AO296" i="5" s="1"/>
  <c r="AM168" i="5"/>
  <c r="AM8" i="5"/>
  <c r="AM276" i="5"/>
  <c r="AO276" i="5" s="1"/>
  <c r="AM39" i="5"/>
  <c r="AO39" i="5" s="1"/>
  <c r="AJ371" i="5"/>
  <c r="AK371" i="5" s="1"/>
  <c r="O12" i="5"/>
  <c r="AM477" i="5"/>
  <c r="AM314" i="5"/>
  <c r="AM125" i="5"/>
  <c r="AM505" i="5"/>
  <c r="AM406" i="5"/>
  <c r="AO406" i="5" s="1"/>
  <c r="AM249" i="5"/>
  <c r="AM221" i="5"/>
  <c r="AO221" i="5" s="1"/>
  <c r="AM70" i="5"/>
  <c r="AO70" i="5" s="1"/>
  <c r="AM537" i="5"/>
  <c r="AM335" i="5"/>
  <c r="AM287" i="5"/>
  <c r="AM199" i="5"/>
  <c r="AO199" i="5" s="1"/>
  <c r="AM47" i="5"/>
  <c r="AM103" i="5"/>
  <c r="AO103" i="5" s="1"/>
  <c r="T218" i="5"/>
  <c r="AM538" i="5"/>
  <c r="T184" i="5"/>
  <c r="AM40" i="5"/>
  <c r="AM88" i="5"/>
  <c r="AN88" i="5" s="1"/>
  <c r="AM137" i="5"/>
  <c r="AO137" i="5" s="1"/>
  <c r="AM451" i="5"/>
  <c r="AM259" i="5"/>
  <c r="AO259" i="5" s="1"/>
  <c r="AH122" i="5"/>
  <c r="AJ379" i="5"/>
  <c r="AM442" i="5"/>
  <c r="AO442" i="5" s="1"/>
  <c r="AM178" i="5"/>
  <c r="AM114" i="5"/>
  <c r="AN114" i="5" s="1"/>
  <c r="AM473" i="5"/>
  <c r="AM380" i="5"/>
  <c r="AM278" i="5"/>
  <c r="AM172" i="5"/>
  <c r="AM50" i="5"/>
  <c r="AM231" i="5"/>
  <c r="T219" i="5"/>
  <c r="U219" i="5" s="1"/>
  <c r="AM207" i="5"/>
  <c r="AO207" i="5" s="1"/>
  <c r="T111" i="5"/>
  <c r="T42" i="5"/>
  <c r="AM526" i="5"/>
  <c r="AM392" i="5"/>
  <c r="AM264" i="5"/>
  <c r="AN264" i="5" s="1"/>
  <c r="AM192" i="5"/>
  <c r="AM555" i="5"/>
  <c r="AN555" i="5" s="1"/>
  <c r="AM97" i="5"/>
  <c r="AN97" i="5" s="1"/>
  <c r="AM283" i="5"/>
  <c r="AN283" i="5" s="1"/>
  <c r="AI75" i="5"/>
  <c r="AM159" i="5"/>
  <c r="T23" i="5"/>
  <c r="U23" i="5" s="1"/>
  <c r="T71" i="5"/>
  <c r="AM111" i="5"/>
  <c r="AO111" i="5" s="1"/>
  <c r="T193" i="5"/>
  <c r="AM534" i="5"/>
  <c r="AN534" i="5" s="1"/>
  <c r="AM152" i="5"/>
  <c r="AO152" i="5" s="1"/>
  <c r="AM112" i="5"/>
  <c r="AM139" i="5"/>
  <c r="AH243" i="5"/>
  <c r="AI35" i="5"/>
  <c r="AM539" i="5"/>
  <c r="AM497" i="5"/>
  <c r="AN497" i="5" s="1"/>
  <c r="AM233" i="5"/>
  <c r="AM25" i="5"/>
  <c r="AO25" i="5" s="1"/>
  <c r="AM557" i="5"/>
  <c r="AO557" i="5" s="1"/>
  <c r="AM467" i="5"/>
  <c r="AO467" i="5" s="1"/>
  <c r="AM355" i="5"/>
  <c r="AO355" i="5" s="1"/>
  <c r="AM147" i="5"/>
  <c r="AN147" i="5" s="1"/>
  <c r="AM284" i="5"/>
  <c r="AN284" i="5" s="1"/>
  <c r="AM92" i="5"/>
  <c r="AI550" i="5"/>
  <c r="AM416" i="5"/>
  <c r="AN416" i="5" s="1"/>
  <c r="AI507" i="5"/>
  <c r="AH374" i="5"/>
  <c r="AI196" i="5"/>
  <c r="AM432" i="5"/>
  <c r="AN432" i="5" s="1"/>
  <c r="AM512" i="5"/>
  <c r="AM240" i="5"/>
  <c r="AO240" i="5" s="1"/>
  <c r="AM96" i="5"/>
  <c r="AM265" i="5"/>
  <c r="AO265" i="5" s="1"/>
  <c r="AM33" i="5"/>
  <c r="AN33" i="5" s="1"/>
  <c r="AM521" i="5"/>
  <c r="AN521" i="5" s="1"/>
  <c r="AM475" i="5"/>
  <c r="AO475" i="5" s="1"/>
  <c r="AM363" i="5"/>
  <c r="AO363" i="5" s="1"/>
  <c r="AM171" i="5"/>
  <c r="AM140" i="5"/>
  <c r="AO140" i="5" s="1"/>
  <c r="AM108" i="5"/>
  <c r="AM89" i="5"/>
  <c r="AJ51" i="5"/>
  <c r="AJ105" i="5"/>
  <c r="AL105" i="5" s="1"/>
  <c r="AM320" i="5"/>
  <c r="AM384" i="5"/>
  <c r="AO384" i="5" s="1"/>
  <c r="AM256" i="5"/>
  <c r="AN256" i="5" s="1"/>
  <c r="AM304" i="5"/>
  <c r="AO304" i="5" s="1"/>
  <c r="AM160" i="5"/>
  <c r="AM200" i="5"/>
  <c r="AM527" i="5"/>
  <c r="AM273" i="5"/>
  <c r="AO273" i="5" s="1"/>
  <c r="AM49" i="5"/>
  <c r="AN49" i="5" s="1"/>
  <c r="AM371" i="5"/>
  <c r="AN371" i="5" s="1"/>
  <c r="AM27" i="5"/>
  <c r="AM156" i="5"/>
  <c r="AH411" i="5"/>
  <c r="AM305" i="5"/>
  <c r="AN305" i="5" s="1"/>
  <c r="AM65" i="5"/>
  <c r="AO65" i="5" s="1"/>
  <c r="AM491" i="5"/>
  <c r="AN491" i="5" s="1"/>
  <c r="AM43" i="5"/>
  <c r="AO43" i="5" s="1"/>
  <c r="AM164" i="5"/>
  <c r="AN164" i="5" s="1"/>
  <c r="AM179" i="5"/>
  <c r="AO179" i="5" s="1"/>
  <c r="AJ273" i="5"/>
  <c r="AH549" i="5"/>
  <c r="AM312" i="5"/>
  <c r="AM433" i="5"/>
  <c r="AN433" i="5" s="1"/>
  <c r="AM313" i="5"/>
  <c r="AM73" i="5"/>
  <c r="AM427" i="5"/>
  <c r="AM499" i="5"/>
  <c r="AM51" i="5"/>
  <c r="AM212" i="5"/>
  <c r="AN212" i="5" s="1"/>
  <c r="AM343" i="5"/>
  <c r="AG43" i="5"/>
  <c r="AG191" i="5"/>
  <c r="AG431" i="5"/>
  <c r="AG329" i="5"/>
  <c r="AG263" i="5"/>
  <c r="AG331" i="5"/>
  <c r="AG342" i="5"/>
  <c r="AG541" i="5"/>
  <c r="AG150" i="5"/>
  <c r="AG95" i="5"/>
  <c r="AG241" i="5"/>
  <c r="AG399" i="5"/>
  <c r="AG52" i="5"/>
  <c r="AG388" i="5"/>
  <c r="AG430" i="5"/>
  <c r="AG325" i="5"/>
  <c r="AG543" i="5"/>
  <c r="AG53" i="5"/>
  <c r="AG369" i="5"/>
  <c r="B29" i="2"/>
  <c r="B25" i="2"/>
  <c r="B27" i="2"/>
  <c r="B23" i="2"/>
  <c r="B20" i="2"/>
  <c r="T90" i="5"/>
  <c r="T168" i="5"/>
  <c r="T132" i="5"/>
  <c r="T165" i="5"/>
  <c r="T189" i="5"/>
  <c r="AJ225" i="5"/>
  <c r="AK225" i="5" s="1"/>
  <c r="T143" i="5"/>
  <c r="V143" i="5" s="1"/>
  <c r="T103" i="5"/>
  <c r="U103" i="5" s="1"/>
  <c r="T217" i="5"/>
  <c r="T110" i="5"/>
  <c r="T277" i="5"/>
  <c r="T124" i="5"/>
  <c r="T46" i="5"/>
  <c r="U46" i="5" s="1"/>
  <c r="T158" i="5"/>
  <c r="T102" i="5"/>
  <c r="U102" i="5" s="1"/>
  <c r="T240" i="5"/>
  <c r="T200" i="5"/>
  <c r="AI307" i="5"/>
  <c r="T255" i="5"/>
  <c r="T220" i="5"/>
  <c r="U220" i="5" s="1"/>
  <c r="T97" i="5"/>
  <c r="U97" i="5" s="1"/>
  <c r="T213" i="5"/>
  <c r="U213" i="5" s="1"/>
  <c r="T108" i="5"/>
  <c r="U108" i="5" s="1"/>
  <c r="B43" i="5"/>
  <c r="T163" i="5"/>
  <c r="T81" i="5"/>
  <c r="T128" i="5"/>
  <c r="T48" i="5"/>
  <c r="U48" i="5" s="1"/>
  <c r="AI203" i="5"/>
  <c r="T99" i="5"/>
  <c r="U99" i="5" s="1"/>
  <c r="AH32" i="5"/>
  <c r="T127" i="5"/>
  <c r="T202" i="5"/>
  <c r="T78" i="5"/>
  <c r="T157" i="5"/>
  <c r="T60" i="5"/>
  <c r="U60" i="5" s="1"/>
  <c r="T238" i="5"/>
  <c r="U238" i="5" s="1"/>
  <c r="T178" i="5"/>
  <c r="V178" i="5" s="1"/>
  <c r="T77" i="5"/>
  <c r="V77" i="5" s="1"/>
  <c r="T144" i="5"/>
  <c r="T216" i="5"/>
  <c r="T96" i="5"/>
  <c r="T147" i="5"/>
  <c r="U147" i="5" s="1"/>
  <c r="AJ227" i="5"/>
  <c r="AK227" i="5" s="1"/>
  <c r="AH483" i="5"/>
  <c r="AH353" i="5"/>
  <c r="T179" i="5"/>
  <c r="T49" i="5"/>
  <c r="T197" i="5"/>
  <c r="T68" i="5"/>
  <c r="T234" i="5"/>
  <c r="U234" i="5" s="1"/>
  <c r="T148" i="5"/>
  <c r="T54" i="5"/>
  <c r="U54" i="5" s="1"/>
  <c r="AH409" i="5"/>
  <c r="AM163" i="5"/>
  <c r="AO163" i="5" s="1"/>
  <c r="AM488" i="5"/>
  <c r="AN488" i="5" s="1"/>
  <c r="AI187" i="5"/>
  <c r="AH115" i="5"/>
  <c r="T278" i="5"/>
  <c r="U278" i="5" s="1"/>
  <c r="T145" i="5"/>
  <c r="U145" i="5" s="1"/>
  <c r="T45" i="5"/>
  <c r="V45" i="5" s="1"/>
  <c r="T182" i="5"/>
  <c r="U182" i="5" s="1"/>
  <c r="T62" i="5"/>
  <c r="T209" i="5"/>
  <c r="T116" i="5"/>
  <c r="T29" i="5"/>
  <c r="T104" i="5"/>
  <c r="U104" i="5" s="1"/>
  <c r="AH215" i="5"/>
  <c r="T534" i="5"/>
  <c r="U534" i="5" s="1"/>
  <c r="T136" i="5"/>
  <c r="U136" i="5" s="1"/>
  <c r="AH358" i="5"/>
  <c r="AH446" i="5"/>
  <c r="T175" i="5"/>
  <c r="T257" i="5"/>
  <c r="V257" i="5" s="1"/>
  <c r="T129" i="5"/>
  <c r="V129" i="5" s="1"/>
  <c r="T21" i="5"/>
  <c r="U21" i="5" s="1"/>
  <c r="T86" i="5"/>
  <c r="V86" i="5" s="1"/>
  <c r="T20" i="5"/>
  <c r="T164" i="5"/>
  <c r="T113" i="5"/>
  <c r="T120" i="5"/>
  <c r="T40" i="5"/>
  <c r="V40" i="5" s="1"/>
  <c r="T72" i="5"/>
  <c r="AM504" i="5"/>
  <c r="AN504" i="5" s="1"/>
  <c r="AH151" i="5"/>
  <c r="B59" i="2"/>
  <c r="K26" i="2"/>
  <c r="B67" i="2"/>
  <c r="M26" i="2"/>
  <c r="B63" i="2"/>
  <c r="L26" i="2"/>
  <c r="AI490" i="5"/>
  <c r="AI185" i="5"/>
  <c r="AH478" i="5"/>
  <c r="AI478" i="5"/>
  <c r="AH73" i="5"/>
  <c r="AI73" i="5"/>
  <c r="AH60" i="5"/>
  <c r="AI309" i="5"/>
  <c r="AI362" i="5"/>
  <c r="AH362" i="5"/>
  <c r="AI279" i="5"/>
  <c r="AJ43" i="5"/>
  <c r="AJ147" i="5"/>
  <c r="B43" i="2"/>
  <c r="K35" i="2"/>
  <c r="AI193" i="5"/>
  <c r="AH193" i="5"/>
  <c r="AI303" i="5"/>
  <c r="AH303" i="5"/>
  <c r="AH395" i="5"/>
  <c r="AI395" i="5"/>
  <c r="AI107" i="5"/>
  <c r="AI116" i="5"/>
  <c r="AH213" i="5"/>
  <c r="AI213" i="5"/>
  <c r="AH86" i="5"/>
  <c r="AI86" i="5"/>
  <c r="AI102" i="5"/>
  <c r="AH468" i="5"/>
  <c r="AH532" i="5"/>
  <c r="AI532" i="5"/>
  <c r="AJ153" i="5"/>
  <c r="AL153" i="5" s="1"/>
  <c r="AJ169" i="5"/>
  <c r="AK169" i="5" s="1"/>
  <c r="AM64" i="5"/>
  <c r="AO64" i="5" s="1"/>
  <c r="AI235" i="5"/>
  <c r="AH235" i="5"/>
  <c r="AI539" i="5"/>
  <c r="AH539" i="5"/>
  <c r="AH357" i="5"/>
  <c r="AI357" i="5"/>
  <c r="AI114" i="5"/>
  <c r="AI253" i="5"/>
  <c r="AI559" i="5"/>
  <c r="AH537" i="5"/>
  <c r="L35" i="2"/>
  <c r="AI197" i="5"/>
  <c r="AH423" i="5"/>
  <c r="AI106" i="5"/>
  <c r="AH349" i="5"/>
  <c r="AI349" i="5"/>
  <c r="AH391" i="5"/>
  <c r="AH489" i="5"/>
  <c r="AI489" i="5"/>
  <c r="AM80" i="5"/>
  <c r="AO80" i="5" s="1"/>
  <c r="AH289" i="5"/>
  <c r="AH242" i="5"/>
  <c r="AI242" i="5"/>
  <c r="AH108" i="5"/>
  <c r="AI179" i="5"/>
  <c r="AH179" i="5"/>
  <c r="AH415" i="5"/>
  <c r="AJ483" i="5"/>
  <c r="AL483" i="5" s="1"/>
  <c r="AI231" i="5"/>
  <c r="AM472" i="5"/>
  <c r="T176" i="5"/>
  <c r="AI57" i="5"/>
  <c r="AH57" i="5"/>
  <c r="AH220" i="5"/>
  <c r="AI220" i="5"/>
  <c r="AH198" i="5"/>
  <c r="AI198" i="5"/>
  <c r="AH156" i="5"/>
  <c r="AI156" i="5"/>
  <c r="AH343" i="5"/>
  <c r="AI343" i="5"/>
  <c r="AH465" i="5"/>
  <c r="AI155" i="5"/>
  <c r="AO97" i="5"/>
  <c r="AM352" i="5"/>
  <c r="AO352" i="5" s="1"/>
  <c r="AH169" i="5"/>
  <c r="AI169" i="5"/>
  <c r="AI228" i="5"/>
  <c r="AH228" i="5"/>
  <c r="AH502" i="5"/>
  <c r="AI502" i="5"/>
  <c r="AH63" i="5"/>
  <c r="AI63" i="5"/>
  <c r="AI501" i="5"/>
  <c r="AH501" i="5"/>
  <c r="AI171" i="5"/>
  <c r="AH171" i="5"/>
  <c r="AH401" i="5"/>
  <c r="AI401" i="5"/>
  <c r="AH467" i="5"/>
  <c r="AI467" i="5"/>
  <c r="AH385" i="5"/>
  <c r="AI385" i="5"/>
  <c r="AH62" i="5"/>
  <c r="AI62" i="5"/>
  <c r="Q554" i="5"/>
  <c r="S554" i="5" s="1"/>
  <c r="Q312" i="5"/>
  <c r="S312" i="5" s="1"/>
  <c r="K35" i="5"/>
  <c r="W184" i="5"/>
  <c r="X184" i="5" s="1"/>
  <c r="W451" i="5"/>
  <c r="Y451" i="5" s="1"/>
  <c r="W319" i="5"/>
  <c r="Y319" i="5" s="1"/>
  <c r="Q344" i="5"/>
  <c r="R344" i="5" s="1"/>
  <c r="Q304" i="5"/>
  <c r="R304" i="5" s="1"/>
  <c r="W78" i="5"/>
  <c r="Y78" i="5" s="1"/>
  <c r="Q534" i="5"/>
  <c r="Q48" i="5"/>
  <c r="S48" i="5" s="1"/>
  <c r="Q320" i="5"/>
  <c r="S320" i="5" s="1"/>
  <c r="Q392" i="5"/>
  <c r="S392" i="5" s="1"/>
  <c r="Q400" i="5"/>
  <c r="S400" i="5" s="1"/>
  <c r="Q488" i="5"/>
  <c r="S488" i="5" s="1"/>
  <c r="Q8" i="5"/>
  <c r="R8" i="5" s="1"/>
  <c r="Q440" i="5"/>
  <c r="S440" i="5" s="1"/>
  <c r="Q200" i="5"/>
  <c r="Q72" i="5"/>
  <c r="S72" i="5" s="1"/>
  <c r="W301" i="5"/>
  <c r="X301" i="5" s="1"/>
  <c r="Q526" i="5"/>
  <c r="R526" i="5" s="1"/>
  <c r="Q456" i="5"/>
  <c r="S456" i="5" s="1"/>
  <c r="Q208" i="5"/>
  <c r="R208" i="5" s="1"/>
  <c r="Q512" i="5"/>
  <c r="S512" i="5" s="1"/>
  <c r="Q144" i="5"/>
  <c r="R144" i="5" s="1"/>
  <c r="B49" i="5"/>
  <c r="W272" i="5"/>
  <c r="W74" i="5"/>
  <c r="Y74" i="5" s="1"/>
  <c r="Q432" i="5"/>
  <c r="S432" i="5" s="1"/>
  <c r="Q168" i="5"/>
  <c r="S168" i="5" s="1"/>
  <c r="Q104" i="5"/>
  <c r="R104" i="5" s="1"/>
  <c r="Q448" i="5"/>
  <c r="R448" i="5" s="1"/>
  <c r="Q480" i="5"/>
  <c r="R480" i="5" s="1"/>
  <c r="Q384" i="5"/>
  <c r="S384" i="5" s="1"/>
  <c r="Q224" i="5"/>
  <c r="R224" i="5" s="1"/>
  <c r="Q152" i="5"/>
  <c r="S152" i="5" s="1"/>
  <c r="Q56" i="5"/>
  <c r="R56" i="5" s="1"/>
  <c r="Q112" i="5"/>
  <c r="R112" i="5" s="1"/>
  <c r="Q538" i="5"/>
  <c r="S538" i="5" s="1"/>
  <c r="Q496" i="5"/>
  <c r="S496" i="5" s="1"/>
  <c r="Q256" i="5"/>
  <c r="S256" i="5" s="1"/>
  <c r="Q120" i="5"/>
  <c r="R120" i="5" s="1"/>
  <c r="Q216" i="5"/>
  <c r="S216" i="5" s="1"/>
  <c r="Q80" i="5"/>
  <c r="S80" i="5" s="1"/>
  <c r="Q424" i="5"/>
  <c r="S424" i="5" s="1"/>
  <c r="Q464" i="5"/>
  <c r="S464" i="5" s="1"/>
  <c r="Q352" i="5"/>
  <c r="S352" i="5" s="1"/>
  <c r="Q264" i="5"/>
  <c r="S264" i="5" s="1"/>
  <c r="Q176" i="5"/>
  <c r="Q546" i="5"/>
  <c r="Q472" i="5"/>
  <c r="S472" i="5" s="1"/>
  <c r="Q416" i="5"/>
  <c r="R416" i="5" s="1"/>
  <c r="Q272" i="5"/>
  <c r="R272" i="5" s="1"/>
  <c r="Q40" i="5"/>
  <c r="S40" i="5" s="1"/>
  <c r="W515" i="5"/>
  <c r="Y515" i="5" s="1"/>
  <c r="W55" i="5"/>
  <c r="X55" i="5" s="1"/>
  <c r="W557" i="5"/>
  <c r="W453" i="5"/>
  <c r="Y453" i="5" s="1"/>
  <c r="W270" i="5"/>
  <c r="Y270" i="5" s="1"/>
  <c r="W100" i="5"/>
  <c r="Y100" i="5" s="1"/>
  <c r="W341" i="5"/>
  <c r="Y341" i="5" s="1"/>
  <c r="W375" i="5"/>
  <c r="Y375" i="5" s="1"/>
  <c r="W26" i="5"/>
  <c r="X26" i="5" s="1"/>
  <c r="Q296" i="5"/>
  <c r="R296" i="5" s="1"/>
  <c r="Q328" i="5"/>
  <c r="S328" i="5" s="1"/>
  <c r="Q360" i="5"/>
  <c r="S360" i="5" s="1"/>
  <c r="Q232" i="5"/>
  <c r="S232" i="5" s="1"/>
  <c r="Q128" i="5"/>
  <c r="R128" i="5" s="1"/>
  <c r="W160" i="5"/>
  <c r="Y160" i="5" s="1"/>
  <c r="Q184" i="5"/>
  <c r="S184" i="5" s="1"/>
  <c r="W24" i="5"/>
  <c r="Y24" i="5" s="1"/>
  <c r="Q64" i="5"/>
  <c r="R64" i="5" s="1"/>
  <c r="Q88" i="5"/>
  <c r="S88" i="5" s="1"/>
  <c r="W66" i="5"/>
  <c r="Y66" i="5" s="1"/>
  <c r="W281" i="5"/>
  <c r="X281" i="5" s="1"/>
  <c r="W28" i="5"/>
  <c r="X28" i="5" s="1"/>
  <c r="W490" i="5"/>
  <c r="X490" i="5" s="1"/>
  <c r="W372" i="5"/>
  <c r="Y372" i="5" s="1"/>
  <c r="W102" i="5"/>
  <c r="Y102" i="5" s="1"/>
  <c r="W86" i="5"/>
  <c r="Y86" i="5" s="1"/>
  <c r="W331" i="5"/>
  <c r="W441" i="5"/>
  <c r="X441" i="5" s="1"/>
  <c r="W204" i="5"/>
  <c r="Y204" i="5" s="1"/>
  <c r="W260" i="5"/>
  <c r="X260" i="5" s="1"/>
  <c r="W399" i="5"/>
  <c r="Y399" i="5" s="1"/>
  <c r="W492" i="5"/>
  <c r="X492" i="5" s="1"/>
  <c r="Q336" i="5"/>
  <c r="S336" i="5" s="1"/>
  <c r="Q368" i="5"/>
  <c r="Q408" i="5"/>
  <c r="S408" i="5" s="1"/>
  <c r="Q240" i="5"/>
  <c r="R240" i="5" s="1"/>
  <c r="Q280" i="5"/>
  <c r="S280" i="5" s="1"/>
  <c r="W136" i="5"/>
  <c r="Y136" i="5" s="1"/>
  <c r="Q160" i="5"/>
  <c r="S160" i="5" s="1"/>
  <c r="W192" i="5"/>
  <c r="Y192" i="5" s="1"/>
  <c r="Q24" i="5"/>
  <c r="S24" i="5" s="1"/>
  <c r="W282" i="5"/>
  <c r="W323" i="5"/>
  <c r="X323" i="5" s="1"/>
  <c r="W135" i="5"/>
  <c r="X135" i="5" s="1"/>
  <c r="W439" i="5"/>
  <c r="X439" i="5" s="1"/>
  <c r="W501" i="5"/>
  <c r="Y501" i="5" s="1"/>
  <c r="W210" i="5"/>
  <c r="Y210" i="5" s="1"/>
  <c r="W259" i="5"/>
  <c r="Y259" i="5" s="1"/>
  <c r="W98" i="5"/>
  <c r="X98" i="5" s="1"/>
  <c r="W110" i="5"/>
  <c r="W291" i="5"/>
  <c r="X291" i="5" s="1"/>
  <c r="W139" i="5"/>
  <c r="X139" i="5" s="1"/>
  <c r="W159" i="5"/>
  <c r="X159" i="5" s="1"/>
  <c r="W382" i="5"/>
  <c r="X382" i="5" s="1"/>
  <c r="W216" i="5"/>
  <c r="X216" i="5" s="1"/>
  <c r="W472" i="5"/>
  <c r="Y472" i="5" s="1"/>
  <c r="Q504" i="5"/>
  <c r="S504" i="5" s="1"/>
  <c r="Q376" i="5"/>
  <c r="Q248" i="5"/>
  <c r="R248" i="5" s="1"/>
  <c r="Q288" i="5"/>
  <c r="S288" i="5" s="1"/>
  <c r="Q136" i="5"/>
  <c r="R136" i="5" s="1"/>
  <c r="W168" i="5"/>
  <c r="Y168" i="5" s="1"/>
  <c r="Q192" i="5"/>
  <c r="S192" i="5" s="1"/>
  <c r="Q32" i="5"/>
  <c r="S32" i="5" s="1"/>
  <c r="W72" i="5"/>
  <c r="X72" i="5" s="1"/>
  <c r="W262" i="5"/>
  <c r="W29" i="5"/>
  <c r="Y29" i="5" s="1"/>
  <c r="W62" i="5"/>
  <c r="Y62" i="5" s="1"/>
  <c r="W365" i="5"/>
  <c r="X365" i="5" s="1"/>
  <c r="W497" i="5"/>
  <c r="Y497" i="5" s="1"/>
  <c r="W183" i="5"/>
  <c r="Y183" i="5" s="1"/>
  <c r="W239" i="5"/>
  <c r="X239" i="5" s="1"/>
  <c r="W334" i="5"/>
  <c r="Y334" i="5" s="1"/>
  <c r="W243" i="5"/>
  <c r="Y243" i="5" s="1"/>
  <c r="W212" i="5"/>
  <c r="W521" i="5"/>
  <c r="X521" i="5" s="1"/>
  <c r="W51" i="5"/>
  <c r="X51" i="5" s="1"/>
  <c r="W330" i="5"/>
  <c r="X330" i="5" s="1"/>
  <c r="W526" i="5"/>
  <c r="X526" i="5" s="1"/>
  <c r="W333" i="5"/>
  <c r="Y333" i="5" s="1"/>
  <c r="W321" i="5"/>
  <c r="X321" i="5" s="1"/>
  <c r="W481" i="5"/>
  <c r="Y481" i="5" s="1"/>
  <c r="W405" i="5"/>
  <c r="W65" i="5"/>
  <c r="X65" i="5" s="1"/>
  <c r="W274" i="5"/>
  <c r="Y274" i="5" s="1"/>
  <c r="W305" i="5"/>
  <c r="X305" i="5" s="1"/>
  <c r="W101" i="5"/>
  <c r="X101" i="5" s="1"/>
  <c r="W467" i="5"/>
  <c r="X467" i="5" s="1"/>
  <c r="W60" i="5"/>
  <c r="Y60" i="5" s="1"/>
  <c r="W366" i="5"/>
  <c r="W290" i="5"/>
  <c r="W189" i="5"/>
  <c r="X189" i="5" s="1"/>
  <c r="W554" i="5"/>
  <c r="X554" i="5" s="1"/>
  <c r="W80" i="5"/>
  <c r="X80" i="5" s="1"/>
  <c r="W75" i="5"/>
  <c r="X75" i="5" s="1"/>
  <c r="W438" i="5"/>
  <c r="Y438" i="5" s="1"/>
  <c r="W386" i="5"/>
  <c r="X386" i="5" s="1"/>
  <c r="W132" i="5"/>
  <c r="W343" i="5"/>
  <c r="W237" i="5"/>
  <c r="X237" i="5" s="1"/>
  <c r="W181" i="5"/>
  <c r="X181" i="5" s="1"/>
  <c r="W71" i="5"/>
  <c r="Y71" i="5" s="1"/>
  <c r="W422" i="5"/>
  <c r="X422" i="5" s="1"/>
  <c r="W197" i="5"/>
  <c r="X197" i="5" s="1"/>
  <c r="W549" i="5"/>
  <c r="Y549" i="5" s="1"/>
  <c r="W293" i="5"/>
  <c r="X293" i="5" s="1"/>
  <c r="W403" i="5"/>
  <c r="X161" i="5"/>
  <c r="W392" i="5"/>
  <c r="Y392" i="5" s="1"/>
  <c r="W394" i="5"/>
  <c r="Y394" i="5" s="1"/>
  <c r="W358" i="5"/>
  <c r="Y358" i="5" s="1"/>
  <c r="W517" i="5"/>
  <c r="X517" i="5" s="1"/>
  <c r="W125" i="5"/>
  <c r="W551" i="5"/>
  <c r="Y551" i="5" s="1"/>
  <c r="W106" i="5"/>
  <c r="X106" i="5" s="1"/>
  <c r="W255" i="5"/>
  <c r="X255" i="5" s="1"/>
  <c r="W436" i="5"/>
  <c r="X436" i="5" s="1"/>
  <c r="W535" i="5"/>
  <c r="Y535" i="5" s="1"/>
  <c r="W340" i="5"/>
  <c r="Y340" i="5" s="1"/>
  <c r="W154" i="5"/>
  <c r="W435" i="5"/>
  <c r="W158" i="5"/>
  <c r="X158" i="5" s="1"/>
  <c r="W27" i="5"/>
  <c r="Y27" i="5" s="1"/>
  <c r="W122" i="5"/>
  <c r="W348" i="5"/>
  <c r="Y348" i="5" s="1"/>
  <c r="W510" i="5"/>
  <c r="X510" i="5" s="1"/>
  <c r="W68" i="5"/>
  <c r="W507" i="5"/>
  <c r="Y507" i="5" s="1"/>
  <c r="W454" i="5"/>
  <c r="X454" i="5" s="1"/>
  <c r="W531" i="5"/>
  <c r="X531" i="5" s="1"/>
  <c r="W449" i="5"/>
  <c r="Y449" i="5" s="1"/>
  <c r="W267" i="5"/>
  <c r="X267" i="5" s="1"/>
  <c r="W177" i="5"/>
  <c r="Y177" i="5" s="1"/>
  <c r="W299" i="5"/>
  <c r="Y299" i="5" s="1"/>
  <c r="W351" i="5"/>
  <c r="Y351" i="5" s="1"/>
  <c r="W536" i="5"/>
  <c r="Y536" i="5" s="1"/>
  <c r="S19" i="4"/>
  <c r="AL19" i="4" s="1"/>
  <c r="S27" i="4"/>
  <c r="AL27" i="4" s="1"/>
  <c r="S35" i="4"/>
  <c r="AL35" i="4" s="1"/>
  <c r="S43" i="4"/>
  <c r="AL43" i="4" s="1"/>
  <c r="S51" i="4"/>
  <c r="AL51" i="4" s="1"/>
  <c r="S60" i="4"/>
  <c r="AL60" i="4" s="1"/>
  <c r="S134" i="4"/>
  <c r="AL134" i="4" s="1"/>
  <c r="S98" i="4"/>
  <c r="U98" i="4" s="1"/>
  <c r="S65" i="4"/>
  <c r="AL65" i="4" s="1"/>
  <c r="S92" i="4"/>
  <c r="AL92" i="4" s="1"/>
  <c r="S123" i="4"/>
  <c r="AL123" i="4" s="1"/>
  <c r="S149" i="4"/>
  <c r="AL149" i="4" s="1"/>
  <c r="S91" i="4"/>
  <c r="AL91" i="4" s="1"/>
  <c r="S133" i="4"/>
  <c r="AS133" i="4" s="1"/>
  <c r="S145" i="4"/>
  <c r="AL145" i="4" s="1"/>
  <c r="S138" i="4"/>
  <c r="AL138" i="4" s="1"/>
  <c r="S113" i="4"/>
  <c r="AL113" i="4" s="1"/>
  <c r="S89" i="4"/>
  <c r="AL89" i="4" s="1"/>
  <c r="S7" i="4"/>
  <c r="AL7" i="4" s="1"/>
  <c r="S58" i="4"/>
  <c r="AL58" i="4" s="1"/>
  <c r="S122" i="4"/>
  <c r="AL122" i="4" s="1"/>
  <c r="S73" i="4"/>
  <c r="V73" i="4" s="1"/>
  <c r="AM73" i="4" s="1"/>
  <c r="S20" i="4"/>
  <c r="AL20" i="4" s="1"/>
  <c r="S28" i="4"/>
  <c r="AL28" i="4" s="1"/>
  <c r="S36" i="4"/>
  <c r="AL36" i="4" s="1"/>
  <c r="S44" i="4"/>
  <c r="AL44" i="4" s="1"/>
  <c r="S52" i="4"/>
  <c r="AL52" i="4" s="1"/>
  <c r="S67" i="4"/>
  <c r="AL67" i="4" s="1"/>
  <c r="S68" i="4"/>
  <c r="AL68" i="4" s="1"/>
  <c r="S102" i="4"/>
  <c r="AL102" i="4" s="1"/>
  <c r="S66" i="4"/>
  <c r="AL66" i="4" s="1"/>
  <c r="S96" i="4"/>
  <c r="AL96" i="4" s="1"/>
  <c r="S124" i="4"/>
  <c r="AL124" i="4" s="1"/>
  <c r="S153" i="4"/>
  <c r="AL153" i="4" s="1"/>
  <c r="S95" i="4"/>
  <c r="AL95" i="4" s="1"/>
  <c r="S77" i="4"/>
  <c r="V77" i="4" s="1"/>
  <c r="S156" i="4"/>
  <c r="AL156" i="4" s="1"/>
  <c r="S141" i="4"/>
  <c r="AS141" i="4" s="1"/>
  <c r="S117" i="4"/>
  <c r="AL117" i="4" s="1"/>
  <c r="S108" i="4"/>
  <c r="AL108" i="4" s="1"/>
  <c r="S50" i="4"/>
  <c r="AL50" i="4" s="1"/>
  <c r="S88" i="4"/>
  <c r="AL88" i="4" s="1"/>
  <c r="S118" i="4"/>
  <c r="U118" i="4" s="1"/>
  <c r="S15" i="4"/>
  <c r="AL15" i="4" s="1"/>
  <c r="S21" i="4"/>
  <c r="S29" i="4"/>
  <c r="AL29" i="4" s="1"/>
  <c r="S37" i="4"/>
  <c r="AL37" i="4" s="1"/>
  <c r="S45" i="4"/>
  <c r="AL45" i="4" s="1"/>
  <c r="S53" i="4"/>
  <c r="AL53" i="4" s="1"/>
  <c r="S62" i="4"/>
  <c r="U62" i="4" s="1"/>
  <c r="S74" i="4"/>
  <c r="AL74" i="4" s="1"/>
  <c r="S109" i="4"/>
  <c r="AL109" i="4" s="1"/>
  <c r="S71" i="4"/>
  <c r="AL71" i="4" s="1"/>
  <c r="S100" i="4"/>
  <c r="AL100" i="4" s="1"/>
  <c r="S125" i="4"/>
  <c r="AL125" i="4" s="1"/>
  <c r="S8" i="4"/>
  <c r="AL8" i="4" s="1"/>
  <c r="S103" i="4"/>
  <c r="AL103" i="4" s="1"/>
  <c r="S93" i="4"/>
  <c r="AL93" i="4" s="1"/>
  <c r="S9" i="4"/>
  <c r="AL9" i="4" s="1"/>
  <c r="S152" i="4"/>
  <c r="AL152" i="4" s="1"/>
  <c r="S147" i="4"/>
  <c r="AL147" i="4" s="1"/>
  <c r="S116" i="4"/>
  <c r="AL116" i="4" s="1"/>
  <c r="S26" i="4"/>
  <c r="AL26" i="4" s="1"/>
  <c r="S130" i="4"/>
  <c r="U130" i="4" s="1"/>
  <c r="S83" i="4"/>
  <c r="AL83" i="4" s="1"/>
  <c r="S101" i="4"/>
  <c r="S63" i="4"/>
  <c r="AL63" i="4" s="1"/>
  <c r="S22" i="4"/>
  <c r="AL22" i="4" s="1"/>
  <c r="S30" i="4"/>
  <c r="AL30" i="4" s="1"/>
  <c r="S38" i="4"/>
  <c r="AL38" i="4" s="1"/>
  <c r="S46" i="4"/>
  <c r="AL46" i="4" s="1"/>
  <c r="S54" i="4"/>
  <c r="AL54" i="4" s="1"/>
  <c r="S69" i="4"/>
  <c r="AL69" i="4" s="1"/>
  <c r="S78" i="4"/>
  <c r="AL78" i="4" s="1"/>
  <c r="S110" i="4"/>
  <c r="AL110" i="4" s="1"/>
  <c r="S72" i="4"/>
  <c r="AL72" i="4" s="1"/>
  <c r="S105" i="4"/>
  <c r="V105" i="4" s="1"/>
  <c r="S126" i="4"/>
  <c r="AL126" i="4" s="1"/>
  <c r="S61" i="4"/>
  <c r="AL61" i="4" s="1"/>
  <c r="S104" i="4"/>
  <c r="AL104" i="4" s="1"/>
  <c r="S107" i="4"/>
  <c r="AL107" i="4" s="1"/>
  <c r="S10" i="4"/>
  <c r="AS10" i="4" s="1"/>
  <c r="S155" i="4"/>
  <c r="AS155" i="4" s="1"/>
  <c r="S148" i="4"/>
  <c r="AL148" i="4" s="1"/>
  <c r="S143" i="4"/>
  <c r="U143" i="4" s="1"/>
  <c r="S18" i="4"/>
  <c r="AL18" i="4" s="1"/>
  <c r="S94" i="4"/>
  <c r="S132" i="4"/>
  <c r="S64" i="4"/>
  <c r="AL64" i="4" s="1"/>
  <c r="S23" i="4"/>
  <c r="AL23" i="4" s="1"/>
  <c r="S31" i="4"/>
  <c r="AL31" i="4" s="1"/>
  <c r="S39" i="4"/>
  <c r="AL39" i="4" s="1"/>
  <c r="S47" i="4"/>
  <c r="AL47" i="4" s="1"/>
  <c r="S55" i="4"/>
  <c r="AL55" i="4" s="1"/>
  <c r="S87" i="4"/>
  <c r="AL87" i="4" s="1"/>
  <c r="S82" i="4"/>
  <c r="AL82" i="4" s="1"/>
  <c r="S119" i="4"/>
  <c r="AL119" i="4" s="1"/>
  <c r="S76" i="4"/>
  <c r="AL76" i="4" s="1"/>
  <c r="S106" i="4"/>
  <c r="AL106" i="4" s="1"/>
  <c r="S135" i="4"/>
  <c r="AL135" i="4" s="1"/>
  <c r="S70" i="4"/>
  <c r="AL70" i="4" s="1"/>
  <c r="S111" i="4"/>
  <c r="AL111" i="4" s="1"/>
  <c r="S115" i="4"/>
  <c r="AL115" i="4" s="1"/>
  <c r="S81" i="4"/>
  <c r="AL81" i="4" s="1"/>
  <c r="S13" i="4"/>
  <c r="AL13" i="4" s="1"/>
  <c r="S151" i="4"/>
  <c r="AL151" i="4" s="1"/>
  <c r="S146" i="4"/>
  <c r="AL146" i="4" s="1"/>
  <c r="S42" i="4"/>
  <c r="AL42" i="4" s="1"/>
  <c r="S144" i="4"/>
  <c r="AL144" i="4" s="1"/>
  <c r="S11" i="4"/>
  <c r="AL11" i="4" s="1"/>
  <c r="S16" i="4"/>
  <c r="AL16" i="4" s="1"/>
  <c r="S24" i="4"/>
  <c r="AL24" i="4" s="1"/>
  <c r="S32" i="4"/>
  <c r="AL32" i="4" s="1"/>
  <c r="S40" i="4"/>
  <c r="AL40" i="4" s="1"/>
  <c r="S48" i="4"/>
  <c r="AL48" i="4" s="1"/>
  <c r="S56" i="4"/>
  <c r="AL56" i="4" s="1"/>
  <c r="S99" i="4"/>
  <c r="AL99" i="4" s="1"/>
  <c r="S86" i="4"/>
  <c r="AL86" i="4" s="1"/>
  <c r="S128" i="4"/>
  <c r="AL128" i="4" s="1"/>
  <c r="S80" i="4"/>
  <c r="AL80" i="4" s="1"/>
  <c r="S112" i="4"/>
  <c r="AL112" i="4" s="1"/>
  <c r="S139" i="4"/>
  <c r="AL139" i="4" s="1"/>
  <c r="S75" i="4"/>
  <c r="AL75" i="4" s="1"/>
  <c r="S129" i="4"/>
  <c r="AL129" i="4" s="1"/>
  <c r="S127" i="4"/>
  <c r="AL127" i="4" s="1"/>
  <c r="S97" i="4"/>
  <c r="AL97" i="4" s="1"/>
  <c r="S14" i="4"/>
  <c r="AL14" i="4" s="1"/>
  <c r="S154" i="4"/>
  <c r="AL154" i="4" s="1"/>
  <c r="S150" i="4"/>
  <c r="AL150" i="4" s="1"/>
  <c r="S17" i="4"/>
  <c r="AL17" i="4" s="1"/>
  <c r="S25" i="4"/>
  <c r="AL25" i="4" s="1"/>
  <c r="S33" i="4"/>
  <c r="AL33" i="4" s="1"/>
  <c r="S41" i="4"/>
  <c r="AL41" i="4" s="1"/>
  <c r="S49" i="4"/>
  <c r="AL49" i="4" s="1"/>
  <c r="S57" i="4"/>
  <c r="AL57" i="4" s="1"/>
  <c r="S120" i="4"/>
  <c r="AL120" i="4" s="1"/>
  <c r="S90" i="4"/>
  <c r="AL90" i="4" s="1"/>
  <c r="S137" i="4"/>
  <c r="AL137" i="4" s="1"/>
  <c r="S84" i="4"/>
  <c r="V84" i="4" s="1"/>
  <c r="S121" i="4"/>
  <c r="AL121" i="4" s="1"/>
  <c r="S140" i="4"/>
  <c r="V140" i="4" s="1"/>
  <c r="S79" i="4"/>
  <c r="S131" i="4"/>
  <c r="AL131" i="4" s="1"/>
  <c r="S136" i="4"/>
  <c r="AL136" i="4" s="1"/>
  <c r="S114" i="4"/>
  <c r="AL114" i="4" s="1"/>
  <c r="S85" i="4"/>
  <c r="AL85" i="4" s="1"/>
  <c r="S12" i="4"/>
  <c r="AL12" i="4" s="1"/>
  <c r="S157" i="4"/>
  <c r="V157" i="4" s="1"/>
  <c r="S34" i="4"/>
  <c r="S59" i="4"/>
  <c r="S142" i="4"/>
  <c r="AL142" i="4" s="1"/>
  <c r="W546" i="5"/>
  <c r="Y546" i="5" s="1"/>
  <c r="W424" i="5"/>
  <c r="X424" i="5" s="1"/>
  <c r="W448" i="5"/>
  <c r="X448" i="5" s="1"/>
  <c r="W496" i="5"/>
  <c r="Y496" i="5" s="1"/>
  <c r="W320" i="5"/>
  <c r="X320" i="5" s="1"/>
  <c r="W344" i="5"/>
  <c r="Y344" i="5" s="1"/>
  <c r="W368" i="5"/>
  <c r="Y368" i="5" s="1"/>
  <c r="W312" i="5"/>
  <c r="X312" i="5" s="1"/>
  <c r="W48" i="5"/>
  <c r="X48" i="5" s="1"/>
  <c r="W96" i="5"/>
  <c r="Y96" i="5" s="1"/>
  <c r="W553" i="5"/>
  <c r="Y553" i="5" s="1"/>
  <c r="W220" i="5"/>
  <c r="X220" i="5" s="1"/>
  <c r="W89" i="5"/>
  <c r="Y89" i="5" s="1"/>
  <c r="W218" i="5"/>
  <c r="Y218" i="5" s="1"/>
  <c r="W324" i="5"/>
  <c r="Y324" i="5" s="1"/>
  <c r="W390" i="5"/>
  <c r="Y390" i="5" s="1"/>
  <c r="W425" i="5"/>
  <c r="X425" i="5" s="1"/>
  <c r="W361" i="5"/>
  <c r="X361" i="5" s="1"/>
  <c r="W362" i="5"/>
  <c r="X362" i="5" s="1"/>
  <c r="W67" i="5"/>
  <c r="X67" i="5" s="1"/>
  <c r="W105" i="5"/>
  <c r="X105" i="5" s="1"/>
  <c r="W503" i="5"/>
  <c r="X503" i="5" s="1"/>
  <c r="W494" i="5"/>
  <c r="X494" i="5" s="1"/>
  <c r="W58" i="5"/>
  <c r="Y58" i="5" s="1"/>
  <c r="W552" i="5"/>
  <c r="Y552" i="5" s="1"/>
  <c r="W332" i="5"/>
  <c r="X332" i="5" s="1"/>
  <c r="W93" i="5"/>
  <c r="X93" i="5" s="1"/>
  <c r="W476" i="5"/>
  <c r="Y476" i="5" s="1"/>
  <c r="W478" i="5"/>
  <c r="Y478" i="5" s="1"/>
  <c r="W164" i="5"/>
  <c r="Y164" i="5" s="1"/>
  <c r="W474" i="5"/>
  <c r="Y474" i="5" s="1"/>
  <c r="W273" i="5"/>
  <c r="Y273" i="5" s="1"/>
  <c r="W244" i="5"/>
  <c r="Y244" i="5" s="1"/>
  <c r="W129" i="5"/>
  <c r="Y129" i="5" s="1"/>
  <c r="W163" i="5"/>
  <c r="X163" i="5" s="1"/>
  <c r="W167" i="5"/>
  <c r="W318" i="5"/>
  <c r="X318" i="5" s="1"/>
  <c r="W310" i="5"/>
  <c r="Y310" i="5" s="1"/>
  <c r="W44" i="5"/>
  <c r="Y44" i="5" s="1"/>
  <c r="W233" i="5"/>
  <c r="X233" i="5" s="1"/>
  <c r="W36" i="5"/>
  <c r="Y36" i="5" s="1"/>
  <c r="W82" i="5"/>
  <c r="X82" i="5" s="1"/>
  <c r="W428" i="5"/>
  <c r="Y428" i="5" s="1"/>
  <c r="W471" i="5"/>
  <c r="Y471" i="5" s="1"/>
  <c r="W21" i="5"/>
  <c r="Y21" i="5" s="1"/>
  <c r="W559" i="5"/>
  <c r="Y559" i="5" s="1"/>
  <c r="W410" i="5"/>
  <c r="X410" i="5" s="1"/>
  <c r="W222" i="5"/>
  <c r="Y222" i="5" s="1"/>
  <c r="W254" i="5"/>
  <c r="Y254" i="5" s="1"/>
  <c r="W130" i="5"/>
  <c r="X130" i="5" s="1"/>
  <c r="W235" i="5"/>
  <c r="W377" i="5"/>
  <c r="W461" i="5"/>
  <c r="W207" i="5"/>
  <c r="Y207" i="5" s="1"/>
  <c r="W408" i="5"/>
  <c r="X408" i="5" s="1"/>
  <c r="W47" i="5"/>
  <c r="W77" i="5"/>
  <c r="X77" i="5" s="1"/>
  <c r="W307" i="5"/>
  <c r="W445" i="5"/>
  <c r="Y445" i="5" s="1"/>
  <c r="W429" i="5"/>
  <c r="X429" i="5" s="1"/>
  <c r="W185" i="5"/>
  <c r="X185" i="5" s="1"/>
  <c r="W423" i="5"/>
  <c r="X423" i="5" s="1"/>
  <c r="W442" i="5"/>
  <c r="Y442" i="5" s="1"/>
  <c r="W248" i="5"/>
  <c r="Y248" i="5" s="1"/>
  <c r="W456" i="5"/>
  <c r="W504" i="5"/>
  <c r="Y504" i="5" s="1"/>
  <c r="W376" i="5"/>
  <c r="X376" i="5" s="1"/>
  <c r="W400" i="5"/>
  <c r="Y400" i="5" s="1"/>
  <c r="W224" i="5"/>
  <c r="Y224" i="5" s="1"/>
  <c r="W256" i="5"/>
  <c r="Y256" i="5" s="1"/>
  <c r="W288" i="5"/>
  <c r="X288" i="5" s="1"/>
  <c r="W120" i="5"/>
  <c r="X120" i="5" s="1"/>
  <c r="W56" i="5"/>
  <c r="W104" i="5"/>
  <c r="Y104" i="5" s="1"/>
  <c r="W148" i="5"/>
  <c r="X148" i="5" s="1"/>
  <c r="W491" i="5"/>
  <c r="Y491" i="5" s="1"/>
  <c r="W322" i="5"/>
  <c r="Y322" i="5" s="1"/>
  <c r="W114" i="5"/>
  <c r="Y114" i="5" s="1"/>
  <c r="W347" i="5"/>
  <c r="Y347" i="5" s="1"/>
  <c r="W378" i="5"/>
  <c r="X378" i="5" s="1"/>
  <c r="W528" i="5"/>
  <c r="Y528" i="5" s="1"/>
  <c r="W508" i="5"/>
  <c r="Y508" i="5" s="1"/>
  <c r="W327" i="5"/>
  <c r="Y327" i="5" s="1"/>
  <c r="W271" i="5"/>
  <c r="X271" i="5" s="1"/>
  <c r="W37" i="5"/>
  <c r="X37" i="5" s="1"/>
  <c r="W356" i="5"/>
  <c r="X356" i="5" s="1"/>
  <c r="W409" i="5"/>
  <c r="Y409" i="5" s="1"/>
  <c r="W530" i="5"/>
  <c r="X530" i="5" s="1"/>
  <c r="W269" i="5"/>
  <c r="W206" i="5"/>
  <c r="Y206" i="5" s="1"/>
  <c r="W20" i="5"/>
  <c r="X20" i="5" s="1"/>
  <c r="W300" i="5"/>
  <c r="Y300" i="5" s="1"/>
  <c r="W393" i="5"/>
  <c r="Y393" i="5" s="1"/>
  <c r="W34" i="5"/>
  <c r="Y34" i="5" s="1"/>
  <c r="W391" i="5"/>
  <c r="X391" i="5" s="1"/>
  <c r="W373" i="5"/>
  <c r="W145" i="5"/>
  <c r="X145" i="5" s="1"/>
  <c r="W178" i="5"/>
  <c r="Y178" i="5" s="1"/>
  <c r="W458" i="5"/>
  <c r="X458" i="5" s="1"/>
  <c r="W511" i="5"/>
  <c r="Y511" i="5" s="1"/>
  <c r="W134" i="5"/>
  <c r="X134" i="5" s="1"/>
  <c r="W236" i="5"/>
  <c r="X236" i="5" s="1"/>
  <c r="W411" i="5"/>
  <c r="X411" i="5" s="1"/>
  <c r="W278" i="5"/>
  <c r="Y278" i="5" s="1"/>
  <c r="W311" i="5"/>
  <c r="Y311" i="5" s="1"/>
  <c r="W39" i="5"/>
  <c r="X39" i="5" s="1"/>
  <c r="W261" i="5"/>
  <c r="Y261" i="5" s="1"/>
  <c r="W473" i="5"/>
  <c r="X473" i="5" s="1"/>
  <c r="W475" i="5"/>
  <c r="Y475" i="5" s="1"/>
  <c r="W430" i="5"/>
  <c r="X430" i="5" s="1"/>
  <c r="W45" i="5"/>
  <c r="X45" i="5" s="1"/>
  <c r="W174" i="5"/>
  <c r="Y174" i="5" s="1"/>
  <c r="W195" i="5"/>
  <c r="Y195" i="5" s="1"/>
  <c r="W505" i="5"/>
  <c r="Y505" i="5" s="1"/>
  <c r="W69" i="5"/>
  <c r="X69" i="5" s="1"/>
  <c r="W172" i="5"/>
  <c r="X172" i="5" s="1"/>
  <c r="W297" i="5"/>
  <c r="X297" i="5" s="1"/>
  <c r="W523" i="5"/>
  <c r="X523" i="5" s="1"/>
  <c r="W257" i="5"/>
  <c r="Y257" i="5" s="1"/>
  <c r="W258" i="5"/>
  <c r="Y258" i="5" s="1"/>
  <c r="W53" i="5"/>
  <c r="X53" i="5" s="1"/>
  <c r="W406" i="5"/>
  <c r="Y406" i="5" s="1"/>
  <c r="W213" i="5"/>
  <c r="X213" i="5" s="1"/>
  <c r="W460" i="5"/>
  <c r="X460" i="5" s="1"/>
  <c r="W46" i="5"/>
  <c r="X46" i="5" s="1"/>
  <c r="W268" i="5"/>
  <c r="X268" i="5" s="1"/>
  <c r="B40" i="5"/>
  <c r="W32" i="5"/>
  <c r="Y32" i="5" s="1"/>
  <c r="W432" i="5"/>
  <c r="Y432" i="5" s="1"/>
  <c r="W480" i="5"/>
  <c r="X480" i="5" s="1"/>
  <c r="W328" i="5"/>
  <c r="Y328" i="5" s="1"/>
  <c r="W144" i="5"/>
  <c r="X144" i="5" s="1"/>
  <c r="W200" i="5"/>
  <c r="Y200" i="5" s="1"/>
  <c r="W522" i="5"/>
  <c r="Y522" i="5" s="1"/>
  <c r="W283" i="5"/>
  <c r="Y283" i="5" s="1"/>
  <c r="W326" i="5"/>
  <c r="X326" i="5" s="1"/>
  <c r="W111" i="5"/>
  <c r="Y111" i="5" s="1"/>
  <c r="W149" i="5"/>
  <c r="Y149" i="5" s="1"/>
  <c r="W396" i="5"/>
  <c r="X396" i="5" s="1"/>
  <c r="W518" i="5"/>
  <c r="Y518" i="5" s="1"/>
  <c r="W294" i="5"/>
  <c r="X294" i="5" s="1"/>
  <c r="W306" i="5"/>
  <c r="Y306" i="5" s="1"/>
  <c r="W81" i="5"/>
  <c r="X81" i="5" s="1"/>
  <c r="W289" i="5"/>
  <c r="X289" i="5" s="1"/>
  <c r="W367" i="5"/>
  <c r="Y367" i="5" s="1"/>
  <c r="W401" i="5"/>
  <c r="X401" i="5" s="1"/>
  <c r="W292" i="5"/>
  <c r="Y292" i="5" s="1"/>
  <c r="W415" i="5"/>
  <c r="X415" i="5" s="1"/>
  <c r="W91" i="5"/>
  <c r="Y91" i="5" s="1"/>
  <c r="W265" i="5"/>
  <c r="X265" i="5" s="1"/>
  <c r="W346" i="5"/>
  <c r="X346" i="5" s="1"/>
  <c r="W387" i="5"/>
  <c r="Y387" i="5" s="1"/>
  <c r="W308" i="5"/>
  <c r="X308" i="5" s="1"/>
  <c r="W190" i="5"/>
  <c r="X190" i="5" s="1"/>
  <c r="W109" i="5"/>
  <c r="X109" i="5" s="1"/>
  <c r="W117" i="5"/>
  <c r="Y117" i="5" s="1"/>
  <c r="W443" i="5"/>
  <c r="X443" i="5" s="1"/>
  <c r="W483" i="5"/>
  <c r="Y483" i="5" s="1"/>
  <c r="W49" i="5"/>
  <c r="W459" i="5"/>
  <c r="W285" i="5"/>
  <c r="W242" i="5"/>
  <c r="X242" i="5" s="1"/>
  <c r="W263" i="5"/>
  <c r="Y263" i="5" s="1"/>
  <c r="W95" i="5"/>
  <c r="Y95" i="5" s="1"/>
  <c r="W298" i="5"/>
  <c r="Y298" i="5" s="1"/>
  <c r="W371" i="5"/>
  <c r="X371" i="5" s="1"/>
  <c r="W97" i="5"/>
  <c r="X97" i="5" s="1"/>
  <c r="W253" i="5"/>
  <c r="X253" i="5" s="1"/>
  <c r="W214" i="5"/>
  <c r="X214" i="5" s="1"/>
  <c r="W113" i="5"/>
  <c r="W166" i="5"/>
  <c r="Y166" i="5" s="1"/>
  <c r="W389" i="5"/>
  <c r="X389" i="5" s="1"/>
  <c r="W468" i="5"/>
  <c r="Y468" i="5" s="1"/>
  <c r="W115" i="5"/>
  <c r="X115" i="5" s="1"/>
  <c r="W520" i="5"/>
  <c r="X520" i="5" s="1"/>
  <c r="W506" i="5"/>
  <c r="X506" i="5" s="1"/>
  <c r="W193" i="5"/>
  <c r="W221" i="5"/>
  <c r="X221" i="5" s="1"/>
  <c r="W108" i="5"/>
  <c r="Y108" i="5" s="1"/>
  <c r="W313" i="5"/>
  <c r="Y313" i="5" s="1"/>
  <c r="W226" i="5"/>
  <c r="Y226" i="5" s="1"/>
  <c r="W479" i="5"/>
  <c r="W50" i="5"/>
  <c r="W275" i="5"/>
  <c r="Y275" i="5" s="1"/>
  <c r="W342" i="5"/>
  <c r="X342" i="5" s="1"/>
  <c r="W352" i="5"/>
  <c r="X352" i="5" s="1"/>
  <c r="W534" i="5"/>
  <c r="Y534" i="5" s="1"/>
  <c r="W264" i="5"/>
  <c r="X264" i="5" s="1"/>
  <c r="W176" i="5"/>
  <c r="X176" i="5" s="1"/>
  <c r="W64" i="5"/>
  <c r="Y64" i="5" s="1"/>
  <c r="W112" i="5"/>
  <c r="W537" i="5"/>
  <c r="Y537" i="5" s="1"/>
  <c r="W126" i="5"/>
  <c r="X126" i="5" s="1"/>
  <c r="W544" i="5"/>
  <c r="X544" i="5" s="1"/>
  <c r="W107" i="5"/>
  <c r="X107" i="5" s="1"/>
  <c r="W314" i="5"/>
  <c r="X314" i="5" s="1"/>
  <c r="W338" i="5"/>
  <c r="Y338" i="5" s="1"/>
  <c r="W170" i="5"/>
  <c r="Y170" i="5" s="1"/>
  <c r="W201" i="5"/>
  <c r="Y201" i="5" s="1"/>
  <c r="W198" i="5"/>
  <c r="Y198" i="5" s="1"/>
  <c r="W286" i="5"/>
  <c r="X286" i="5" s="1"/>
  <c r="W140" i="5"/>
  <c r="Y140" i="5" s="1"/>
  <c r="W196" i="5"/>
  <c r="X196" i="5" s="1"/>
  <c r="W302" i="5"/>
  <c r="Y302" i="5" s="1"/>
  <c r="W431" i="5"/>
  <c r="Y431" i="5" s="1"/>
  <c r="W76" i="5"/>
  <c r="X76" i="5" s="1"/>
  <c r="W59" i="5"/>
  <c r="X59" i="5" s="1"/>
  <c r="W179" i="5"/>
  <c r="X179" i="5" s="1"/>
  <c r="W231" i="5"/>
  <c r="Y231" i="5" s="1"/>
  <c r="W251" i="5"/>
  <c r="X251" i="5" s="1"/>
  <c r="W498" i="5"/>
  <c r="Y498" i="5" s="1"/>
  <c r="W43" i="5"/>
  <c r="Y43" i="5" s="1"/>
  <c r="W303" i="5"/>
  <c r="Y303" i="5" s="1"/>
  <c r="W54" i="5"/>
  <c r="X54" i="5" s="1"/>
  <c r="W84" i="5"/>
  <c r="X84" i="5" s="1"/>
  <c r="W465" i="5"/>
  <c r="Y465" i="5" s="1"/>
  <c r="W450" i="5"/>
  <c r="X450" i="5" s="1"/>
  <c r="W246" i="5"/>
  <c r="X246" i="5" s="1"/>
  <c r="W539" i="5"/>
  <c r="X539" i="5" s="1"/>
  <c r="W329" i="5"/>
  <c r="Y329" i="5" s="1"/>
  <c r="W228" i="5"/>
  <c r="Y228" i="5" s="1"/>
  <c r="W232" i="5"/>
  <c r="Y232" i="5" s="1"/>
  <c r="W191" i="5"/>
  <c r="Y191" i="5" s="1"/>
  <c r="W287" i="5"/>
  <c r="X287" i="5" s="1"/>
  <c r="W412" i="5"/>
  <c r="Y412" i="5" s="1"/>
  <c r="W407" i="5"/>
  <c r="X407" i="5" s="1"/>
  <c r="W309" i="5"/>
  <c r="Y309" i="5" s="1"/>
  <c r="W525" i="5"/>
  <c r="Y525" i="5" s="1"/>
  <c r="W63" i="5"/>
  <c r="X63" i="5" s="1"/>
  <c r="W121" i="5"/>
  <c r="X121" i="5" s="1"/>
  <c r="W402" i="5"/>
  <c r="X402" i="5" s="1"/>
  <c r="W433" i="5"/>
  <c r="X433" i="5" s="1"/>
  <c r="W35" i="5"/>
  <c r="X35" i="5" s="1"/>
  <c r="W560" i="5"/>
  <c r="Y560" i="5" s="1"/>
  <c r="W381" i="5"/>
  <c r="X381" i="5" s="1"/>
  <c r="W187" i="5"/>
  <c r="X187" i="5" s="1"/>
  <c r="W245" i="5"/>
  <c r="X245" i="5" s="1"/>
  <c r="W241" i="5"/>
  <c r="X241" i="5" s="1"/>
  <c r="W238" i="5"/>
  <c r="X238" i="5" s="1"/>
  <c r="W119" i="5"/>
  <c r="X119" i="5" s="1"/>
  <c r="W276" i="5"/>
  <c r="Y276" i="5" s="1"/>
  <c r="W141" i="5"/>
  <c r="X141" i="5" s="1"/>
  <c r="W414" i="5"/>
  <c r="Y414" i="5" s="1"/>
  <c r="V98" i="4"/>
  <c r="W98" i="4" s="1"/>
  <c r="Y98" i="4" s="1"/>
  <c r="W208" i="5"/>
  <c r="X208" i="5" s="1"/>
  <c r="W538" i="5"/>
  <c r="Y538" i="5" s="1"/>
  <c r="W440" i="5"/>
  <c r="X440" i="5" s="1"/>
  <c r="W464" i="5"/>
  <c r="X464" i="5" s="1"/>
  <c r="W336" i="5"/>
  <c r="X336" i="5" s="1"/>
  <c r="W384" i="5"/>
  <c r="X384" i="5" s="1"/>
  <c r="W296" i="5"/>
  <c r="X296" i="5" s="1"/>
  <c r="W128" i="5"/>
  <c r="Y128" i="5" s="1"/>
  <c r="W40" i="5"/>
  <c r="Y40" i="5" s="1"/>
  <c r="W88" i="5"/>
  <c r="Y88" i="5" s="1"/>
  <c r="W79" i="5"/>
  <c r="Y79" i="5" s="1"/>
  <c r="W543" i="5"/>
  <c r="X543" i="5" s="1"/>
  <c r="W355" i="5"/>
  <c r="Y355" i="5" s="1"/>
  <c r="W444" i="5"/>
  <c r="X444" i="5" s="1"/>
  <c r="W153" i="5"/>
  <c r="X153" i="5" s="1"/>
  <c r="W25" i="5"/>
  <c r="Y25" i="5" s="1"/>
  <c r="W38" i="5"/>
  <c r="X38" i="5" s="1"/>
  <c r="W165" i="5"/>
  <c r="Y165" i="5" s="1"/>
  <c r="W175" i="5"/>
  <c r="X175" i="5" s="1"/>
  <c r="W542" i="5"/>
  <c r="X542" i="5" s="1"/>
  <c r="W143" i="5"/>
  <c r="X143" i="5" s="1"/>
  <c r="W225" i="5"/>
  <c r="X225" i="5" s="1"/>
  <c r="W99" i="5"/>
  <c r="X99" i="5" s="1"/>
  <c r="W500" i="5"/>
  <c r="X500" i="5" s="1"/>
  <c r="W247" i="5"/>
  <c r="Y247" i="5" s="1"/>
  <c r="W532" i="5"/>
  <c r="Y532" i="5" s="1"/>
  <c r="W92" i="5"/>
  <c r="X92" i="5" s="1"/>
  <c r="W229" i="5"/>
  <c r="Y229" i="5" s="1"/>
  <c r="W123" i="5"/>
  <c r="Y123" i="5" s="1"/>
  <c r="W457" i="5"/>
  <c r="Y457" i="5" s="1"/>
  <c r="W359" i="5"/>
  <c r="X359" i="5" s="1"/>
  <c r="W350" i="5"/>
  <c r="X350" i="5" s="1"/>
  <c r="W52" i="5"/>
  <c r="Y52" i="5" s="1"/>
  <c r="W349" i="5"/>
  <c r="Y349" i="5" s="1"/>
  <c r="W487" i="5"/>
  <c r="X487" i="5" s="1"/>
  <c r="W466" i="5"/>
  <c r="Y466" i="5" s="1"/>
  <c r="W469" i="5"/>
  <c r="X469" i="5" s="1"/>
  <c r="W94" i="5"/>
  <c r="Y94" i="5" s="1"/>
  <c r="W173" i="5"/>
  <c r="X173" i="5" s="1"/>
  <c r="W219" i="5"/>
  <c r="X219" i="5" s="1"/>
  <c r="W23" i="5"/>
  <c r="Y23" i="5" s="1"/>
  <c r="W169" i="5"/>
  <c r="X169" i="5" s="1"/>
  <c r="W279" i="5"/>
  <c r="X279" i="5" s="1"/>
  <c r="W486" i="5"/>
  <c r="X486" i="5" s="1"/>
  <c r="W19" i="5"/>
  <c r="Y19" i="5" s="1"/>
  <c r="W419" i="5"/>
  <c r="X419" i="5" s="1"/>
  <c r="W61" i="5"/>
  <c r="Y61" i="5" s="1"/>
  <c r="W90" i="5"/>
  <c r="X90" i="5" s="1"/>
  <c r="W426" i="5"/>
  <c r="Y426" i="5" s="1"/>
  <c r="W417" i="5"/>
  <c r="X417" i="5" s="1"/>
  <c r="W252" i="5"/>
  <c r="X252" i="5" s="1"/>
  <c r="W462" i="5"/>
  <c r="Y462" i="5" s="1"/>
  <c r="W211" i="5"/>
  <c r="X211" i="5" s="1"/>
  <c r="W162" i="5"/>
  <c r="X162" i="5" s="1"/>
  <c r="W205" i="5"/>
  <c r="W548" i="5"/>
  <c r="Y548" i="5" s="1"/>
  <c r="W147" i="5"/>
  <c r="W388" i="5"/>
  <c r="Y388" i="5" s="1"/>
  <c r="W249" i="5"/>
  <c r="Y249" i="5" s="1"/>
  <c r="W397" i="5"/>
  <c r="X397" i="5" s="1"/>
  <c r="W556" i="5"/>
  <c r="X556" i="5" s="1"/>
  <c r="W527" i="5"/>
  <c r="X527" i="5" s="1"/>
  <c r="W152" i="5"/>
  <c r="X152" i="5" s="1"/>
  <c r="W280" i="5"/>
  <c r="Y280" i="5" s="1"/>
  <c r="W488" i="5"/>
  <c r="Y488" i="5" s="1"/>
  <c r="W512" i="5"/>
  <c r="Y512" i="5" s="1"/>
  <c r="W360" i="5"/>
  <c r="X360" i="5" s="1"/>
  <c r="W416" i="5"/>
  <c r="X416" i="5" s="1"/>
  <c r="W240" i="5"/>
  <c r="Y240" i="5" s="1"/>
  <c r="W304" i="5"/>
  <c r="Y304" i="5" s="1"/>
  <c r="W8" i="5"/>
  <c r="X8" i="5" s="1"/>
  <c r="W317" i="5"/>
  <c r="X317" i="5" s="1"/>
  <c r="W30" i="5"/>
  <c r="X30" i="5" s="1"/>
  <c r="W277" i="5"/>
  <c r="X277" i="5" s="1"/>
  <c r="W385" i="5"/>
  <c r="X385" i="5" s="1"/>
  <c r="W150" i="5"/>
  <c r="X150" i="5" s="1"/>
  <c r="W250" i="5"/>
  <c r="X250" i="5" s="1"/>
  <c r="W142" i="5"/>
  <c r="X142" i="5" s="1"/>
  <c r="W182" i="5"/>
  <c r="X182" i="5" s="1"/>
  <c r="W133" i="5"/>
  <c r="Y133" i="5" s="1"/>
  <c r="W151" i="5"/>
  <c r="Y151" i="5" s="1"/>
  <c r="W519" i="5"/>
  <c r="Y519" i="5" s="1"/>
  <c r="W477" i="5"/>
  <c r="Y477" i="5" s="1"/>
  <c r="W171" i="5"/>
  <c r="W398" i="5"/>
  <c r="Y398" i="5" s="1"/>
  <c r="W489" i="5"/>
  <c r="W124" i="5"/>
  <c r="Y124" i="5" s="1"/>
  <c r="W485" i="5"/>
  <c r="X485" i="5" s="1"/>
  <c r="W541" i="5"/>
  <c r="Y541" i="5" s="1"/>
  <c r="W137" i="5"/>
  <c r="Y137" i="5" s="1"/>
  <c r="W354" i="5"/>
  <c r="Y354" i="5" s="1"/>
  <c r="W447" i="5"/>
  <c r="Y447" i="5" s="1"/>
  <c r="W295" i="5"/>
  <c r="Y295" i="5" s="1"/>
  <c r="W325" i="5"/>
  <c r="W33" i="5"/>
  <c r="X33" i="5" s="1"/>
  <c r="W357" i="5"/>
  <c r="X357" i="5" s="1"/>
  <c r="W380" i="5"/>
  <c r="X380" i="5" s="1"/>
  <c r="W85" i="5"/>
  <c r="Y85" i="5" s="1"/>
  <c r="W369" i="5"/>
  <c r="X369" i="5" s="1"/>
  <c r="W524" i="5"/>
  <c r="X524" i="5" s="1"/>
  <c r="W127" i="5"/>
  <c r="W180" i="5"/>
  <c r="X180" i="5" s="1"/>
  <c r="W547" i="5"/>
  <c r="W22" i="5"/>
  <c r="X22" i="5" s="1"/>
  <c r="W209" i="5"/>
  <c r="X209" i="5" s="1"/>
  <c r="W223" i="5"/>
  <c r="Y223" i="5" s="1"/>
  <c r="W558" i="5"/>
  <c r="X558" i="5" s="1"/>
  <c r="W316" i="5"/>
  <c r="Y316" i="5" s="1"/>
  <c r="W413" i="5"/>
  <c r="Y413" i="5" s="1"/>
  <c r="W57" i="5"/>
  <c r="X57" i="5" s="1"/>
  <c r="W421" i="5"/>
  <c r="X421" i="5" s="1"/>
  <c r="W463" i="5"/>
  <c r="X463" i="5" s="1"/>
  <c r="W540" i="5"/>
  <c r="Y540" i="5" s="1"/>
  <c r="W353" i="5"/>
  <c r="X353" i="5" s="1"/>
  <c r="W337" i="5"/>
  <c r="X337" i="5" s="1"/>
  <c r="W157" i="5"/>
  <c r="X157" i="5" s="1"/>
  <c r="W156" i="5"/>
  <c r="Y156" i="5" s="1"/>
  <c r="W437" i="5"/>
  <c r="X437" i="5" s="1"/>
  <c r="W31" i="5"/>
  <c r="Y31" i="5" s="1"/>
  <c r="W452" i="5"/>
  <c r="W234" i="5"/>
  <c r="Y234" i="5" s="1"/>
  <c r="W266" i="5"/>
  <c r="W370" i="5"/>
  <c r="W230" i="5"/>
  <c r="U69" i="4"/>
  <c r="AQ134" i="4"/>
  <c r="W383" i="5"/>
  <c r="X383" i="5" s="1"/>
  <c r="O9" i="5"/>
  <c r="W533" i="5"/>
  <c r="Y533" i="5" s="1"/>
  <c r="W395" i="5"/>
  <c r="Y395" i="5" s="1"/>
  <c r="W199" i="5"/>
  <c r="X199" i="5" s="1"/>
  <c r="W215" i="5"/>
  <c r="Y215" i="5" s="1"/>
  <c r="W493" i="5"/>
  <c r="X493" i="5" s="1"/>
  <c r="W116" i="5"/>
  <c r="X116" i="5" s="1"/>
  <c r="W315" i="5"/>
  <c r="W345" i="5"/>
  <c r="W404" i="5"/>
  <c r="W499" i="5"/>
  <c r="AQ141" i="4"/>
  <c r="U45" i="4"/>
  <c r="W363" i="5"/>
  <c r="W364" i="5"/>
  <c r="X364" i="5" s="1"/>
  <c r="W545" i="5"/>
  <c r="X545" i="5" s="1"/>
  <c r="W194" i="5"/>
  <c r="Y194" i="5" s="1"/>
  <c r="W131" i="5"/>
  <c r="X131" i="5" s="1"/>
  <c r="W188" i="5"/>
  <c r="X188" i="5" s="1"/>
  <c r="W555" i="5"/>
  <c r="X555" i="5" s="1"/>
  <c r="W41" i="5"/>
  <c r="X41" i="5" s="1"/>
  <c r="W202" i="5"/>
  <c r="Y202" i="5" s="1"/>
  <c r="W502" i="5"/>
  <c r="X502" i="5" s="1"/>
  <c r="W455" i="5"/>
  <c r="Y455" i="5" s="1"/>
  <c r="W514" i="5"/>
  <c r="X514" i="5" s="1"/>
  <c r="W495" i="5"/>
  <c r="Y495" i="5" s="1"/>
  <c r="W484" i="5"/>
  <c r="X484" i="5" s="1"/>
  <c r="W138" i="5"/>
  <c r="Y138" i="5" s="1"/>
  <c r="W155" i="5"/>
  <c r="Y155" i="5" s="1"/>
  <c r="W513" i="5"/>
  <c r="X513" i="5" s="1"/>
  <c r="W550" i="5"/>
  <c r="Y550" i="5" s="1"/>
  <c r="W87" i="5"/>
  <c r="X87" i="5" s="1"/>
  <c r="W482" i="5"/>
  <c r="Y482" i="5" s="1"/>
  <c r="W335" i="5"/>
  <c r="Y335" i="5" s="1"/>
  <c r="W427" i="5"/>
  <c r="V96" i="4"/>
  <c r="AM96" i="4" s="1"/>
  <c r="AN96" i="4" s="1"/>
  <c r="AQ73" i="4"/>
  <c r="U96" i="4"/>
  <c r="W420" i="5"/>
  <c r="Y420" i="5" s="1"/>
  <c r="W203" i="5"/>
  <c r="Y203" i="5" s="1"/>
  <c r="W434" i="5"/>
  <c r="Y434" i="5" s="1"/>
  <c r="W339" i="5"/>
  <c r="X339" i="5" s="1"/>
  <c r="W83" i="5"/>
  <c r="X83" i="5" s="1"/>
  <c r="W146" i="5"/>
  <c r="Y146" i="5" s="1"/>
  <c r="W529" i="5"/>
  <c r="X529" i="5" s="1"/>
  <c r="W284" i="5"/>
  <c r="X284" i="5" s="1"/>
  <c r="W186" i="5"/>
  <c r="X186" i="5" s="1"/>
  <c r="W516" i="5"/>
  <c r="Y516" i="5" s="1"/>
  <c r="W103" i="5"/>
  <c r="W73" i="5"/>
  <c r="Y73" i="5" s="1"/>
  <c r="V143" i="4"/>
  <c r="W509" i="5"/>
  <c r="Y509" i="5" s="1"/>
  <c r="W227" i="5"/>
  <c r="Y227" i="5" s="1"/>
  <c r="W374" i="5"/>
  <c r="W42" i="5"/>
  <c r="X42" i="5" s="1"/>
  <c r="W70" i="5"/>
  <c r="X70" i="5" s="1"/>
  <c r="W418" i="5"/>
  <c r="X418" i="5" s="1"/>
  <c r="W217" i="5"/>
  <c r="X217" i="5" s="1"/>
  <c r="W446" i="5"/>
  <c r="X446" i="5" s="1"/>
  <c r="W470" i="5"/>
  <c r="Y470" i="5" s="1"/>
  <c r="W379" i="5"/>
  <c r="X379" i="5" s="1"/>
  <c r="W118" i="5"/>
  <c r="K36" i="5"/>
  <c r="K37" i="5" s="1"/>
  <c r="Q47" i="5"/>
  <c r="Q25" i="5"/>
  <c r="Q50" i="5"/>
  <c r="Q54" i="5"/>
  <c r="Q68" i="5"/>
  <c r="Q73" i="5"/>
  <c r="Q86" i="5"/>
  <c r="Q44" i="5"/>
  <c r="Q108" i="5"/>
  <c r="Q137" i="5"/>
  <c r="Q100" i="5"/>
  <c r="Q157" i="5"/>
  <c r="Q124" i="5"/>
  <c r="Q150" i="5"/>
  <c r="Q174" i="5"/>
  <c r="Q175" i="5"/>
  <c r="Q178" i="5"/>
  <c r="Q199" i="5"/>
  <c r="Q107" i="5"/>
  <c r="Q221" i="5"/>
  <c r="Q195" i="5"/>
  <c r="Q226" i="5"/>
  <c r="Q203" i="5"/>
  <c r="Q284" i="5"/>
  <c r="Q323" i="5"/>
  <c r="Q229" i="5"/>
  <c r="Q285" i="5"/>
  <c r="Q310" i="5"/>
  <c r="Q220" i="5"/>
  <c r="Q274" i="5"/>
  <c r="Q297" i="5"/>
  <c r="Q341" i="5"/>
  <c r="Q289" i="5"/>
  <c r="Q372" i="5"/>
  <c r="Q407" i="5"/>
  <c r="Q439" i="5"/>
  <c r="Q308" i="5"/>
  <c r="Q363" i="5"/>
  <c r="Q402" i="5"/>
  <c r="Q327" i="5"/>
  <c r="Q377" i="5"/>
  <c r="Q412" i="5"/>
  <c r="Q387" i="5"/>
  <c r="Q462" i="5"/>
  <c r="Q485" i="5"/>
  <c r="Q523" i="5"/>
  <c r="Q369" i="5"/>
  <c r="Q446" i="5"/>
  <c r="Q486" i="5"/>
  <c r="Q510" i="5"/>
  <c r="Q444" i="5"/>
  <c r="Q494" i="5"/>
  <c r="Q535" i="5"/>
  <c r="Q553" i="5"/>
  <c r="Q498" i="5"/>
  <c r="Q550" i="5"/>
  <c r="Q558" i="5"/>
  <c r="Q544" i="5"/>
  <c r="Q516" i="5"/>
  <c r="Q49" i="5"/>
  <c r="Q29" i="5"/>
  <c r="Q52" i="5"/>
  <c r="Q55" i="5"/>
  <c r="Q69" i="5"/>
  <c r="Q71" i="5"/>
  <c r="Q95" i="5"/>
  <c r="Q82" i="5"/>
  <c r="Q116" i="5"/>
  <c r="Q142" i="5"/>
  <c r="Q114" i="5"/>
  <c r="Q159" i="5"/>
  <c r="Q126" i="5"/>
  <c r="Q155" i="5"/>
  <c r="Q188" i="5"/>
  <c r="Q179" i="5"/>
  <c r="Q182" i="5"/>
  <c r="Q201" i="5"/>
  <c r="Q177" i="5"/>
  <c r="Q225" i="5"/>
  <c r="Q204" i="5"/>
  <c r="Q231" i="5"/>
  <c r="Q213" i="5"/>
  <c r="Q291" i="5"/>
  <c r="Q325" i="5"/>
  <c r="Q247" i="5"/>
  <c r="Q290" i="5"/>
  <c r="Q321" i="5"/>
  <c r="Q223" i="5"/>
  <c r="Q275" i="5"/>
  <c r="Q309" i="5"/>
  <c r="Q346" i="5"/>
  <c r="Q295" i="5"/>
  <c r="Q375" i="5"/>
  <c r="Q409" i="5"/>
  <c r="Q441" i="5"/>
  <c r="Q314" i="5"/>
  <c r="Q365" i="5"/>
  <c r="Q404" i="5"/>
  <c r="Q338" i="5"/>
  <c r="Q394" i="5"/>
  <c r="Q415" i="5"/>
  <c r="Q390" i="5"/>
  <c r="Q463" i="5"/>
  <c r="Q500" i="5"/>
  <c r="Q524" i="5"/>
  <c r="Q410" i="5"/>
  <c r="Q452" i="5"/>
  <c r="Q487" i="5"/>
  <c r="Q514" i="5"/>
  <c r="Q445" i="5"/>
  <c r="Q497" i="5"/>
  <c r="Q536" i="5"/>
  <c r="Q559" i="5"/>
  <c r="Q508" i="5"/>
  <c r="Q364" i="5"/>
  <c r="Q560" i="5"/>
  <c r="Q556" i="5"/>
  <c r="Q531" i="5"/>
  <c r="Q21" i="5"/>
  <c r="Q20" i="5"/>
  <c r="Q30" i="5"/>
  <c r="Q27" i="5"/>
  <c r="Q58" i="5"/>
  <c r="Q65" i="5"/>
  <c r="Q75" i="5"/>
  <c r="Q85" i="5"/>
  <c r="Q94" i="5"/>
  <c r="Q117" i="5"/>
  <c r="Q151" i="5"/>
  <c r="Q125" i="5"/>
  <c r="Q83" i="5"/>
  <c r="Q127" i="5"/>
  <c r="Q156" i="5"/>
  <c r="Q130" i="5"/>
  <c r="Q180" i="5"/>
  <c r="Q202" i="5"/>
  <c r="Q235" i="5"/>
  <c r="Q186" i="5"/>
  <c r="Q228" i="5"/>
  <c r="Q205" i="5"/>
  <c r="Q234" i="5"/>
  <c r="Q227" i="5"/>
  <c r="Q292" i="5"/>
  <c r="Q331" i="5"/>
  <c r="Q253" i="5"/>
  <c r="Q293" i="5"/>
  <c r="Q326" i="5"/>
  <c r="Q239" i="5"/>
  <c r="Q277" i="5"/>
  <c r="Q315" i="5"/>
  <c r="Q348" i="5"/>
  <c r="Q306" i="5"/>
  <c r="Q380" i="5"/>
  <c r="Q411" i="5"/>
  <c r="Q442" i="5"/>
  <c r="Q340" i="5"/>
  <c r="Q373" i="5"/>
  <c r="Q413" i="5"/>
  <c r="Q347" i="5"/>
  <c r="Q395" i="5"/>
  <c r="Q421" i="5"/>
  <c r="Q393" i="5"/>
  <c r="Q468" i="5"/>
  <c r="Q501" i="5"/>
  <c r="Q527" i="5"/>
  <c r="Q420" i="5"/>
  <c r="Q457" i="5"/>
  <c r="Q489" i="5"/>
  <c r="Q520" i="5"/>
  <c r="Q449" i="5"/>
  <c r="Q502" i="5"/>
  <c r="Q537" i="5"/>
  <c r="Q268" i="5"/>
  <c r="Q515" i="5"/>
  <c r="Q430" i="5"/>
  <c r="Q557" i="5"/>
  <c r="Q403" i="5"/>
  <c r="Q539" i="5"/>
  <c r="Q26" i="5"/>
  <c r="Q22" i="5"/>
  <c r="Q33" i="5"/>
  <c r="Q51" i="5"/>
  <c r="Q60" i="5"/>
  <c r="Q70" i="5"/>
  <c r="Q77" i="5"/>
  <c r="Q87" i="5"/>
  <c r="Q103" i="5"/>
  <c r="Q119" i="5"/>
  <c r="Q153" i="5"/>
  <c r="Q138" i="5"/>
  <c r="Q102" i="5"/>
  <c r="Q129" i="5"/>
  <c r="Q92" i="5"/>
  <c r="Q145" i="5"/>
  <c r="Q183" i="5"/>
  <c r="Q207" i="5"/>
  <c r="Q236" i="5"/>
  <c r="Q189" i="5"/>
  <c r="Q230" i="5"/>
  <c r="Q206" i="5"/>
  <c r="Q237" i="5"/>
  <c r="Q246" i="5"/>
  <c r="Q299" i="5"/>
  <c r="Q333" i="5"/>
  <c r="Q255" i="5"/>
  <c r="Q298" i="5"/>
  <c r="Q330" i="5"/>
  <c r="Q243" i="5"/>
  <c r="Q278" i="5"/>
  <c r="Q317" i="5"/>
  <c r="Q350" i="5"/>
  <c r="Q332" i="5"/>
  <c r="Q385" i="5"/>
  <c r="Q418" i="5"/>
  <c r="Q245" i="5"/>
  <c r="Q343" i="5"/>
  <c r="Q379" i="5"/>
  <c r="Q414" i="5"/>
  <c r="Q351" i="5"/>
  <c r="Q397" i="5"/>
  <c r="Q318" i="5"/>
  <c r="Q433" i="5"/>
  <c r="Q471" i="5"/>
  <c r="Q503" i="5"/>
  <c r="Q252" i="5"/>
  <c r="Q422" i="5"/>
  <c r="Q467" i="5"/>
  <c r="Q490" i="5"/>
  <c r="Q197" i="5"/>
  <c r="Q450" i="5"/>
  <c r="Q509" i="5"/>
  <c r="Q541" i="5"/>
  <c r="Q447" i="5"/>
  <c r="Q532" i="5"/>
  <c r="Q443" i="5"/>
  <c r="Q459" i="5"/>
  <c r="Q427" i="5"/>
  <c r="Q540" i="5"/>
  <c r="Q31" i="5"/>
  <c r="Q23" i="5"/>
  <c r="Q35" i="5"/>
  <c r="Q59" i="5"/>
  <c r="Q63" i="5"/>
  <c r="Q74" i="5"/>
  <c r="Q79" i="5"/>
  <c r="Q90" i="5"/>
  <c r="Q106" i="5"/>
  <c r="Q123" i="5"/>
  <c r="Q154" i="5"/>
  <c r="Q140" i="5"/>
  <c r="Q105" i="5"/>
  <c r="Q134" i="5"/>
  <c r="Q115" i="5"/>
  <c r="Q161" i="5"/>
  <c r="Q185" i="5"/>
  <c r="Q181" i="5"/>
  <c r="Q238" i="5"/>
  <c r="Q191" i="5"/>
  <c r="Q233" i="5"/>
  <c r="Q209" i="5"/>
  <c r="Q242" i="5"/>
  <c r="Q258" i="5"/>
  <c r="Q302" i="5"/>
  <c r="Q196" i="5"/>
  <c r="Q259" i="5"/>
  <c r="Q300" i="5"/>
  <c r="Q141" i="5"/>
  <c r="Q260" i="5"/>
  <c r="Q283" i="5"/>
  <c r="Q319" i="5"/>
  <c r="Q357" i="5"/>
  <c r="Q334" i="5"/>
  <c r="Q386" i="5"/>
  <c r="Q423" i="5"/>
  <c r="Q249" i="5"/>
  <c r="Q349" i="5"/>
  <c r="Q382" i="5"/>
  <c r="Q417" i="5"/>
  <c r="Q358" i="5"/>
  <c r="Q398" i="5"/>
  <c r="Q359" i="5"/>
  <c r="Q453" i="5"/>
  <c r="Q473" i="5"/>
  <c r="Q511" i="5"/>
  <c r="Q301" i="5"/>
  <c r="Q425" i="5"/>
  <c r="Q469" i="5"/>
  <c r="Q492" i="5"/>
  <c r="Q342" i="5"/>
  <c r="Q465" i="5"/>
  <c r="Q518" i="5"/>
  <c r="Q542" i="5"/>
  <c r="Q451" i="5"/>
  <c r="Q547" i="5"/>
  <c r="Q460" i="5"/>
  <c r="Q466" i="5"/>
  <c r="Q429" i="5"/>
  <c r="Q19" i="5"/>
  <c r="Q42" i="5"/>
  <c r="Q36" i="5"/>
  <c r="Q41" i="5"/>
  <c r="Q67" i="5"/>
  <c r="Q57" i="5"/>
  <c r="Q81" i="5"/>
  <c r="Q91" i="5"/>
  <c r="Q110" i="5"/>
  <c r="Q89" i="5"/>
  <c r="Q133" i="5"/>
  <c r="Q53" i="5"/>
  <c r="Q146" i="5"/>
  <c r="Q118" i="5"/>
  <c r="Q147" i="5"/>
  <c r="Q163" i="5"/>
  <c r="Q166" i="5"/>
  <c r="Q164" i="5"/>
  <c r="Q193" i="5"/>
  <c r="Q250" i="5"/>
  <c r="Q210" i="5"/>
  <c r="Q165" i="5"/>
  <c r="Q217" i="5"/>
  <c r="Q101" i="5"/>
  <c r="Q269" i="5"/>
  <c r="Q313" i="5"/>
  <c r="Q215" i="5"/>
  <c r="Q271" i="5"/>
  <c r="Q305" i="5"/>
  <c r="Q173" i="5"/>
  <c r="Q265" i="5"/>
  <c r="Q287" i="5"/>
  <c r="Q329" i="5"/>
  <c r="Q257" i="5"/>
  <c r="Q356" i="5"/>
  <c r="Q391" i="5"/>
  <c r="Q431" i="5"/>
  <c r="Q279" i="5"/>
  <c r="Q354" i="5"/>
  <c r="Q388" i="5"/>
  <c r="Q263" i="5"/>
  <c r="Q370" i="5"/>
  <c r="Q405" i="5"/>
  <c r="Q378" i="5"/>
  <c r="Q455" i="5"/>
  <c r="Q475" i="5"/>
  <c r="Q519" i="5"/>
  <c r="Q337" i="5"/>
  <c r="Q435" i="5"/>
  <c r="Q477" i="5"/>
  <c r="Q495" i="5"/>
  <c r="Q426" i="5"/>
  <c r="Q479" i="5"/>
  <c r="Q529" i="5"/>
  <c r="Q545" i="5"/>
  <c r="Q481" i="5"/>
  <c r="Q552" i="5"/>
  <c r="Q522" i="5"/>
  <c r="Q525" i="5"/>
  <c r="Q499" i="5"/>
  <c r="O11" i="5"/>
  <c r="Q45" i="5"/>
  <c r="Q43" i="5"/>
  <c r="Q46" i="5"/>
  <c r="Q38" i="5"/>
  <c r="Q61" i="5"/>
  <c r="Q28" i="5"/>
  <c r="Q76" i="5"/>
  <c r="Q111" i="5"/>
  <c r="Q99" i="5"/>
  <c r="Q135" i="5"/>
  <c r="Q98" i="5"/>
  <c r="Q149" i="5"/>
  <c r="Q121" i="5"/>
  <c r="Q148" i="5"/>
  <c r="Q169" i="5"/>
  <c r="Q172" i="5"/>
  <c r="Q170" i="5"/>
  <c r="Q198" i="5"/>
  <c r="Q251" i="5"/>
  <c r="Q219" i="5"/>
  <c r="Q171" i="5"/>
  <c r="Q222" i="5"/>
  <c r="Q187" i="5"/>
  <c r="Q276" i="5"/>
  <c r="Q316" i="5"/>
  <c r="Q218" i="5"/>
  <c r="Q281" i="5"/>
  <c r="Q307" i="5"/>
  <c r="Q211" i="5"/>
  <c r="Q267" i="5"/>
  <c r="Q294" i="5"/>
  <c r="Q339" i="5"/>
  <c r="Q273" i="5"/>
  <c r="Q371" i="5"/>
  <c r="Q396" i="5"/>
  <c r="Q438" i="5"/>
  <c r="Q282" i="5"/>
  <c r="Q361" i="5"/>
  <c r="Q399" i="5"/>
  <c r="Q322" i="5"/>
  <c r="Q374" i="5"/>
  <c r="Q406" i="5"/>
  <c r="Q381" i="5"/>
  <c r="Q461" i="5"/>
  <c r="Q483" i="5"/>
  <c r="Q521" i="5"/>
  <c r="Q345" i="5"/>
  <c r="Q436" i="5"/>
  <c r="Q482" i="5"/>
  <c r="Q506" i="5"/>
  <c r="Q437" i="5"/>
  <c r="Q484" i="5"/>
  <c r="Q530" i="5"/>
  <c r="Q548" i="5"/>
  <c r="Q491" i="5"/>
  <c r="Q555" i="5"/>
  <c r="Q549" i="5"/>
  <c r="Q533" i="5"/>
  <c r="Q505" i="5"/>
  <c r="Q93" i="5"/>
  <c r="Q162" i="5"/>
  <c r="Q266" i="5"/>
  <c r="Q324" i="5"/>
  <c r="Q419" i="5"/>
  <c r="Q434" i="5"/>
  <c r="Q551" i="5"/>
  <c r="Q39" i="5"/>
  <c r="Q109" i="5"/>
  <c r="Q132" i="5"/>
  <c r="Q311" i="5"/>
  <c r="Q254" i="5"/>
  <c r="Q367" i="5"/>
  <c r="Q470" i="5"/>
  <c r="Q507" i="5"/>
  <c r="Q34" i="5"/>
  <c r="Q131" i="5"/>
  <c r="Q190" i="5"/>
  <c r="Q212" i="5"/>
  <c r="Q355" i="5"/>
  <c r="Q401" i="5"/>
  <c r="Q493" i="5"/>
  <c r="Q513" i="5"/>
  <c r="Q37" i="5"/>
  <c r="Q158" i="5"/>
  <c r="Q241" i="5"/>
  <c r="Q261" i="5"/>
  <c r="Q389" i="5"/>
  <c r="Q366" i="5"/>
  <c r="Q362" i="5"/>
  <c r="Q458" i="5"/>
  <c r="Q78" i="5"/>
  <c r="Q139" i="5"/>
  <c r="Q214" i="5"/>
  <c r="Q262" i="5"/>
  <c r="Q353" i="5"/>
  <c r="Q517" i="5"/>
  <c r="Q543" i="5"/>
  <c r="Q84" i="5"/>
  <c r="Q122" i="5"/>
  <c r="Q244" i="5"/>
  <c r="Q286" i="5"/>
  <c r="Q383" i="5"/>
  <c r="Q335" i="5"/>
  <c r="Q478" i="5"/>
  <c r="Q167" i="5"/>
  <c r="Q62" i="5"/>
  <c r="Q428" i="5"/>
  <c r="Q66" i="5"/>
  <c r="Q270" i="5"/>
  <c r="Q474" i="5"/>
  <c r="Q143" i="5"/>
  <c r="Q454" i="5"/>
  <c r="Q113" i="5"/>
  <c r="Q97" i="5"/>
  <c r="Q528" i="5"/>
  <c r="Q303" i="5"/>
  <c r="Q194" i="5"/>
  <c r="Q476" i="5"/>
  <c r="B37" i="5"/>
  <c r="AI152" i="5"/>
  <c r="AH403" i="5"/>
  <c r="AO465" i="5"/>
  <c r="AI248" i="5"/>
  <c r="AH200" i="5"/>
  <c r="AO283" i="5"/>
  <c r="AH347" i="5"/>
  <c r="AH519" i="5"/>
  <c r="AN272" i="5"/>
  <c r="AO272" i="5"/>
  <c r="U64" i="5"/>
  <c r="V64" i="5"/>
  <c r="AI441" i="5"/>
  <c r="AH441" i="5"/>
  <c r="AM193" i="5"/>
  <c r="AI19" i="5"/>
  <c r="AH19" i="5"/>
  <c r="U64" i="4"/>
  <c r="AS64" i="4"/>
  <c r="V64" i="4"/>
  <c r="U54" i="4"/>
  <c r="AS54" i="4"/>
  <c r="V54" i="4"/>
  <c r="V27" i="4"/>
  <c r="AS27" i="4"/>
  <c r="U27" i="4"/>
  <c r="AS108" i="4"/>
  <c r="U108" i="4"/>
  <c r="V108" i="4"/>
  <c r="AM59" i="5"/>
  <c r="T554" i="5"/>
  <c r="T546" i="5"/>
  <c r="AH534" i="5"/>
  <c r="AI534" i="5"/>
  <c r="T432" i="5"/>
  <c r="T448" i="5"/>
  <c r="T408" i="5"/>
  <c r="T280" i="5"/>
  <c r="T296" i="5"/>
  <c r="AH136" i="5"/>
  <c r="AI136" i="5"/>
  <c r="AM104" i="5"/>
  <c r="AN276" i="5"/>
  <c r="AO457" i="5"/>
  <c r="AN457" i="5"/>
  <c r="AM379" i="5"/>
  <c r="AM307" i="5"/>
  <c r="AM91" i="5"/>
  <c r="AM292" i="5"/>
  <c r="AM20" i="5"/>
  <c r="T38" i="5"/>
  <c r="T34" i="5"/>
  <c r="T70" i="5"/>
  <c r="T55" i="5"/>
  <c r="T89" i="5"/>
  <c r="T105" i="5"/>
  <c r="T87" i="5"/>
  <c r="T84" i="5"/>
  <c r="T43" i="5"/>
  <c r="T33" i="5"/>
  <c r="T66" i="5"/>
  <c r="T25" i="5"/>
  <c r="T83" i="5"/>
  <c r="T121" i="5"/>
  <c r="T26" i="5"/>
  <c r="T47" i="5"/>
  <c r="T27" i="5"/>
  <c r="T41" i="5"/>
  <c r="T94" i="5"/>
  <c r="T117" i="5"/>
  <c r="T52" i="5"/>
  <c r="T59" i="5"/>
  <c r="T74" i="5"/>
  <c r="T98" i="5"/>
  <c r="T91" i="5"/>
  <c r="T139" i="5"/>
  <c r="T39" i="5"/>
  <c r="T35" i="5"/>
  <c r="T95" i="5"/>
  <c r="T155" i="5"/>
  <c r="T151" i="5"/>
  <c r="T187" i="5"/>
  <c r="T154" i="5"/>
  <c r="T201" i="5"/>
  <c r="T211" i="5"/>
  <c r="T159" i="5"/>
  <c r="T243" i="5"/>
  <c r="T225" i="5"/>
  <c r="T249" i="5"/>
  <c r="T274" i="5"/>
  <c r="T318" i="5"/>
  <c r="T250" i="5"/>
  <c r="T292" i="5"/>
  <c r="T259" i="5"/>
  <c r="T290" i="5"/>
  <c r="T310" i="5"/>
  <c r="T354" i="5"/>
  <c r="T362" i="5"/>
  <c r="T393" i="5"/>
  <c r="T317" i="5"/>
  <c r="T385" i="5"/>
  <c r="T162" i="5"/>
  <c r="T340" i="5"/>
  <c r="T379" i="5"/>
  <c r="T451" i="5"/>
  <c r="T494" i="5"/>
  <c r="T525" i="5"/>
  <c r="T431" i="5"/>
  <c r="T517" i="5"/>
  <c r="T374" i="5"/>
  <c r="T425" i="5"/>
  <c r="T461" i="5"/>
  <c r="T487" i="5"/>
  <c r="T531" i="5"/>
  <c r="T346" i="5"/>
  <c r="T22" i="5"/>
  <c r="T63" i="5"/>
  <c r="T107" i="5"/>
  <c r="T106" i="5"/>
  <c r="T156" i="5"/>
  <c r="T125" i="5"/>
  <c r="T118" i="5"/>
  <c r="T161" i="5"/>
  <c r="T204" i="5"/>
  <c r="T215" i="5"/>
  <c r="T166" i="5"/>
  <c r="T174" i="5"/>
  <c r="T230" i="5"/>
  <c r="T252" i="5"/>
  <c r="T279" i="5"/>
  <c r="T322" i="5"/>
  <c r="T251" i="5"/>
  <c r="T299" i="5"/>
  <c r="T331" i="5"/>
  <c r="T261" i="5"/>
  <c r="T293" i="5"/>
  <c r="T356" i="5"/>
  <c r="T315" i="5"/>
  <c r="T364" i="5"/>
  <c r="T429" i="5"/>
  <c r="T341" i="5"/>
  <c r="T386" i="5"/>
  <c r="T195" i="5"/>
  <c r="T348" i="5"/>
  <c r="T382" i="5"/>
  <c r="T411" i="5"/>
  <c r="T428" i="5"/>
  <c r="T458" i="5"/>
  <c r="T499" i="5"/>
  <c r="T532" i="5"/>
  <c r="T438" i="5"/>
  <c r="T468" i="5"/>
  <c r="T498" i="5"/>
  <c r="T519" i="5"/>
  <c r="T377" i="5"/>
  <c r="T434" i="5"/>
  <c r="T463" i="5"/>
  <c r="T489" i="5"/>
  <c r="T540" i="5"/>
  <c r="T544" i="5"/>
  <c r="T514" i="5"/>
  <c r="T555" i="5"/>
  <c r="T549" i="5"/>
  <c r="T479" i="5"/>
  <c r="T36" i="5"/>
  <c r="T76" i="5"/>
  <c r="T85" i="5"/>
  <c r="T109" i="5"/>
  <c r="T114" i="5"/>
  <c r="T134" i="5"/>
  <c r="T133" i="5"/>
  <c r="T172" i="5"/>
  <c r="T206" i="5"/>
  <c r="T223" i="5"/>
  <c r="T199" i="5"/>
  <c r="T180" i="5"/>
  <c r="T233" i="5"/>
  <c r="T254" i="5"/>
  <c r="T282" i="5"/>
  <c r="T327" i="5"/>
  <c r="T258" i="5"/>
  <c r="T302" i="5"/>
  <c r="T321" i="5"/>
  <c r="T262" i="5"/>
  <c r="T329" i="5"/>
  <c r="T366" i="5"/>
  <c r="T403" i="5"/>
  <c r="T433" i="5"/>
  <c r="T369" i="5"/>
  <c r="T389" i="5"/>
  <c r="T228" i="5"/>
  <c r="T353" i="5"/>
  <c r="T383" i="5"/>
  <c r="T414" i="5"/>
  <c r="T430" i="5"/>
  <c r="T460" i="5"/>
  <c r="T505" i="5"/>
  <c r="T533" i="5"/>
  <c r="T442" i="5"/>
  <c r="T471" i="5"/>
  <c r="O10" i="5"/>
  <c r="AJ10" i="5" s="1"/>
  <c r="T53" i="5"/>
  <c r="T57" i="5"/>
  <c r="T101" i="5"/>
  <c r="T115" i="5"/>
  <c r="T149" i="5"/>
  <c r="T140" i="5"/>
  <c r="T183" i="5"/>
  <c r="T188" i="5"/>
  <c r="T212" i="5"/>
  <c r="T191" i="5"/>
  <c r="T235" i="5"/>
  <c r="T260" i="5"/>
  <c r="T289" i="5"/>
  <c r="T332" i="5"/>
  <c r="T266" i="5"/>
  <c r="T311" i="5"/>
  <c r="T226" i="5"/>
  <c r="T268" i="5"/>
  <c r="T298" i="5"/>
  <c r="T326" i="5"/>
  <c r="T267" i="5"/>
  <c r="T337" i="5"/>
  <c r="T367" i="5"/>
  <c r="T405" i="5"/>
  <c r="T436" i="5"/>
  <c r="T371" i="5"/>
  <c r="T391" i="5"/>
  <c r="T355" i="5"/>
  <c r="T388" i="5"/>
  <c r="T417" i="5"/>
  <c r="T466" i="5"/>
  <c r="T507" i="5"/>
  <c r="T537" i="5"/>
  <c r="T453" i="5"/>
  <c r="T474" i="5"/>
  <c r="T501" i="5"/>
  <c r="T522" i="5"/>
  <c r="T398" i="5"/>
  <c r="T439" i="5"/>
  <c r="T470" i="5"/>
  <c r="T493" i="5"/>
  <c r="T557" i="5"/>
  <c r="T465" i="5"/>
  <c r="T545" i="5"/>
  <c r="T406" i="5"/>
  <c r="T524" i="5"/>
  <c r="T559" i="5"/>
  <c r="T502" i="5"/>
  <c r="T61" i="5"/>
  <c r="T37" i="5"/>
  <c r="T123" i="5"/>
  <c r="T119" i="5"/>
  <c r="T171" i="5"/>
  <c r="T169" i="5"/>
  <c r="T185" i="5"/>
  <c r="T196" i="5"/>
  <c r="T227" i="5"/>
  <c r="T222" i="5"/>
  <c r="T236" i="5"/>
  <c r="T263" i="5"/>
  <c r="T295" i="5"/>
  <c r="T334" i="5"/>
  <c r="T276" i="5"/>
  <c r="T313" i="5"/>
  <c r="T231" i="5"/>
  <c r="T269" i="5"/>
  <c r="T300" i="5"/>
  <c r="T330" i="5"/>
  <c r="T342" i="5"/>
  <c r="T378" i="5"/>
  <c r="T410" i="5"/>
  <c r="T437" i="5"/>
  <c r="T372" i="5"/>
  <c r="T396" i="5"/>
  <c r="T275" i="5"/>
  <c r="T361" i="5"/>
  <c r="T287" i="5"/>
  <c r="T441" i="5"/>
  <c r="T508" i="5"/>
  <c r="T339" i="5"/>
  <c r="T454" i="5"/>
  <c r="T475" i="5"/>
  <c r="T503" i="5"/>
  <c r="T333" i="5"/>
  <c r="T401" i="5"/>
  <c r="T446" i="5"/>
  <c r="T473" i="5"/>
  <c r="T495" i="5"/>
  <c r="T560" i="5"/>
  <c r="T484" i="5"/>
  <c r="T412" i="5"/>
  <c r="T527" i="5"/>
  <c r="T449" i="5"/>
  <c r="T397" i="5"/>
  <c r="T509" i="5"/>
  <c r="T30" i="5"/>
  <c r="T92" i="5"/>
  <c r="T93" i="5"/>
  <c r="T131" i="5"/>
  <c r="T130" i="5"/>
  <c r="T173" i="5"/>
  <c r="T170" i="5"/>
  <c r="T186" i="5"/>
  <c r="T203" i="5"/>
  <c r="T239" i="5"/>
  <c r="T229" i="5"/>
  <c r="T207" i="5"/>
  <c r="T265" i="5"/>
  <c r="T301" i="5"/>
  <c r="T135" i="5"/>
  <c r="T284" i="5"/>
  <c r="T316" i="5"/>
  <c r="T246" i="5"/>
  <c r="T271" i="5"/>
  <c r="T303" i="5"/>
  <c r="T335" i="5"/>
  <c r="T283" i="5"/>
  <c r="T345" i="5"/>
  <c r="T381" i="5"/>
  <c r="T415" i="5"/>
  <c r="T214" i="5"/>
  <c r="T375" i="5"/>
  <c r="T407" i="5"/>
  <c r="T294" i="5"/>
  <c r="T363" i="5"/>
  <c r="T399" i="5"/>
  <c r="T324" i="5"/>
  <c r="T443" i="5"/>
  <c r="T478" i="5"/>
  <c r="T513" i="5"/>
  <c r="T347" i="5"/>
  <c r="T358" i="5"/>
  <c r="T413" i="5"/>
  <c r="T452" i="5"/>
  <c r="T477" i="5"/>
  <c r="T506" i="5"/>
  <c r="T529" i="5"/>
  <c r="T548" i="5"/>
  <c r="T426" i="5"/>
  <c r="T543" i="5"/>
  <c r="T528" i="5"/>
  <c r="T423" i="5"/>
  <c r="T520" i="5"/>
  <c r="T28" i="5"/>
  <c r="T50" i="5"/>
  <c r="T82" i="5"/>
  <c r="T126" i="5"/>
  <c r="T137" i="5"/>
  <c r="T138" i="5"/>
  <c r="T177" i="5"/>
  <c r="T79" i="5"/>
  <c r="T190" i="5"/>
  <c r="T205" i="5"/>
  <c r="T245" i="5"/>
  <c r="T210" i="5"/>
  <c r="T241" i="5"/>
  <c r="T270" i="5"/>
  <c r="T306" i="5"/>
  <c r="T237" i="5"/>
  <c r="T323" i="5"/>
  <c r="T253" i="5"/>
  <c r="T281" i="5"/>
  <c r="T305" i="5"/>
  <c r="T343" i="5"/>
  <c r="T286" i="5"/>
  <c r="T350" i="5"/>
  <c r="T387" i="5"/>
  <c r="T420" i="5"/>
  <c r="T247" i="5"/>
  <c r="T409" i="5"/>
  <c r="T319" i="5"/>
  <c r="T365" i="5"/>
  <c r="T402" i="5"/>
  <c r="T357" i="5"/>
  <c r="T447" i="5"/>
  <c r="T481" i="5"/>
  <c r="T515" i="5"/>
  <c r="T351" i="5"/>
  <c r="T459" i="5"/>
  <c r="T483" i="5"/>
  <c r="T511" i="5"/>
  <c r="T455" i="5"/>
  <c r="T482" i="5"/>
  <c r="T510" i="5"/>
  <c r="T338" i="5"/>
  <c r="T550" i="5"/>
  <c r="T450" i="5"/>
  <c r="T551" i="5"/>
  <c r="T530" i="5"/>
  <c r="T445" i="5"/>
  <c r="T523" i="5"/>
  <c r="T44" i="5"/>
  <c r="T194" i="5"/>
  <c r="T244" i="5"/>
  <c r="T359" i="5"/>
  <c r="T404" i="5"/>
  <c r="T500" i="5"/>
  <c r="T467" i="5"/>
  <c r="T539" i="5"/>
  <c r="T552" i="5"/>
  <c r="T67" i="5"/>
  <c r="T291" i="5"/>
  <c r="T390" i="5"/>
  <c r="T370" i="5"/>
  <c r="T486" i="5"/>
  <c r="T542" i="5"/>
  <c r="T553" i="5"/>
  <c r="T19" i="5"/>
  <c r="T69" i="5"/>
  <c r="T150" i="5"/>
  <c r="T325" i="5"/>
  <c r="T421" i="5"/>
  <c r="T521" i="5"/>
  <c r="T492" i="5"/>
  <c r="T419" i="5"/>
  <c r="T141" i="5"/>
  <c r="T242" i="5"/>
  <c r="T297" i="5"/>
  <c r="T491" i="5"/>
  <c r="T541" i="5"/>
  <c r="T535" i="5"/>
  <c r="T142" i="5"/>
  <c r="T221" i="5"/>
  <c r="T285" i="5"/>
  <c r="T380" i="5"/>
  <c r="T516" i="5"/>
  <c r="T395" i="5"/>
  <c r="T556" i="5"/>
  <c r="T394" i="5"/>
  <c r="T547" i="5"/>
  <c r="T146" i="5"/>
  <c r="T307" i="5"/>
  <c r="T418" i="5"/>
  <c r="T427" i="5"/>
  <c r="T422" i="5"/>
  <c r="T490" i="5"/>
  <c r="T558" i="5"/>
  <c r="T181" i="5"/>
  <c r="T273" i="5"/>
  <c r="T349" i="5"/>
  <c r="T462" i="5"/>
  <c r="T435" i="5"/>
  <c r="T444" i="5"/>
  <c r="T497" i="5"/>
  <c r="T469" i="5"/>
  <c r="T457" i="5"/>
  <c r="T536" i="5"/>
  <c r="T518" i="5"/>
  <c r="T100" i="5"/>
  <c r="T476" i="5"/>
  <c r="T314" i="5"/>
  <c r="T309" i="5"/>
  <c r="T373" i="5"/>
  <c r="T485" i="5"/>
  <c r="AM35" i="5"/>
  <c r="V40" i="4"/>
  <c r="AS40" i="4"/>
  <c r="U8" i="4"/>
  <c r="V8" i="4"/>
  <c r="AS8" i="4"/>
  <c r="V44" i="4"/>
  <c r="AS44" i="4"/>
  <c r="U44" i="4"/>
  <c r="AM99" i="5"/>
  <c r="U40" i="4"/>
  <c r="AH554" i="5"/>
  <c r="AI554" i="5"/>
  <c r="AM448" i="5"/>
  <c r="T464" i="5"/>
  <c r="T480" i="5"/>
  <c r="T328" i="5"/>
  <c r="T344" i="5"/>
  <c r="T376" i="5"/>
  <c r="T392" i="5"/>
  <c r="AI408" i="5"/>
  <c r="AH408" i="5"/>
  <c r="T248" i="5"/>
  <c r="T264" i="5"/>
  <c r="AM280" i="5"/>
  <c r="AI120" i="5"/>
  <c r="AH120" i="5"/>
  <c r="T160" i="5"/>
  <c r="T24" i="5"/>
  <c r="U176" i="5"/>
  <c r="V176" i="5"/>
  <c r="AH40" i="5"/>
  <c r="AI40" i="5"/>
  <c r="AH546" i="5"/>
  <c r="AO129" i="5"/>
  <c r="AN129" i="5"/>
  <c r="AM387" i="5"/>
  <c r="AM123" i="5"/>
  <c r="AM107" i="5"/>
  <c r="AM300" i="5"/>
  <c r="AH28" i="5"/>
  <c r="AM177" i="5"/>
  <c r="AM57" i="5"/>
  <c r="AS23" i="4"/>
  <c r="U23" i="4"/>
  <c r="V23" i="4"/>
  <c r="AM464" i="5"/>
  <c r="AM480" i="5"/>
  <c r="T496" i="5"/>
  <c r="T512" i="5"/>
  <c r="AI344" i="5"/>
  <c r="AH344" i="5"/>
  <c r="T360" i="5"/>
  <c r="AI376" i="5"/>
  <c r="AH376" i="5"/>
  <c r="AM408" i="5"/>
  <c r="T224" i="5"/>
  <c r="AM248" i="5"/>
  <c r="AM120" i="5"/>
  <c r="AM184" i="5"/>
  <c r="T208" i="5"/>
  <c r="T88" i="5"/>
  <c r="AS93" i="4"/>
  <c r="V93" i="4"/>
  <c r="U93" i="4"/>
  <c r="AJ451" i="5"/>
  <c r="AL451" i="5" s="1"/>
  <c r="AJ465" i="5"/>
  <c r="AK465" i="5" s="1"/>
  <c r="AN475" i="5"/>
  <c r="AS91" i="4"/>
  <c r="AO497" i="5"/>
  <c r="AN137" i="5"/>
  <c r="AM308" i="5"/>
  <c r="AH36" i="5"/>
  <c r="AI36" i="5"/>
  <c r="AM121" i="5"/>
  <c r="U137" i="4"/>
  <c r="V137" i="4"/>
  <c r="AS127" i="4"/>
  <c r="AS45" i="4"/>
  <c r="V45" i="4"/>
  <c r="AS22" i="4"/>
  <c r="T526" i="5"/>
  <c r="AM424" i="5"/>
  <c r="T440" i="5"/>
  <c r="AI480" i="5"/>
  <c r="AH480" i="5"/>
  <c r="AM344" i="5"/>
  <c r="AM376" i="5"/>
  <c r="T304" i="5"/>
  <c r="AM144" i="5"/>
  <c r="AI208" i="5"/>
  <c r="AH208" i="5"/>
  <c r="T32" i="5"/>
  <c r="T112" i="5"/>
  <c r="AS128" i="4"/>
  <c r="AN527" i="5"/>
  <c r="AO527" i="5"/>
  <c r="AI513" i="5"/>
  <c r="AH513" i="5"/>
  <c r="AO233" i="5"/>
  <c r="AN233" i="5"/>
  <c r="AN145" i="5"/>
  <c r="AO145" i="5"/>
  <c r="AO139" i="5"/>
  <c r="AN139" i="5"/>
  <c r="AI319" i="5"/>
  <c r="AH319" i="5"/>
  <c r="AH44" i="5"/>
  <c r="AI44" i="5"/>
  <c r="AN343" i="5"/>
  <c r="AO343" i="5"/>
  <c r="AN89" i="5"/>
  <c r="AO89" i="5"/>
  <c r="AS150" i="4"/>
  <c r="V150" i="4"/>
  <c r="U150" i="4"/>
  <c r="AS30" i="4"/>
  <c r="U135" i="4"/>
  <c r="V71" i="4"/>
  <c r="AI538" i="5"/>
  <c r="AH538" i="5"/>
  <c r="T424" i="5"/>
  <c r="AI440" i="5"/>
  <c r="AH440" i="5"/>
  <c r="T456" i="5"/>
  <c r="T336" i="5"/>
  <c r="T400" i="5"/>
  <c r="T272" i="5"/>
  <c r="AH288" i="5"/>
  <c r="AI288" i="5"/>
  <c r="AM208" i="5"/>
  <c r="T56" i="5"/>
  <c r="AN39" i="5"/>
  <c r="AO472" i="5"/>
  <c r="AN472" i="5"/>
  <c r="AM535" i="5"/>
  <c r="AM337" i="5"/>
  <c r="AM257" i="5"/>
  <c r="AM153" i="5"/>
  <c r="AM227" i="5"/>
  <c r="AM203" i="5"/>
  <c r="AM236" i="5"/>
  <c r="AM148" i="5"/>
  <c r="AM60" i="5"/>
  <c r="AH375" i="5"/>
  <c r="AI375" i="5"/>
  <c r="U47" i="4"/>
  <c r="AS86" i="4"/>
  <c r="V19" i="4"/>
  <c r="AS19" i="4"/>
  <c r="U19" i="4"/>
  <c r="AS148" i="4"/>
  <c r="U126" i="4"/>
  <c r="T538" i="5"/>
  <c r="AI424" i="5"/>
  <c r="AH424" i="5"/>
  <c r="AM440" i="5"/>
  <c r="AH456" i="5"/>
  <c r="T472" i="5"/>
  <c r="T504" i="5"/>
  <c r="AH320" i="5"/>
  <c r="AI320" i="5"/>
  <c r="AM336" i="5"/>
  <c r="T352" i="5"/>
  <c r="T368" i="5"/>
  <c r="T416" i="5"/>
  <c r="T232" i="5"/>
  <c r="T288" i="5"/>
  <c r="T192" i="5"/>
  <c r="T80" i="5"/>
  <c r="S96" i="5"/>
  <c r="R96" i="5"/>
  <c r="AI425" i="5"/>
  <c r="AH425" i="5"/>
  <c r="AN25" i="5"/>
  <c r="AN27" i="5"/>
  <c r="AO27" i="5"/>
  <c r="AN156" i="5"/>
  <c r="AO156" i="5"/>
  <c r="AN92" i="5"/>
  <c r="AO92" i="5"/>
  <c r="AS68" i="4"/>
  <c r="AS103" i="4"/>
  <c r="U103" i="4"/>
  <c r="V103" i="4"/>
  <c r="AS69" i="4"/>
  <c r="V69" i="4"/>
  <c r="AM36" i="5"/>
  <c r="AM67" i="5"/>
  <c r="AM75" i="5"/>
  <c r="AM74" i="5"/>
  <c r="AM100" i="5"/>
  <c r="AM124" i="5"/>
  <c r="AM166" i="5"/>
  <c r="AM201" i="5"/>
  <c r="AM196" i="5"/>
  <c r="AM215" i="5"/>
  <c r="AM291" i="5"/>
  <c r="AM317" i="5"/>
  <c r="AM295" i="5"/>
  <c r="AM357" i="5"/>
  <c r="AM411" i="5"/>
  <c r="AM22" i="5"/>
  <c r="AM21" i="5"/>
  <c r="AM102" i="5"/>
  <c r="AM117" i="5"/>
  <c r="AM170" i="5"/>
  <c r="AM165" i="5"/>
  <c r="AM214" i="5"/>
  <c r="AM237" i="5"/>
  <c r="AM303" i="5"/>
  <c r="AM321" i="5"/>
  <c r="AM309" i="5"/>
  <c r="AM218" i="5"/>
  <c r="AM414" i="5"/>
  <c r="AM375" i="5"/>
  <c r="AM461" i="5"/>
  <c r="AM381" i="5"/>
  <c r="AM545" i="5"/>
  <c r="AM553" i="5"/>
  <c r="AM541" i="5"/>
  <c r="AM37" i="5"/>
  <c r="AM52" i="5"/>
  <c r="AM76" i="5"/>
  <c r="AM86" i="5"/>
  <c r="AM101" i="5"/>
  <c r="AM180" i="5"/>
  <c r="AM190" i="5"/>
  <c r="AM217" i="5"/>
  <c r="AM191" i="5"/>
  <c r="AM323" i="5"/>
  <c r="AM188" i="5"/>
  <c r="AM310" i="5"/>
  <c r="AM316" i="5"/>
  <c r="AM428" i="5"/>
  <c r="AM377" i="5"/>
  <c r="AM333" i="5"/>
  <c r="AM515" i="5"/>
  <c r="AM468" i="5"/>
  <c r="AM405" i="5"/>
  <c r="AM489" i="5"/>
  <c r="AM229" i="5"/>
  <c r="AM558" i="5"/>
  <c r="AM542" i="5"/>
  <c r="AM30" i="5"/>
  <c r="AM63" i="5"/>
  <c r="AM77" i="5"/>
  <c r="AM94" i="5"/>
  <c r="AM126" i="5"/>
  <c r="AM134" i="5"/>
  <c r="AM213" i="5"/>
  <c r="AM226" i="5"/>
  <c r="AM327" i="5"/>
  <c r="AM241" i="5"/>
  <c r="AM315" i="5"/>
  <c r="AM319" i="5"/>
  <c r="AM386" i="5"/>
  <c r="AM531" i="5"/>
  <c r="AM470" i="5"/>
  <c r="AM441" i="5"/>
  <c r="AM494" i="5"/>
  <c r="AM297" i="5"/>
  <c r="AM559" i="5"/>
  <c r="AM44" i="5"/>
  <c r="AM55" i="5"/>
  <c r="AM84" i="5"/>
  <c r="AM138" i="5"/>
  <c r="AM143" i="5"/>
  <c r="AM242" i="5"/>
  <c r="AM246" i="5"/>
  <c r="AM247" i="5"/>
  <c r="AM329" i="5"/>
  <c r="AM250" i="5"/>
  <c r="AM399" i="5"/>
  <c r="AM342" i="5"/>
  <c r="AM401" i="5"/>
  <c r="AM382" i="5"/>
  <c r="AM443" i="5"/>
  <c r="AM502" i="5"/>
  <c r="AM425" i="5"/>
  <c r="AM524" i="5"/>
  <c r="AM46" i="5"/>
  <c r="AM54" i="5"/>
  <c r="AM146" i="5"/>
  <c r="AM158" i="5"/>
  <c r="AM230" i="5"/>
  <c r="AM244" i="5"/>
  <c r="AM266" i="5"/>
  <c r="AM269" i="5"/>
  <c r="AM255" i="5"/>
  <c r="AM330" i="5"/>
  <c r="AM373" i="5"/>
  <c r="AM277" i="5"/>
  <c r="AM402" i="5"/>
  <c r="AM364" i="5"/>
  <c r="AM452" i="5"/>
  <c r="AM391" i="5"/>
  <c r="AM507" i="5"/>
  <c r="AM453" i="5"/>
  <c r="AM503" i="5"/>
  <c r="AM513" i="5"/>
  <c r="AM544" i="5"/>
  <c r="AM483" i="5"/>
  <c r="AM90" i="5"/>
  <c r="AM154" i="5"/>
  <c r="AM181" i="5"/>
  <c r="AM183" i="5"/>
  <c r="AM271" i="5"/>
  <c r="AM268" i="5"/>
  <c r="AM339" i="5"/>
  <c r="AM345" i="5"/>
  <c r="AM417" i="5"/>
  <c r="AM366" i="5"/>
  <c r="AM460" i="5"/>
  <c r="AM403" i="5"/>
  <c r="AM511" i="5"/>
  <c r="AM466" i="5"/>
  <c r="AM509" i="5"/>
  <c r="AM517" i="5"/>
  <c r="AM407" i="5"/>
  <c r="AM19" i="5"/>
  <c r="AM151" i="5"/>
  <c r="AM275" i="5"/>
  <c r="AM398" i="5"/>
  <c r="AM479" i="5"/>
  <c r="AM119" i="5"/>
  <c r="AM351" i="5"/>
  <c r="AM471" i="5"/>
  <c r="AM522" i="5"/>
  <c r="AM150" i="5"/>
  <c r="AM393" i="5"/>
  <c r="AM478" i="5"/>
  <c r="AM523" i="5"/>
  <c r="AM187" i="5"/>
  <c r="AM350" i="5"/>
  <c r="AM429" i="5"/>
  <c r="AM529" i="5"/>
  <c r="AM34" i="5"/>
  <c r="AM182" i="5"/>
  <c r="AM361" i="5"/>
  <c r="AM439" i="5"/>
  <c r="AM548" i="5"/>
  <c r="AM202" i="5"/>
  <c r="AM245" i="5"/>
  <c r="AM516" i="5"/>
  <c r="AM78" i="5"/>
  <c r="AM279" i="5"/>
  <c r="AM254" i="5"/>
  <c r="AM353" i="5"/>
  <c r="AM501" i="5"/>
  <c r="AM95" i="5"/>
  <c r="AM290" i="5"/>
  <c r="AM378" i="5"/>
  <c r="AM469" i="5"/>
  <c r="AS134" i="4"/>
  <c r="V68" i="4"/>
  <c r="AM456" i="5"/>
  <c r="AH472" i="5"/>
  <c r="AI472" i="5"/>
  <c r="T488" i="5"/>
  <c r="AI504" i="5"/>
  <c r="AH504" i="5"/>
  <c r="T320" i="5"/>
  <c r="AM368" i="5"/>
  <c r="T384" i="5"/>
  <c r="AM400" i="5"/>
  <c r="AI416" i="5"/>
  <c r="AH416" i="5"/>
  <c r="T256" i="5"/>
  <c r="AM288" i="5"/>
  <c r="T312" i="5"/>
  <c r="T152" i="5"/>
  <c r="AM216" i="5"/>
  <c r="AH80" i="5"/>
  <c r="AI80" i="5"/>
  <c r="T8" i="5"/>
  <c r="B206" i="2"/>
  <c r="B255" i="2"/>
  <c r="AL64" i="5"/>
  <c r="AK64" i="5"/>
  <c r="AO251" i="5"/>
  <c r="AN251" i="5"/>
  <c r="U51" i="5"/>
  <c r="V51" i="5"/>
  <c r="AN155" i="5"/>
  <c r="AO155" i="5"/>
  <c r="AI217" i="5"/>
  <c r="AH217" i="5"/>
  <c r="AL307" i="5"/>
  <c r="AK307" i="5"/>
  <c r="AN409" i="5"/>
  <c r="AO409" i="5"/>
  <c r="AI299" i="5"/>
  <c r="AH299" i="5"/>
  <c r="AJ195" i="5"/>
  <c r="AJ519" i="5"/>
  <c r="AN113" i="5"/>
  <c r="AO113" i="5"/>
  <c r="AO347" i="5"/>
  <c r="AN347" i="5"/>
  <c r="AI305" i="5"/>
  <c r="AH305" i="5"/>
  <c r="AJ171" i="5"/>
  <c r="AJ457" i="5"/>
  <c r="AJ131" i="5"/>
  <c r="AJ59" i="5"/>
  <c r="AJ115" i="5"/>
  <c r="AN436" i="5"/>
  <c r="AO436" i="5"/>
  <c r="AI461" i="5"/>
  <c r="AH461" i="5"/>
  <c r="AI294" i="5"/>
  <c r="AH294" i="5"/>
  <c r="AH117" i="5"/>
  <c r="AI117" i="5"/>
  <c r="AI162" i="5"/>
  <c r="AH162" i="5"/>
  <c r="AH37" i="5"/>
  <c r="AI37" i="5"/>
  <c r="AI530" i="5"/>
  <c r="AH530" i="5"/>
  <c r="AI421" i="5"/>
  <c r="AH421" i="5"/>
  <c r="AI221" i="5"/>
  <c r="AH221" i="5"/>
  <c r="AH34" i="5"/>
  <c r="AI34" i="5"/>
  <c r="AI458" i="5"/>
  <c r="AH458" i="5"/>
  <c r="AH226" i="5"/>
  <c r="AI226" i="5"/>
  <c r="AI234" i="5"/>
  <c r="AH234" i="5"/>
  <c r="AH126" i="5"/>
  <c r="AI126" i="5"/>
  <c r="AH506" i="5"/>
  <c r="AI506" i="5"/>
  <c r="AI372" i="5"/>
  <c r="AH372" i="5"/>
  <c r="AI285" i="5"/>
  <c r="AH285" i="5"/>
  <c r="AH140" i="5"/>
  <c r="AI140" i="5"/>
  <c r="AI449" i="5"/>
  <c r="AH449" i="5"/>
  <c r="AI474" i="5"/>
  <c r="AH474" i="5"/>
  <c r="AI321" i="5"/>
  <c r="AH321" i="5"/>
  <c r="AI316" i="5"/>
  <c r="AH316" i="5"/>
  <c r="AI164" i="5"/>
  <c r="AH164" i="5"/>
  <c r="AI89" i="5"/>
  <c r="AH89" i="5"/>
  <c r="AN506" i="5"/>
  <c r="AO506" i="5"/>
  <c r="AN262" i="5"/>
  <c r="AO262" i="5"/>
  <c r="AN109" i="5"/>
  <c r="AO109" i="5"/>
  <c r="AN536" i="5"/>
  <c r="AO536" i="5"/>
  <c r="AN349" i="5"/>
  <c r="AO349" i="5"/>
  <c r="AN261" i="5"/>
  <c r="AO261" i="5"/>
  <c r="AN372" i="5"/>
  <c r="AO372" i="5"/>
  <c r="AM12" i="5"/>
  <c r="Q12" i="5"/>
  <c r="T12" i="5"/>
  <c r="AJ12" i="5"/>
  <c r="AG12" i="5"/>
  <c r="W12" i="5"/>
  <c r="AN477" i="5"/>
  <c r="AO477" i="5"/>
  <c r="AO314" i="5"/>
  <c r="AN314" i="5"/>
  <c r="AN125" i="5"/>
  <c r="AO125" i="5"/>
  <c r="AN505" i="5"/>
  <c r="AO505" i="5"/>
  <c r="AO249" i="5"/>
  <c r="AN249" i="5"/>
  <c r="AN221" i="5"/>
  <c r="U152" i="4"/>
  <c r="AS85" i="4"/>
  <c r="V85" i="4"/>
  <c r="U85" i="4"/>
  <c r="U92" i="4"/>
  <c r="V92" i="4"/>
  <c r="AS92" i="4"/>
  <c r="V82" i="4"/>
  <c r="AS82" i="4"/>
  <c r="U82" i="4"/>
  <c r="U72" i="4"/>
  <c r="V81" i="4"/>
  <c r="AS81" i="4"/>
  <c r="U81" i="4"/>
  <c r="AJ533" i="5"/>
  <c r="AH439" i="5"/>
  <c r="AI439" i="5"/>
  <c r="AI463" i="5"/>
  <c r="AH463" i="5"/>
  <c r="AJ351" i="5"/>
  <c r="AJ383" i="5"/>
  <c r="AO223" i="5"/>
  <c r="AN223" i="5"/>
  <c r="AJ263" i="5"/>
  <c r="AO135" i="5"/>
  <c r="AN135" i="5"/>
  <c r="AJ159" i="5"/>
  <c r="AJ191" i="5"/>
  <c r="AN23" i="5"/>
  <c r="AO23" i="5"/>
  <c r="AI55" i="5"/>
  <c r="AH55" i="5"/>
  <c r="AJ95" i="5"/>
  <c r="U129" i="5"/>
  <c r="U20" i="5"/>
  <c r="V20" i="5"/>
  <c r="U164" i="5"/>
  <c r="V164" i="5"/>
  <c r="U113" i="5"/>
  <c r="V113" i="5"/>
  <c r="B51" i="2"/>
  <c r="B32" i="2" s="1"/>
  <c r="AO538" i="5"/>
  <c r="AN538" i="5"/>
  <c r="AJ448" i="5"/>
  <c r="AJ504" i="5"/>
  <c r="AO328" i="5"/>
  <c r="AN328" i="5"/>
  <c r="AJ376" i="5"/>
  <c r="AO224" i="5"/>
  <c r="AN224" i="5"/>
  <c r="AH256" i="5"/>
  <c r="AI256" i="5"/>
  <c r="AH296" i="5"/>
  <c r="AI296" i="5"/>
  <c r="AJ120" i="5"/>
  <c r="AJ176" i="5"/>
  <c r="U40" i="5"/>
  <c r="AJ112" i="5"/>
  <c r="AJ369" i="5"/>
  <c r="AJ281" i="5"/>
  <c r="AI473" i="5"/>
  <c r="AH473" i="5"/>
  <c r="AH363" i="5"/>
  <c r="AI363" i="5"/>
  <c r="AH99" i="5"/>
  <c r="AI99" i="5"/>
  <c r="AH259" i="5"/>
  <c r="AI259" i="5"/>
  <c r="AK379" i="5"/>
  <c r="AL379" i="5"/>
  <c r="AO435" i="5"/>
  <c r="AN435" i="5"/>
  <c r="AI451" i="5"/>
  <c r="AH451" i="5"/>
  <c r="AO211" i="5"/>
  <c r="AN211" i="5"/>
  <c r="AI81" i="5"/>
  <c r="AH81" i="5"/>
  <c r="AH499" i="5"/>
  <c r="AI499" i="5"/>
  <c r="AJ203" i="5"/>
  <c r="AJ395" i="5"/>
  <c r="AJ155" i="5"/>
  <c r="AN476" i="5"/>
  <c r="AO476" i="5"/>
  <c r="AI389" i="5"/>
  <c r="AH389" i="5"/>
  <c r="AI466" i="5"/>
  <c r="AH466" i="5"/>
  <c r="AH278" i="5"/>
  <c r="AI278" i="5"/>
  <c r="AI149" i="5"/>
  <c r="AH149" i="5"/>
  <c r="AH30" i="5"/>
  <c r="AI30" i="5"/>
  <c r="AI494" i="5"/>
  <c r="AH494" i="5"/>
  <c r="AI397" i="5"/>
  <c r="AH397" i="5"/>
  <c r="AH190" i="5"/>
  <c r="AI190" i="5"/>
  <c r="AI29" i="5"/>
  <c r="AH29" i="5"/>
  <c r="AI422" i="5"/>
  <c r="AH422" i="5"/>
  <c r="AI420" i="5"/>
  <c r="AH420" i="5"/>
  <c r="AH154" i="5"/>
  <c r="AI154" i="5"/>
  <c r="AH77" i="5"/>
  <c r="AI77" i="5"/>
  <c r="AI477" i="5"/>
  <c r="AH477" i="5"/>
  <c r="AI326" i="5"/>
  <c r="AH326" i="5"/>
  <c r="AH244" i="5"/>
  <c r="AI244" i="5"/>
  <c r="AH158" i="5"/>
  <c r="AI158" i="5"/>
  <c r="AI523" i="5"/>
  <c r="AH523" i="5"/>
  <c r="AH516" i="5"/>
  <c r="AI516" i="5"/>
  <c r="AI436" i="5"/>
  <c r="AH436" i="5"/>
  <c r="AH286" i="5"/>
  <c r="AI286" i="5"/>
  <c r="AI218" i="5"/>
  <c r="AH218" i="5"/>
  <c r="AH121" i="5"/>
  <c r="AI121" i="5"/>
  <c r="AN551" i="5"/>
  <c r="AO551" i="5"/>
  <c r="AN325" i="5"/>
  <c r="AO325" i="5"/>
  <c r="AO318" i="5"/>
  <c r="AN318" i="5"/>
  <c r="AO98" i="5"/>
  <c r="AN98" i="5"/>
  <c r="AN518" i="5"/>
  <c r="AO518" i="5"/>
  <c r="AN390" i="5"/>
  <c r="AO390" i="5"/>
  <c r="AN210" i="5"/>
  <c r="AO210" i="5"/>
  <c r="AO528" i="5"/>
  <c r="AO532" i="5"/>
  <c r="AN532" i="5"/>
  <c r="AO142" i="5"/>
  <c r="AN234" i="5"/>
  <c r="AO234" i="5"/>
  <c r="AN85" i="5"/>
  <c r="AO85" i="5"/>
  <c r="AN492" i="5"/>
  <c r="AO492" i="5"/>
  <c r="AN340" i="5"/>
  <c r="AO340" i="5"/>
  <c r="AN326" i="5"/>
  <c r="AO326" i="5"/>
  <c r="AN197" i="5"/>
  <c r="AO197" i="5"/>
  <c r="AN68" i="5"/>
  <c r="AO68" i="5"/>
  <c r="AS120" i="4"/>
  <c r="U120" i="4"/>
  <c r="V120" i="4"/>
  <c r="AS129" i="4"/>
  <c r="AS53" i="4"/>
  <c r="U53" i="4"/>
  <c r="V53" i="4"/>
  <c r="U60" i="4"/>
  <c r="AS43" i="4"/>
  <c r="AS50" i="4"/>
  <c r="U50" i="4"/>
  <c r="U13" i="4"/>
  <c r="V13" i="4"/>
  <c r="AS13" i="4"/>
  <c r="V32" i="4"/>
  <c r="AS32" i="4"/>
  <c r="U32" i="4"/>
  <c r="AH553" i="5"/>
  <c r="AI553" i="5"/>
  <c r="AO533" i="5"/>
  <c r="AJ447" i="5"/>
  <c r="AJ479" i="5"/>
  <c r="AI419" i="5"/>
  <c r="AH419" i="5"/>
  <c r="AI351" i="5"/>
  <c r="AH351" i="5"/>
  <c r="AI383" i="5"/>
  <c r="AH383" i="5"/>
  <c r="AJ231" i="5"/>
  <c r="AH135" i="5"/>
  <c r="AI135" i="5"/>
  <c r="AJ199" i="5"/>
  <c r="AI31" i="5"/>
  <c r="AH31" i="5"/>
  <c r="U71" i="5"/>
  <c r="V71" i="5"/>
  <c r="V153" i="5"/>
  <c r="U153" i="5"/>
  <c r="U132" i="5"/>
  <c r="V132" i="5"/>
  <c r="V308" i="5"/>
  <c r="U308" i="5"/>
  <c r="V165" i="5"/>
  <c r="U165" i="5"/>
  <c r="U42" i="5"/>
  <c r="V42" i="5"/>
  <c r="V189" i="5"/>
  <c r="U189" i="5"/>
  <c r="U90" i="5"/>
  <c r="V90" i="5"/>
  <c r="AO546" i="5"/>
  <c r="AN546" i="5"/>
  <c r="AH448" i="5"/>
  <c r="AI448" i="5"/>
  <c r="AJ512" i="5"/>
  <c r="AJ384" i="5"/>
  <c r="AO232" i="5"/>
  <c r="AJ256" i="5"/>
  <c r="AH128" i="5"/>
  <c r="AI128" i="5"/>
  <c r="AH160" i="5"/>
  <c r="AI160" i="5"/>
  <c r="U184" i="5"/>
  <c r="V184" i="5"/>
  <c r="U216" i="5"/>
  <c r="V216" i="5"/>
  <c r="AO40" i="5"/>
  <c r="AN40" i="5"/>
  <c r="U96" i="5"/>
  <c r="V96" i="5"/>
  <c r="AH112" i="5"/>
  <c r="AI112" i="5"/>
  <c r="AN519" i="5"/>
  <c r="AO519" i="5"/>
  <c r="AN83" i="5"/>
  <c r="AO83" i="5"/>
  <c r="AN299" i="5"/>
  <c r="AO299" i="5"/>
  <c r="AI91" i="5"/>
  <c r="AH91" i="5"/>
  <c r="AK51" i="5"/>
  <c r="AL51" i="5"/>
  <c r="AN281" i="5"/>
  <c r="AO281" i="5"/>
  <c r="AH291" i="5"/>
  <c r="AI291" i="5"/>
  <c r="AJ26" i="5"/>
  <c r="AJ33" i="5"/>
  <c r="AJ34" i="5"/>
  <c r="AJ36" i="5"/>
  <c r="AJ65" i="5"/>
  <c r="AJ58" i="5"/>
  <c r="AJ70" i="5"/>
  <c r="AJ141" i="5"/>
  <c r="AJ102" i="5"/>
  <c r="AJ188" i="5"/>
  <c r="AJ148" i="5"/>
  <c r="AJ214" i="5"/>
  <c r="AJ241" i="5"/>
  <c r="AJ253" i="5"/>
  <c r="AJ294" i="5"/>
  <c r="AJ329" i="5"/>
  <c r="AJ251" i="5"/>
  <c r="AJ213" i="5"/>
  <c r="AJ270" i="5"/>
  <c r="AJ297" i="5"/>
  <c r="AJ246" i="5"/>
  <c r="AJ345" i="5"/>
  <c r="AJ370" i="5"/>
  <c r="AJ38" i="5"/>
  <c r="AJ68" i="5"/>
  <c r="AJ101" i="5"/>
  <c r="AJ138" i="5"/>
  <c r="AJ116" i="5"/>
  <c r="AJ133" i="5"/>
  <c r="AJ180" i="5"/>
  <c r="AJ242" i="5"/>
  <c r="AJ234" i="5"/>
  <c r="AJ189" i="5"/>
  <c r="AJ218" i="5"/>
  <c r="AJ298" i="5"/>
  <c r="AJ330" i="5"/>
  <c r="AJ254" i="5"/>
  <c r="AJ314" i="5"/>
  <c r="AJ221" i="5"/>
  <c r="AJ333" i="5"/>
  <c r="AJ346" i="5"/>
  <c r="AJ342" i="5"/>
  <c r="AJ378" i="5"/>
  <c r="AJ420" i="5"/>
  <c r="AJ396" i="5"/>
  <c r="AJ338" i="5"/>
  <c r="AJ446" i="5"/>
  <c r="AJ506" i="5"/>
  <c r="AJ502" i="5"/>
  <c r="AJ517" i="5"/>
  <c r="AJ542" i="5"/>
  <c r="AJ550" i="5"/>
  <c r="AJ528" i="5"/>
  <c r="AJ548" i="5"/>
  <c r="AJ486" i="5"/>
  <c r="AJ44" i="5"/>
  <c r="AJ42" i="5"/>
  <c r="AJ50" i="5"/>
  <c r="AJ74" i="5"/>
  <c r="AJ78" i="5"/>
  <c r="AJ109" i="5"/>
  <c r="AJ100" i="5"/>
  <c r="AJ118" i="5"/>
  <c r="AJ149" i="5"/>
  <c r="AJ110" i="5"/>
  <c r="AJ186" i="5"/>
  <c r="AJ165" i="5"/>
  <c r="AJ194" i="5"/>
  <c r="AJ222" i="5"/>
  <c r="AJ193" i="5"/>
  <c r="AJ269" i="5"/>
  <c r="AJ305" i="5"/>
  <c r="AJ177" i="5"/>
  <c r="AJ257" i="5"/>
  <c r="AJ293" i="5"/>
  <c r="AJ250" i="5"/>
  <c r="AJ277" i="5"/>
  <c r="AJ308" i="5"/>
  <c r="AJ340" i="5"/>
  <c r="AJ356" i="5"/>
  <c r="AJ412" i="5"/>
  <c r="AJ349" i="5"/>
  <c r="AJ394" i="5"/>
  <c r="AJ401" i="5"/>
  <c r="AJ385" i="5"/>
  <c r="AJ461" i="5"/>
  <c r="AJ482" i="5"/>
  <c r="AJ418" i="5"/>
  <c r="AJ508" i="5"/>
  <c r="AJ417" i="5"/>
  <c r="AJ442" i="5"/>
  <c r="AJ527" i="5"/>
  <c r="AJ547" i="5"/>
  <c r="AJ556" i="5"/>
  <c r="AJ535" i="5"/>
  <c r="AJ497" i="5"/>
  <c r="AJ46" i="5"/>
  <c r="AJ45" i="5"/>
  <c r="AJ54" i="5"/>
  <c r="AJ84" i="5"/>
  <c r="AJ130" i="5"/>
  <c r="AJ157" i="5"/>
  <c r="AJ114" i="5"/>
  <c r="AJ164" i="5"/>
  <c r="AJ156" i="5"/>
  <c r="AJ170" i="5"/>
  <c r="AJ205" i="5"/>
  <c r="AJ226" i="5"/>
  <c r="AJ197" i="5"/>
  <c r="AJ198" i="5"/>
  <c r="AJ310" i="5"/>
  <c r="AJ322" i="5"/>
  <c r="AJ252" i="5"/>
  <c r="AJ282" i="5"/>
  <c r="AJ357" i="5"/>
  <c r="AJ380" i="5"/>
  <c r="AJ413" i="5"/>
  <c r="AJ354" i="5"/>
  <c r="AJ300" i="5"/>
  <c r="AJ381" i="5"/>
  <c r="AJ428" i="5"/>
  <c r="AJ484" i="5"/>
  <c r="AJ454" i="5"/>
  <c r="AJ509" i="5"/>
  <c r="AJ421" i="5"/>
  <c r="AJ445" i="5"/>
  <c r="AJ485" i="5"/>
  <c r="AJ552" i="5"/>
  <c r="AJ452" i="5"/>
  <c r="AJ22" i="5"/>
  <c r="AJ20" i="5"/>
  <c r="AJ21" i="5"/>
  <c r="AJ52" i="5"/>
  <c r="AJ61" i="5"/>
  <c r="AJ60" i="5"/>
  <c r="AJ85" i="5"/>
  <c r="AJ125" i="5"/>
  <c r="AJ158" i="5"/>
  <c r="AJ132" i="5"/>
  <c r="AJ150" i="5"/>
  <c r="AJ166" i="5"/>
  <c r="AJ173" i="5"/>
  <c r="AJ228" i="5"/>
  <c r="AJ172" i="5"/>
  <c r="AJ236" i="5"/>
  <c r="AJ278" i="5"/>
  <c r="AJ317" i="5"/>
  <c r="AJ230" i="5"/>
  <c r="AJ301" i="5"/>
  <c r="AJ324" i="5"/>
  <c r="AJ258" i="5"/>
  <c r="AJ286" i="5"/>
  <c r="AJ316" i="5"/>
  <c r="AJ274" i="5"/>
  <c r="AJ358" i="5"/>
  <c r="AJ398" i="5"/>
  <c r="AJ382" i="5"/>
  <c r="AJ405" i="5"/>
  <c r="AJ429" i="5"/>
  <c r="AJ492" i="5"/>
  <c r="AJ523" i="5"/>
  <c r="AJ436" i="5"/>
  <c r="AJ510" i="5"/>
  <c r="AJ422" i="5"/>
  <c r="AJ490" i="5"/>
  <c r="AJ558" i="5"/>
  <c r="AJ462" i="5"/>
  <c r="AJ514" i="5"/>
  <c r="AJ28" i="5"/>
  <c r="AJ57" i="5"/>
  <c r="AJ82" i="5"/>
  <c r="AJ106" i="5"/>
  <c r="AJ134" i="5"/>
  <c r="AJ140" i="5"/>
  <c r="AJ179" i="5"/>
  <c r="AJ204" i="5"/>
  <c r="AJ237" i="5"/>
  <c r="AJ232" i="5"/>
  <c r="AJ321" i="5"/>
  <c r="AJ287" i="5"/>
  <c r="AJ267" i="5"/>
  <c r="AJ355" i="5"/>
  <c r="AJ377" i="5"/>
  <c r="AJ434" i="5"/>
  <c r="AJ388" i="5"/>
  <c r="AJ372" i="5"/>
  <c r="AJ352" i="5"/>
  <c r="AJ480" i="5"/>
  <c r="AJ373" i="5"/>
  <c r="AJ481" i="5"/>
  <c r="AJ266" i="5"/>
  <c r="AJ437" i="5"/>
  <c r="AJ526" i="5"/>
  <c r="AJ404" i="5"/>
  <c r="AJ530" i="5"/>
  <c r="AJ498" i="5"/>
  <c r="AJ19" i="5"/>
  <c r="O13" i="5"/>
  <c r="AJ23" i="5"/>
  <c r="AJ39" i="5"/>
  <c r="AJ62" i="5"/>
  <c r="AJ93" i="5"/>
  <c r="AJ117" i="5"/>
  <c r="AJ136" i="5"/>
  <c r="AJ151" i="5"/>
  <c r="AJ137" i="5"/>
  <c r="AJ25" i="5"/>
  <c r="AJ63" i="5"/>
  <c r="AJ75" i="5"/>
  <c r="AJ94" i="5"/>
  <c r="AJ126" i="5"/>
  <c r="AJ145" i="5"/>
  <c r="AJ154" i="5"/>
  <c r="AJ182" i="5"/>
  <c r="AJ219" i="5"/>
  <c r="AJ181" i="5"/>
  <c r="AJ243" i="5"/>
  <c r="AJ331" i="5"/>
  <c r="AJ309" i="5"/>
  <c r="AJ289" i="5"/>
  <c r="AJ296" i="5"/>
  <c r="AJ390" i="5"/>
  <c r="AJ336" i="5"/>
  <c r="AJ406" i="5"/>
  <c r="AJ387" i="5"/>
  <c r="AJ440" i="5"/>
  <c r="AJ500" i="5"/>
  <c r="AJ441" i="5"/>
  <c r="AJ494" i="5"/>
  <c r="AJ393" i="5"/>
  <c r="AJ458" i="5"/>
  <c r="AJ538" i="5"/>
  <c r="AJ532" i="5"/>
  <c r="AJ551" i="5"/>
  <c r="AJ555" i="5"/>
  <c r="AJ37" i="5"/>
  <c r="AJ69" i="5"/>
  <c r="AJ76" i="5"/>
  <c r="AJ104" i="5"/>
  <c r="AJ128" i="5"/>
  <c r="AJ80" i="5"/>
  <c r="AJ139" i="5"/>
  <c r="AJ184" i="5"/>
  <c r="AJ235" i="5"/>
  <c r="AJ192" i="5"/>
  <c r="AJ247" i="5"/>
  <c r="AJ248" i="5"/>
  <c r="AJ315" i="5"/>
  <c r="AJ292" i="5"/>
  <c r="AJ337" i="5"/>
  <c r="AJ392" i="5"/>
  <c r="AJ341" i="5"/>
  <c r="AJ415" i="5"/>
  <c r="AJ391" i="5"/>
  <c r="AJ444" i="5"/>
  <c r="AJ505" i="5"/>
  <c r="AJ443" i="5"/>
  <c r="AJ499" i="5"/>
  <c r="AJ402" i="5"/>
  <c r="AJ460" i="5"/>
  <c r="AJ540" i="5"/>
  <c r="AJ549" i="5"/>
  <c r="AJ554" i="5"/>
  <c r="AJ557" i="5"/>
  <c r="AJ29" i="5"/>
  <c r="AJ53" i="5"/>
  <c r="AJ77" i="5"/>
  <c r="AJ90" i="5"/>
  <c r="AJ146" i="5"/>
  <c r="AJ86" i="5"/>
  <c r="AJ168" i="5"/>
  <c r="AJ196" i="5"/>
  <c r="AJ238" i="5"/>
  <c r="AJ206" i="5"/>
  <c r="AJ262" i="5"/>
  <c r="AJ249" i="5"/>
  <c r="AJ332" i="5"/>
  <c r="AJ304" i="5"/>
  <c r="AJ344" i="5"/>
  <c r="AJ408" i="5"/>
  <c r="AJ348" i="5"/>
  <c r="AJ259" i="5"/>
  <c r="AJ397" i="5"/>
  <c r="AJ453" i="5"/>
  <c r="AJ511" i="5"/>
  <c r="AJ450" i="5"/>
  <c r="AJ503" i="5"/>
  <c r="AJ414" i="5"/>
  <c r="AJ472" i="5"/>
  <c r="AJ544" i="5"/>
  <c r="AJ559" i="5"/>
  <c r="AJ560" i="5"/>
  <c r="AJ474" i="5"/>
  <c r="AJ30" i="5"/>
  <c r="AJ66" i="5"/>
  <c r="AJ73" i="5"/>
  <c r="AJ92" i="5"/>
  <c r="AJ161" i="5"/>
  <c r="AJ108" i="5"/>
  <c r="AJ174" i="5"/>
  <c r="AJ124" i="5"/>
  <c r="AJ244" i="5"/>
  <c r="AJ209" i="5"/>
  <c r="AJ284" i="5"/>
  <c r="AJ255" i="5"/>
  <c r="AJ190" i="5"/>
  <c r="AJ319" i="5"/>
  <c r="AJ350" i="5"/>
  <c r="AJ419" i="5"/>
  <c r="AJ364" i="5"/>
  <c r="AJ323" i="5"/>
  <c r="AJ407" i="5"/>
  <c r="AJ470" i="5"/>
  <c r="AJ537" i="5"/>
  <c r="AJ463" i="5"/>
  <c r="AJ513" i="5"/>
  <c r="AJ424" i="5"/>
  <c r="AJ491" i="5"/>
  <c r="AJ261" i="5"/>
  <c r="AJ468" i="5"/>
  <c r="AJ471" i="5"/>
  <c r="AJ529" i="5"/>
  <c r="AJ41" i="5"/>
  <c r="AJ27" i="5"/>
  <c r="AJ91" i="5"/>
  <c r="AJ98" i="5"/>
  <c r="AJ87" i="5"/>
  <c r="AJ123" i="5"/>
  <c r="AJ185" i="5"/>
  <c r="AJ142" i="5"/>
  <c r="AJ202" i="5"/>
  <c r="AJ220" i="5"/>
  <c r="AJ290" i="5"/>
  <c r="AJ268" i="5"/>
  <c r="AJ245" i="5"/>
  <c r="AJ325" i="5"/>
  <c r="AJ363" i="5"/>
  <c r="AJ426" i="5"/>
  <c r="AJ366" i="5"/>
  <c r="AJ343" i="5"/>
  <c r="AJ409" i="5"/>
  <c r="AJ476" i="5"/>
  <c r="AJ288" i="5"/>
  <c r="AJ466" i="5"/>
  <c r="AJ518" i="5"/>
  <c r="AJ425" i="5"/>
  <c r="AJ496" i="5"/>
  <c r="AJ279" i="5"/>
  <c r="AJ516" i="5"/>
  <c r="AJ475" i="5"/>
  <c r="AJ543" i="5"/>
  <c r="AJ24" i="5"/>
  <c r="AJ49" i="5"/>
  <c r="AJ67" i="5"/>
  <c r="AJ103" i="5"/>
  <c r="AJ122" i="5"/>
  <c r="AJ129" i="5"/>
  <c r="AJ178" i="5"/>
  <c r="AJ162" i="5"/>
  <c r="AJ215" i="5"/>
  <c r="AJ229" i="5"/>
  <c r="AJ302" i="5"/>
  <c r="AJ275" i="5"/>
  <c r="AJ260" i="5"/>
  <c r="AJ334" i="5"/>
  <c r="AJ365" i="5"/>
  <c r="AJ427" i="5"/>
  <c r="AJ374" i="5"/>
  <c r="AJ362" i="5"/>
  <c r="AJ410" i="5"/>
  <c r="AJ477" i="5"/>
  <c r="AJ361" i="5"/>
  <c r="AJ469" i="5"/>
  <c r="AJ520" i="5"/>
  <c r="AJ433" i="5"/>
  <c r="AJ501" i="5"/>
  <c r="AJ285" i="5"/>
  <c r="AJ522" i="5"/>
  <c r="AJ478" i="5"/>
  <c r="AJ545" i="5"/>
  <c r="AJ212" i="5"/>
  <c r="AJ493" i="5"/>
  <c r="AJ389" i="5"/>
  <c r="AJ375" i="5"/>
  <c r="AJ210" i="5"/>
  <c r="AJ318" i="5"/>
  <c r="AJ456" i="5"/>
  <c r="AJ175" i="5"/>
  <c r="AJ400" i="5"/>
  <c r="AJ536" i="5"/>
  <c r="AJ208" i="5"/>
  <c r="AJ386" i="5"/>
  <c r="AJ524" i="5"/>
  <c r="AJ326" i="5"/>
  <c r="AJ430" i="5"/>
  <c r="AJ546" i="5"/>
  <c r="AJ306" i="5"/>
  <c r="AJ495" i="5"/>
  <c r="AJ531" i="5"/>
  <c r="AJ276" i="5"/>
  <c r="AJ438" i="5"/>
  <c r="AO289" i="5"/>
  <c r="AN289" i="5"/>
  <c r="AH337" i="5"/>
  <c r="AI337" i="5"/>
  <c r="AJ233" i="5"/>
  <c r="AJ507" i="5"/>
  <c r="AO243" i="5"/>
  <c r="AN243" i="5"/>
  <c r="AI97" i="5"/>
  <c r="AH97" i="5"/>
  <c r="AH497" i="5"/>
  <c r="AI497" i="5"/>
  <c r="AJ201" i="5"/>
  <c r="AJ435" i="5"/>
  <c r="AJ163" i="5"/>
  <c r="AO500" i="5"/>
  <c r="AN500" i="5"/>
  <c r="B47" i="2"/>
  <c r="B28" i="2" s="1"/>
  <c r="AI552" i="5"/>
  <c r="AH552" i="5"/>
  <c r="AH404" i="5"/>
  <c r="AI404" i="5"/>
  <c r="AI260" i="5"/>
  <c r="AH260" i="5"/>
  <c r="AI178" i="5"/>
  <c r="AH178" i="5"/>
  <c r="AH558" i="5"/>
  <c r="AI558" i="5"/>
  <c r="AI412" i="5"/>
  <c r="AH412" i="5"/>
  <c r="AI341" i="5"/>
  <c r="AH341" i="5"/>
  <c r="AI182" i="5"/>
  <c r="AH182" i="5"/>
  <c r="AH556" i="5"/>
  <c r="AI556" i="5"/>
  <c r="AI522" i="5"/>
  <c r="AH522" i="5"/>
  <c r="AI394" i="5"/>
  <c r="AH394" i="5"/>
  <c r="AH189" i="5"/>
  <c r="AI189" i="5"/>
  <c r="AI22" i="5"/>
  <c r="AH22" i="5"/>
  <c r="AI452" i="5"/>
  <c r="AH452" i="5"/>
  <c r="AI437" i="5"/>
  <c r="AH437" i="5"/>
  <c r="AH258" i="5"/>
  <c r="AI258" i="5"/>
  <c r="AH134" i="5"/>
  <c r="AI134" i="5"/>
  <c r="AI426" i="5"/>
  <c r="AH426" i="5"/>
  <c r="AI370" i="5"/>
  <c r="AH370" i="5"/>
  <c r="AH378" i="5"/>
  <c r="AI378" i="5"/>
  <c r="AI250" i="5"/>
  <c r="AH250" i="5"/>
  <c r="AI133" i="5"/>
  <c r="AH133" i="5"/>
  <c r="AI93" i="5"/>
  <c r="AH93" i="5"/>
  <c r="AO445" i="5"/>
  <c r="AN445" i="5"/>
  <c r="AN362" i="5"/>
  <c r="AO362" i="5"/>
  <c r="AO285" i="5"/>
  <c r="AN285" i="5"/>
  <c r="AN69" i="5"/>
  <c r="AO69" i="5"/>
  <c r="AO486" i="5"/>
  <c r="AN486" i="5"/>
  <c r="AN365" i="5"/>
  <c r="AO365" i="5"/>
  <c r="AN118" i="5"/>
  <c r="AO118" i="5"/>
  <c r="AO510" i="5"/>
  <c r="AN510" i="5"/>
  <c r="AN490" i="5"/>
  <c r="AO490" i="5"/>
  <c r="AO294" i="5"/>
  <c r="AN294" i="5"/>
  <c r="AN543" i="5"/>
  <c r="AO543" i="5"/>
  <c r="AN442" i="5"/>
  <c r="AO178" i="5"/>
  <c r="AN178" i="5"/>
  <c r="AN473" i="5"/>
  <c r="AO473" i="5"/>
  <c r="AO380" i="5"/>
  <c r="AN380" i="5"/>
  <c r="AN278" i="5"/>
  <c r="AO278" i="5"/>
  <c r="AO172" i="5"/>
  <c r="AN172" i="5"/>
  <c r="AO50" i="5"/>
  <c r="AN50" i="5"/>
  <c r="AS88" i="4"/>
  <c r="U88" i="4"/>
  <c r="V151" i="4"/>
  <c r="AS151" i="4"/>
  <c r="U151" i="4"/>
  <c r="V36" i="4"/>
  <c r="AS36" i="4"/>
  <c r="U36" i="4"/>
  <c r="AS144" i="4"/>
  <c r="U144" i="4"/>
  <c r="V153" i="4"/>
  <c r="AS153" i="4"/>
  <c r="U153" i="4"/>
  <c r="AS138" i="4"/>
  <c r="U138" i="4"/>
  <c r="V138" i="4"/>
  <c r="AS41" i="4"/>
  <c r="V41" i="4"/>
  <c r="U41" i="4"/>
  <c r="AJ553" i="5"/>
  <c r="AI533" i="5"/>
  <c r="AH533" i="5"/>
  <c r="AO487" i="5"/>
  <c r="AN487" i="5"/>
  <c r="AN419" i="5"/>
  <c r="AO419" i="5"/>
  <c r="AJ359" i="5"/>
  <c r="AN383" i="5"/>
  <c r="AO383" i="5"/>
  <c r="AO231" i="5"/>
  <c r="AN231" i="5"/>
  <c r="AJ271" i="5"/>
  <c r="AI219" i="5"/>
  <c r="AH219" i="5"/>
  <c r="AJ135" i="5"/>
  <c r="AJ167" i="5"/>
  <c r="U31" i="5"/>
  <c r="V31" i="5"/>
  <c r="AN71" i="5"/>
  <c r="AO71" i="5"/>
  <c r="U217" i="5"/>
  <c r="V217" i="5"/>
  <c r="U110" i="5"/>
  <c r="V110" i="5"/>
  <c r="U277" i="5"/>
  <c r="V277" i="5"/>
  <c r="U124" i="5"/>
  <c r="V124" i="5"/>
  <c r="U158" i="5"/>
  <c r="V158" i="5"/>
  <c r="AO526" i="5"/>
  <c r="AN526" i="5"/>
  <c r="AI464" i="5"/>
  <c r="AH464" i="5"/>
  <c r="AI512" i="5"/>
  <c r="AH512" i="5"/>
  <c r="AH384" i="5"/>
  <c r="AI384" i="5"/>
  <c r="AI232" i="5"/>
  <c r="AH232" i="5"/>
  <c r="AH264" i="5"/>
  <c r="AI264" i="5"/>
  <c r="AI304" i="5"/>
  <c r="AH304" i="5"/>
  <c r="AO128" i="5"/>
  <c r="AN128" i="5"/>
  <c r="AJ160" i="5"/>
  <c r="AH184" i="5"/>
  <c r="AI184" i="5"/>
  <c r="AJ216" i="5"/>
  <c r="AO48" i="5"/>
  <c r="AN48" i="5"/>
  <c r="AI64" i="5"/>
  <c r="AH64" i="5"/>
  <c r="AH96" i="5"/>
  <c r="AI96" i="5"/>
  <c r="AO8" i="5"/>
  <c r="AN8" i="5"/>
  <c r="AJ449" i="5"/>
  <c r="AJ81" i="5"/>
  <c r="AI113" i="5"/>
  <c r="AH113" i="5"/>
  <c r="AJ515" i="5"/>
  <c r="AO324" i="5"/>
  <c r="AN324" i="5"/>
  <c r="AI476" i="5"/>
  <c r="AH476" i="5"/>
  <c r="AH202" i="5"/>
  <c r="AI202" i="5"/>
  <c r="AH214" i="5"/>
  <c r="AI214" i="5"/>
  <c r="AH146" i="5"/>
  <c r="AI146" i="5"/>
  <c r="AI454" i="5"/>
  <c r="AH454" i="5"/>
  <c r="AI402" i="5"/>
  <c r="AH402" i="5"/>
  <c r="AI356" i="5"/>
  <c r="AH356" i="5"/>
  <c r="AI118" i="5"/>
  <c r="AH118" i="5"/>
  <c r="AH365" i="5"/>
  <c r="AI365" i="5"/>
  <c r="AI493" i="5"/>
  <c r="AH493" i="5"/>
  <c r="AH330" i="5"/>
  <c r="AI330" i="5"/>
  <c r="AI157" i="5"/>
  <c r="AH157" i="5"/>
  <c r="AH20" i="5"/>
  <c r="AI20" i="5"/>
  <c r="AI517" i="5"/>
  <c r="AH517" i="5"/>
  <c r="AI406" i="5"/>
  <c r="AH406" i="5"/>
  <c r="AH332" i="5"/>
  <c r="AI332" i="5"/>
  <c r="AI101" i="5"/>
  <c r="AH101" i="5"/>
  <c r="AI536" i="5"/>
  <c r="AH536" i="5"/>
  <c r="AH510" i="5"/>
  <c r="AI510" i="5"/>
  <c r="AH284" i="5"/>
  <c r="AI284" i="5"/>
  <c r="AI324" i="5"/>
  <c r="AH324" i="5"/>
  <c r="AH165" i="5"/>
  <c r="AI165" i="5"/>
  <c r="AI66" i="5"/>
  <c r="AH66" i="5"/>
  <c r="AN540" i="5"/>
  <c r="AO540" i="5"/>
  <c r="AO189" i="5"/>
  <c r="AN189" i="5"/>
  <c r="AN66" i="5"/>
  <c r="AO66" i="5"/>
  <c r="AN498" i="5"/>
  <c r="AO498" i="5"/>
  <c r="AN258" i="5"/>
  <c r="AO258" i="5"/>
  <c r="AN133" i="5"/>
  <c r="AO133" i="5"/>
  <c r="AN482" i="5"/>
  <c r="AO482" i="5"/>
  <c r="AO348" i="5"/>
  <c r="AN348" i="5"/>
  <c r="AN253" i="5"/>
  <c r="AO253" i="5"/>
  <c r="AN93" i="5"/>
  <c r="AO93" i="5"/>
  <c r="AN560" i="5"/>
  <c r="AO374" i="5"/>
  <c r="AN374" i="5"/>
  <c r="AO222" i="5"/>
  <c r="AN222" i="5"/>
  <c r="AO82" i="5"/>
  <c r="AN82" i="5"/>
  <c r="AO356" i="5"/>
  <c r="AN356" i="5"/>
  <c r="AO157" i="5"/>
  <c r="AN157" i="5"/>
  <c r="U56" i="4"/>
  <c r="V65" i="4"/>
  <c r="AS65" i="4"/>
  <c r="U65" i="4"/>
  <c r="U119" i="4"/>
  <c r="V119" i="4"/>
  <c r="AS119" i="4"/>
  <c r="V112" i="4"/>
  <c r="AS112" i="4"/>
  <c r="U112" i="4"/>
  <c r="U121" i="4"/>
  <c r="V99" i="4"/>
  <c r="AS99" i="4"/>
  <c r="U99" i="4"/>
  <c r="AN537" i="5"/>
  <c r="AO537" i="5"/>
  <c r="AJ423" i="5"/>
  <c r="AJ487" i="5"/>
  <c r="AJ327" i="5"/>
  <c r="AI359" i="5"/>
  <c r="AH359" i="5"/>
  <c r="AJ399" i="5"/>
  <c r="AH239" i="5"/>
  <c r="AI239" i="5"/>
  <c r="AH287" i="5"/>
  <c r="AI287" i="5"/>
  <c r="AO219" i="5"/>
  <c r="AN219" i="5"/>
  <c r="AH143" i="5"/>
  <c r="AI143" i="5"/>
  <c r="AO167" i="5"/>
  <c r="AN167" i="5"/>
  <c r="AJ31" i="5"/>
  <c r="AJ71" i="5"/>
  <c r="AI103" i="5"/>
  <c r="AH103" i="5"/>
  <c r="V220" i="5"/>
  <c r="V213" i="5"/>
  <c r="V108" i="5"/>
  <c r="U163" i="5"/>
  <c r="V163" i="5"/>
  <c r="V81" i="5"/>
  <c r="U81" i="5"/>
  <c r="AJ534" i="5"/>
  <c r="AJ464" i="5"/>
  <c r="AN512" i="5"/>
  <c r="AO512" i="5"/>
  <c r="AI360" i="5"/>
  <c r="AH360" i="5"/>
  <c r="U240" i="5"/>
  <c r="V240" i="5"/>
  <c r="V128" i="5"/>
  <c r="U128" i="5"/>
  <c r="AO160" i="5"/>
  <c r="AN160" i="5"/>
  <c r="AN192" i="5"/>
  <c r="AO192" i="5"/>
  <c r="AH24" i="5"/>
  <c r="AI24" i="5"/>
  <c r="U72" i="5"/>
  <c r="V72" i="5"/>
  <c r="AN96" i="5"/>
  <c r="AO96" i="5"/>
  <c r="AH8" i="5"/>
  <c r="AI8" i="5"/>
  <c r="AJ473" i="5"/>
  <c r="AJ121" i="5"/>
  <c r="AJ89" i="5"/>
  <c r="V88" i="4"/>
  <c r="AK483" i="5"/>
  <c r="AL283" i="5"/>
  <c r="AK283" i="5"/>
  <c r="AO449" i="5"/>
  <c r="AN449" i="5"/>
  <c r="AI491" i="5"/>
  <c r="AH491" i="5"/>
  <c r="AN131" i="5"/>
  <c r="AO131" i="5"/>
  <c r="AH131" i="5"/>
  <c r="AI131" i="5"/>
  <c r="AH521" i="5"/>
  <c r="AI521" i="5"/>
  <c r="AJ347" i="5"/>
  <c r="U75" i="5"/>
  <c r="V75" i="5"/>
  <c r="AO369" i="5"/>
  <c r="AN369" i="5"/>
  <c r="AH119" i="5"/>
  <c r="AI119" i="5"/>
  <c r="AI557" i="5"/>
  <c r="AH557" i="5"/>
  <c r="AJ265" i="5"/>
  <c r="AJ411" i="5"/>
  <c r="AJ291" i="5"/>
  <c r="AO388" i="5"/>
  <c r="AN388" i="5"/>
  <c r="AH531" i="5"/>
  <c r="AI531" i="5"/>
  <c r="AH398" i="5"/>
  <c r="AI398" i="5"/>
  <c r="AI222" i="5"/>
  <c r="AH222" i="5"/>
  <c r="AH148" i="5"/>
  <c r="AI148" i="5"/>
  <c r="AI444" i="5"/>
  <c r="AH444" i="5"/>
  <c r="AH410" i="5"/>
  <c r="AI410" i="5"/>
  <c r="AH261" i="5"/>
  <c r="AI261" i="5"/>
  <c r="AI142" i="5"/>
  <c r="AH142" i="5"/>
  <c r="AI520" i="5"/>
  <c r="AH520" i="5"/>
  <c r="AI450" i="5"/>
  <c r="AH450" i="5"/>
  <c r="AH354" i="5"/>
  <c r="AI354" i="5"/>
  <c r="AI181" i="5"/>
  <c r="AH181" i="5"/>
  <c r="AH21" i="5"/>
  <c r="AI21" i="5"/>
  <c r="AI485" i="5"/>
  <c r="AH485" i="5"/>
  <c r="AI382" i="5"/>
  <c r="AH382" i="5"/>
  <c r="AH306" i="5"/>
  <c r="AI306" i="5"/>
  <c r="AI94" i="5"/>
  <c r="AH94" i="5"/>
  <c r="AH542" i="5"/>
  <c r="AI542" i="5"/>
  <c r="AH438" i="5"/>
  <c r="AI438" i="5"/>
  <c r="AI345" i="5"/>
  <c r="AH345" i="5"/>
  <c r="AI301" i="5"/>
  <c r="AH301" i="5"/>
  <c r="AI153" i="5"/>
  <c r="AH153" i="5"/>
  <c r="AH65" i="5"/>
  <c r="AI65" i="5"/>
  <c r="AO485" i="5"/>
  <c r="AN485" i="5"/>
  <c r="AN334" i="5"/>
  <c r="AO334" i="5"/>
  <c r="AO238" i="5"/>
  <c r="AN322" i="5"/>
  <c r="AO322" i="5"/>
  <c r="AO53" i="5"/>
  <c r="AN53" i="5"/>
  <c r="AO454" i="5"/>
  <c r="AN454" i="5"/>
  <c r="AO286" i="5"/>
  <c r="AN286" i="5"/>
  <c r="AN186" i="5"/>
  <c r="AO186" i="5"/>
  <c r="AO421" i="5"/>
  <c r="AN421" i="5"/>
  <c r="AO341" i="5"/>
  <c r="AN341" i="5"/>
  <c r="AN174" i="5"/>
  <c r="AO174" i="5"/>
  <c r="AN45" i="5"/>
  <c r="AO45" i="5"/>
  <c r="AN474" i="5"/>
  <c r="AO474" i="5"/>
  <c r="AN274" i="5"/>
  <c r="AO274" i="5"/>
  <c r="AN79" i="5"/>
  <c r="AO79" i="5"/>
  <c r="AS147" i="4"/>
  <c r="U147" i="4"/>
  <c r="V147" i="4"/>
  <c r="V154" i="4"/>
  <c r="AS154" i="4"/>
  <c r="U154" i="4"/>
  <c r="AS78" i="4"/>
  <c r="V78" i="4"/>
  <c r="U78" i="4"/>
  <c r="U15" i="4"/>
  <c r="V80" i="4"/>
  <c r="AS80" i="4"/>
  <c r="U80" i="4"/>
  <c r="U89" i="4"/>
  <c r="V89" i="4"/>
  <c r="AS89" i="4"/>
  <c r="B223" i="2"/>
  <c r="B200" i="2"/>
  <c r="B212" i="2" s="1"/>
  <c r="H65" i="1" s="1"/>
  <c r="AN423" i="5"/>
  <c r="AO423" i="5"/>
  <c r="AJ455" i="5"/>
  <c r="AH487" i="5"/>
  <c r="AI487" i="5"/>
  <c r="AI327" i="5"/>
  <c r="AH327" i="5"/>
  <c r="AO359" i="5"/>
  <c r="AN359" i="5"/>
  <c r="AJ239" i="5"/>
  <c r="AO287" i="5"/>
  <c r="AN287" i="5"/>
  <c r="V127" i="5"/>
  <c r="U127" i="5"/>
  <c r="AN175" i="5"/>
  <c r="AO175" i="5"/>
  <c r="AJ207" i="5"/>
  <c r="AJ47" i="5"/>
  <c r="AH79" i="5"/>
  <c r="AI79" i="5"/>
  <c r="V111" i="5"/>
  <c r="U111" i="5"/>
  <c r="U202" i="5"/>
  <c r="V202" i="5"/>
  <c r="U78" i="5"/>
  <c r="V78" i="5"/>
  <c r="V157" i="5"/>
  <c r="U157" i="5"/>
  <c r="V238" i="5"/>
  <c r="U178" i="5"/>
  <c r="AJ488" i="5"/>
  <c r="AJ320" i="5"/>
  <c r="AN360" i="5"/>
  <c r="AO360" i="5"/>
  <c r="AN392" i="5"/>
  <c r="AO392" i="5"/>
  <c r="AI240" i="5"/>
  <c r="AH240" i="5"/>
  <c r="AJ264" i="5"/>
  <c r="U144" i="5"/>
  <c r="V144" i="5"/>
  <c r="U168" i="5"/>
  <c r="V168" i="5"/>
  <c r="AH192" i="5"/>
  <c r="AI192" i="5"/>
  <c r="AJ48" i="5"/>
  <c r="AJ72" i="5"/>
  <c r="AJ96" i="5"/>
  <c r="AJ489" i="5"/>
  <c r="AJ113" i="5"/>
  <c r="AL273" i="5"/>
  <c r="AK273" i="5"/>
  <c r="AN549" i="5"/>
  <c r="AO549" i="5"/>
  <c r="AI457" i="5"/>
  <c r="AH457" i="5"/>
  <c r="AO169" i="5"/>
  <c r="AN169" i="5"/>
  <c r="AI211" i="5"/>
  <c r="AH211" i="5"/>
  <c r="AJ83" i="5"/>
  <c r="AJ313" i="5"/>
  <c r="AH267" i="5"/>
  <c r="AI267" i="5"/>
  <c r="AI535" i="5"/>
  <c r="AH535" i="5"/>
  <c r="AJ353" i="5"/>
  <c r="B174" i="2"/>
  <c r="B175" i="2"/>
  <c r="H54" i="1"/>
  <c r="AJ299" i="5"/>
  <c r="AJ211" i="5"/>
  <c r="AI498" i="5"/>
  <c r="AH498" i="5"/>
  <c r="AI364" i="5"/>
  <c r="AH364" i="5"/>
  <c r="AH166" i="5"/>
  <c r="AI166" i="5"/>
  <c r="AH82" i="5"/>
  <c r="AI82" i="5"/>
  <c r="AI528" i="5"/>
  <c r="AH528" i="5"/>
  <c r="AH386" i="5"/>
  <c r="AI386" i="5"/>
  <c r="AH276" i="5"/>
  <c r="AI276" i="5"/>
  <c r="AH141" i="5"/>
  <c r="AI141" i="5"/>
  <c r="AH551" i="5"/>
  <c r="AI551" i="5"/>
  <c r="AI390" i="5"/>
  <c r="AH390" i="5"/>
  <c r="AI270" i="5"/>
  <c r="AH270" i="5"/>
  <c r="AI173" i="5"/>
  <c r="AH173" i="5"/>
  <c r="AI470" i="5"/>
  <c r="AH470" i="5"/>
  <c r="AI350" i="5"/>
  <c r="AH350" i="5"/>
  <c r="AH290" i="5"/>
  <c r="AI290" i="5"/>
  <c r="AH274" i="5"/>
  <c r="AI274" i="5"/>
  <c r="AI26" i="5"/>
  <c r="AH26" i="5"/>
  <c r="AI492" i="5"/>
  <c r="AH492" i="5"/>
  <c r="AI346" i="5"/>
  <c r="AH346" i="5"/>
  <c r="AI313" i="5"/>
  <c r="AH313" i="5"/>
  <c r="AI273" i="5"/>
  <c r="AH273" i="5"/>
  <c r="AI110" i="5"/>
  <c r="AH110" i="5"/>
  <c r="AH54" i="5"/>
  <c r="AI54" i="5"/>
  <c r="AO556" i="5"/>
  <c r="AN556" i="5"/>
  <c r="AN410" i="5"/>
  <c r="AO410" i="5"/>
  <c r="AO130" i="5"/>
  <c r="AN130" i="5"/>
  <c r="AO438" i="5"/>
  <c r="AN438" i="5"/>
  <c r="AO270" i="5"/>
  <c r="AN270" i="5"/>
  <c r="AO302" i="5"/>
  <c r="AN302" i="5"/>
  <c r="AO430" i="5"/>
  <c r="AN430" i="5"/>
  <c r="AN228" i="5"/>
  <c r="AO228" i="5"/>
  <c r="AO508" i="5"/>
  <c r="AN508" i="5"/>
  <c r="AN413" i="5"/>
  <c r="AO413" i="5"/>
  <c r="AN547" i="5"/>
  <c r="AO547" i="5"/>
  <c r="AN446" i="5"/>
  <c r="AO446" i="5"/>
  <c r="AO220" i="5"/>
  <c r="AN220" i="5"/>
  <c r="AS122" i="4"/>
  <c r="U122" i="4"/>
  <c r="U33" i="4"/>
  <c r="AJ525" i="5"/>
  <c r="AJ431" i="5"/>
  <c r="AH455" i="5"/>
  <c r="AI455" i="5"/>
  <c r="AN495" i="5"/>
  <c r="AO495" i="5"/>
  <c r="AJ335" i="5"/>
  <c r="AN367" i="5"/>
  <c r="AO367" i="5"/>
  <c r="AJ295" i="5"/>
  <c r="AJ127" i="5"/>
  <c r="AJ143" i="5"/>
  <c r="V175" i="5"/>
  <c r="U175" i="5"/>
  <c r="AN207" i="5"/>
  <c r="AO47" i="5"/>
  <c r="AN47" i="5"/>
  <c r="AJ79" i="5"/>
  <c r="AN111" i="5"/>
  <c r="U198" i="5"/>
  <c r="V198" i="5"/>
  <c r="U65" i="5"/>
  <c r="V65" i="5"/>
  <c r="U218" i="5"/>
  <c r="V218" i="5"/>
  <c r="V73" i="5"/>
  <c r="U73" i="5"/>
  <c r="U193" i="5"/>
  <c r="V193" i="5"/>
  <c r="U122" i="5"/>
  <c r="V122" i="5"/>
  <c r="U58" i="5"/>
  <c r="AH488" i="5"/>
  <c r="AI488" i="5"/>
  <c r="AN320" i="5"/>
  <c r="AO320" i="5"/>
  <c r="AJ360" i="5"/>
  <c r="AH392" i="5"/>
  <c r="AI392" i="5"/>
  <c r="AJ272" i="5"/>
  <c r="AJ312" i="5"/>
  <c r="AH144" i="5"/>
  <c r="AI144" i="5"/>
  <c r="AN168" i="5"/>
  <c r="AO168" i="5"/>
  <c r="AO200" i="5"/>
  <c r="AN200" i="5"/>
  <c r="AO32" i="5"/>
  <c r="AN32" i="5"/>
  <c r="AH48" i="5"/>
  <c r="AI48" i="5"/>
  <c r="AH72" i="5"/>
  <c r="AI72" i="5"/>
  <c r="V42" i="4"/>
  <c r="V122" i="4"/>
  <c r="AI379" i="5"/>
  <c r="AH379" i="5"/>
  <c r="AH25" i="5"/>
  <c r="AI25" i="5"/>
  <c r="AH51" i="5"/>
  <c r="AI51" i="5"/>
  <c r="AL43" i="5"/>
  <c r="AK43" i="5"/>
  <c r="AO115" i="5"/>
  <c r="AN115" i="5"/>
  <c r="AI257" i="5"/>
  <c r="AH257" i="5"/>
  <c r="AJ107" i="5"/>
  <c r="AJ403" i="5"/>
  <c r="AO395" i="5"/>
  <c r="AN395" i="5"/>
  <c r="AH355" i="5"/>
  <c r="AI355" i="5"/>
  <c r="AH527" i="5"/>
  <c r="AI527" i="5"/>
  <c r="AJ467" i="5"/>
  <c r="AJ339" i="5"/>
  <c r="AJ119" i="5"/>
  <c r="AF539" i="5"/>
  <c r="AF448" i="5"/>
  <c r="AF467" i="5"/>
  <c r="AF256" i="5"/>
  <c r="AF511" i="5"/>
  <c r="AF248" i="5"/>
  <c r="AF298" i="5"/>
  <c r="AF444" i="5"/>
  <c r="AF281" i="5"/>
  <c r="AF398" i="5"/>
  <c r="AF523" i="5"/>
  <c r="AF526" i="5"/>
  <c r="AF293" i="5"/>
  <c r="AF207" i="5"/>
  <c r="AF81" i="5"/>
  <c r="AF455" i="5"/>
  <c r="AF364" i="5"/>
  <c r="AF313" i="5"/>
  <c r="AF128" i="5"/>
  <c r="AF544" i="5"/>
  <c r="AF488" i="5"/>
  <c r="AF473" i="5"/>
  <c r="AF459" i="5"/>
  <c r="AF434" i="5"/>
  <c r="AF306" i="5"/>
  <c r="AF272" i="5"/>
  <c r="AF205" i="5"/>
  <c r="AF132" i="5"/>
  <c r="AF27" i="5"/>
  <c r="AF525" i="5"/>
  <c r="AF520" i="5"/>
  <c r="AF512" i="5"/>
  <c r="AF516" i="5"/>
  <c r="AP516" i="5" s="1"/>
  <c r="AF320" i="5"/>
  <c r="AF265" i="5"/>
  <c r="AF304" i="5"/>
  <c r="AF173" i="5"/>
  <c r="AF64" i="5"/>
  <c r="AF46" i="5"/>
  <c r="AF93" i="5"/>
  <c r="AF167" i="5"/>
  <c r="AF213" i="5"/>
  <c r="AF266" i="5"/>
  <c r="AF288" i="5"/>
  <c r="AF331" i="5"/>
  <c r="AF393" i="5"/>
  <c r="AF383" i="5"/>
  <c r="AF413" i="5"/>
  <c r="AF490" i="5"/>
  <c r="AF79" i="5"/>
  <c r="AF155" i="5"/>
  <c r="AF186" i="5"/>
  <c r="AF194" i="5"/>
  <c r="AF311" i="5"/>
  <c r="AF247" i="5"/>
  <c r="AF277" i="5"/>
  <c r="AF257" i="5"/>
  <c r="AF335" i="5"/>
  <c r="AF406" i="5"/>
  <c r="AF134" i="5"/>
  <c r="AF117" i="5"/>
  <c r="AF74" i="5"/>
  <c r="AF40" i="5"/>
  <c r="AF130" i="5"/>
  <c r="AF121" i="5"/>
  <c r="AF160" i="5"/>
  <c r="AF75" i="5"/>
  <c r="AF44" i="5"/>
  <c r="AF7" i="5"/>
  <c r="AF9" i="5"/>
  <c r="AF430" i="5"/>
  <c r="AF362" i="5"/>
  <c r="AF514" i="5"/>
  <c r="AF316" i="5"/>
  <c r="AF461" i="5"/>
  <c r="AF318" i="5"/>
  <c r="AF228" i="5"/>
  <c r="AF478" i="5"/>
  <c r="AF250" i="5"/>
  <c r="AF513" i="5"/>
  <c r="AF500" i="5"/>
  <c r="AF485" i="5"/>
  <c r="AF330" i="5"/>
  <c r="AF157" i="5"/>
  <c r="AF70" i="5"/>
  <c r="AF426" i="5"/>
  <c r="AF377" i="5"/>
  <c r="AF227" i="5"/>
  <c r="AF54" i="5"/>
  <c r="AF518" i="5"/>
  <c r="AF429" i="5"/>
  <c r="AF463" i="5"/>
  <c r="AF439" i="5"/>
  <c r="AF397" i="5"/>
  <c r="AF208" i="5"/>
  <c r="AF215" i="5"/>
  <c r="AF240" i="5"/>
  <c r="AF144" i="5"/>
  <c r="AF550" i="5"/>
  <c r="AF451" i="5"/>
  <c r="AF506" i="5"/>
  <c r="AF498" i="5"/>
  <c r="AF496" i="5"/>
  <c r="AF402" i="5"/>
  <c r="AF350" i="5"/>
  <c r="AF278" i="5"/>
  <c r="AF159" i="5"/>
  <c r="AF63" i="5"/>
  <c r="AF33" i="5"/>
  <c r="AF116" i="5"/>
  <c r="AF164" i="5"/>
  <c r="AF225" i="5"/>
  <c r="AF279" i="5"/>
  <c r="AF303" i="5"/>
  <c r="AF352" i="5"/>
  <c r="AF409" i="5"/>
  <c r="AF404" i="5"/>
  <c r="AF336" i="5"/>
  <c r="AF39" i="5"/>
  <c r="AF96" i="5"/>
  <c r="AF127" i="5"/>
  <c r="AF216" i="5"/>
  <c r="AF203" i="5"/>
  <c r="AF327" i="5"/>
  <c r="AF268" i="5"/>
  <c r="AF324" i="5"/>
  <c r="AF295" i="5"/>
  <c r="AF357" i="5"/>
  <c r="AF433" i="5"/>
  <c r="AF182" i="5"/>
  <c r="AF107" i="5"/>
  <c r="AF78" i="5"/>
  <c r="AF42" i="5"/>
  <c r="AF172" i="5"/>
  <c r="AF103" i="5"/>
  <c r="AF142" i="5"/>
  <c r="AF35" i="5"/>
  <c r="AF37" i="5"/>
  <c r="AF12" i="5"/>
  <c r="AF471" i="5"/>
  <c r="AF243" i="5"/>
  <c r="AF517" i="5"/>
  <c r="AF199" i="5"/>
  <c r="AF437" i="5"/>
  <c r="AF235" i="5"/>
  <c r="AF510" i="5"/>
  <c r="AP510" i="5" s="1"/>
  <c r="AF483" i="5"/>
  <c r="AF146" i="5"/>
  <c r="AF559" i="5"/>
  <c r="AF446" i="5"/>
  <c r="AF412" i="5"/>
  <c r="AF285" i="5"/>
  <c r="AF91" i="5"/>
  <c r="AF560" i="5"/>
  <c r="AF468" i="5"/>
  <c r="AF332" i="5"/>
  <c r="AF226" i="5"/>
  <c r="AF55" i="5"/>
  <c r="AF541" i="5"/>
  <c r="AF545" i="5"/>
  <c r="AF432" i="5"/>
  <c r="AF536" i="5"/>
  <c r="AF389" i="5"/>
  <c r="AF372" i="5"/>
  <c r="AF261" i="5"/>
  <c r="AF187" i="5"/>
  <c r="AF109" i="5"/>
  <c r="AP109" i="5" s="1"/>
  <c r="AF549" i="5"/>
  <c r="AF499" i="5"/>
  <c r="AF476" i="5"/>
  <c r="AF462" i="5"/>
  <c r="AF435" i="5"/>
  <c r="AF309" i="5"/>
  <c r="AF275" i="5"/>
  <c r="AF210" i="5"/>
  <c r="AF136" i="5"/>
  <c r="AF28" i="5"/>
  <c r="AF71" i="5"/>
  <c r="AF153" i="5"/>
  <c r="AF179" i="5"/>
  <c r="AF177" i="5"/>
  <c r="AF308" i="5"/>
  <c r="AF234" i="5"/>
  <c r="AF274" i="5"/>
  <c r="AF254" i="5"/>
  <c r="AF334" i="5"/>
  <c r="AF403" i="5"/>
  <c r="AF41" i="5"/>
  <c r="AF106" i="5"/>
  <c r="AF181" i="5"/>
  <c r="AF178" i="5"/>
  <c r="AF237" i="5"/>
  <c r="AF259" i="5"/>
  <c r="AF305" i="5"/>
  <c r="AF368" i="5"/>
  <c r="AF347" i="5"/>
  <c r="AF384" i="5"/>
  <c r="AF458" i="5"/>
  <c r="AF143" i="5"/>
  <c r="AF124" i="5"/>
  <c r="AF66" i="5"/>
  <c r="AF211" i="5"/>
  <c r="AF122" i="5"/>
  <c r="AF147" i="5"/>
  <c r="AF99" i="5"/>
  <c r="AF53" i="5"/>
  <c r="AF36" i="5"/>
  <c r="AF13" i="5"/>
  <c r="AF537" i="5"/>
  <c r="AF540" i="5"/>
  <c r="AF415" i="5"/>
  <c r="AF151" i="5"/>
  <c r="AF501" i="5"/>
  <c r="AF180" i="5"/>
  <c r="AF547" i="5"/>
  <c r="AF408" i="5"/>
  <c r="AF24" i="5"/>
  <c r="AF548" i="5"/>
  <c r="AF223" i="5"/>
  <c r="AF338" i="5"/>
  <c r="AF319" i="5"/>
  <c r="AF92" i="5"/>
  <c r="AF502" i="5"/>
  <c r="AF424" i="5"/>
  <c r="AF428" i="5"/>
  <c r="AF233" i="5"/>
  <c r="AF67" i="5"/>
  <c r="AF557" i="5"/>
  <c r="AF528" i="5"/>
  <c r="AF345" i="5"/>
  <c r="AF527" i="5"/>
  <c r="AF363" i="5"/>
  <c r="AF340" i="5"/>
  <c r="AF328" i="5"/>
  <c r="AF220" i="5"/>
  <c r="AF98" i="5"/>
  <c r="AF538" i="5"/>
  <c r="AF431" i="5"/>
  <c r="AF465" i="5"/>
  <c r="AF452" i="5"/>
  <c r="AF400" i="5"/>
  <c r="AF239" i="5"/>
  <c r="AF218" i="5"/>
  <c r="AF139" i="5"/>
  <c r="AF150" i="5"/>
  <c r="AF32" i="5"/>
  <c r="AF87" i="5"/>
  <c r="AF114" i="5"/>
  <c r="AF209" i="5"/>
  <c r="AF202" i="5"/>
  <c r="AF325" i="5"/>
  <c r="AF267" i="5"/>
  <c r="AF301" i="5"/>
  <c r="AF283" i="5"/>
  <c r="AP283" i="5" s="1"/>
  <c r="AF346" i="5"/>
  <c r="AF425" i="5"/>
  <c r="AF60" i="5"/>
  <c r="AF148" i="5"/>
  <c r="AP148" i="5" s="1"/>
  <c r="AF137" i="5"/>
  <c r="AF195" i="5"/>
  <c r="AF246" i="5"/>
  <c r="AF271" i="5"/>
  <c r="AF326" i="5"/>
  <c r="AF386" i="5"/>
  <c r="AF369" i="5"/>
  <c r="AF399" i="5"/>
  <c r="AF475" i="5"/>
  <c r="AF115" i="5"/>
  <c r="AF104" i="5"/>
  <c r="AF47" i="5"/>
  <c r="AF189" i="5"/>
  <c r="AF184" i="5"/>
  <c r="AF133" i="5"/>
  <c r="AP133" i="5" s="1"/>
  <c r="AF100" i="5"/>
  <c r="AF30" i="5"/>
  <c r="AF45" i="5"/>
  <c r="AF11" i="5"/>
  <c r="AF534" i="5"/>
  <c r="AF531" i="5"/>
  <c r="AF337" i="5"/>
  <c r="AF494" i="5"/>
  <c r="AF382" i="5"/>
  <c r="AP382" i="5" s="1"/>
  <c r="AF89" i="5"/>
  <c r="AF551" i="5"/>
  <c r="AF373" i="5"/>
  <c r="AF553" i="5"/>
  <c r="AF552" i="5"/>
  <c r="AF480" i="5"/>
  <c r="AF375" i="5"/>
  <c r="AF258" i="5"/>
  <c r="AF23" i="5"/>
  <c r="AF535" i="5"/>
  <c r="AF533" i="5"/>
  <c r="AF355" i="5"/>
  <c r="AF242" i="5"/>
  <c r="AF20" i="5"/>
  <c r="AF508" i="5"/>
  <c r="AF519" i="5"/>
  <c r="AF507" i="5"/>
  <c r="AF515" i="5"/>
  <c r="AF314" i="5"/>
  <c r="AF260" i="5"/>
  <c r="AF299" i="5"/>
  <c r="AF82" i="5"/>
  <c r="AF29" i="5"/>
  <c r="AF443" i="5"/>
  <c r="AF374" i="5"/>
  <c r="AF454" i="5"/>
  <c r="AF423" i="5"/>
  <c r="AF263" i="5"/>
  <c r="AF407" i="5"/>
  <c r="AF300" i="5"/>
  <c r="AF222" i="5"/>
  <c r="AP222" i="5" s="1"/>
  <c r="AF111" i="5"/>
  <c r="AF34" i="5"/>
  <c r="AF84" i="5"/>
  <c r="AF145" i="5"/>
  <c r="AF229" i="5"/>
  <c r="AF214" i="5"/>
  <c r="AF171" i="5"/>
  <c r="AF284" i="5"/>
  <c r="AF349" i="5"/>
  <c r="AF312" i="5"/>
  <c r="AF370" i="5"/>
  <c r="AF436" i="5"/>
  <c r="AF49" i="5"/>
  <c r="AF102" i="5"/>
  <c r="AF175" i="5"/>
  <c r="AF217" i="5"/>
  <c r="AF270" i="5"/>
  <c r="AP270" i="5" s="1"/>
  <c r="AF291" i="5"/>
  <c r="AF341" i="5"/>
  <c r="AF396" i="5"/>
  <c r="AF385" i="5"/>
  <c r="AF416" i="5"/>
  <c r="AF174" i="5"/>
  <c r="AF88" i="5"/>
  <c r="AF95" i="5"/>
  <c r="AF65" i="5"/>
  <c r="AF158" i="5"/>
  <c r="AF169" i="5"/>
  <c r="AP169" i="5" s="1"/>
  <c r="AF125" i="5"/>
  <c r="AF83" i="5"/>
  <c r="AF58" i="5"/>
  <c r="AF482" i="5"/>
  <c r="AF487" i="5"/>
  <c r="AF90" i="5"/>
  <c r="AF481" i="5"/>
  <c r="AF280" i="5"/>
  <c r="AF19" i="5"/>
  <c r="AF294" i="5"/>
  <c r="AF356" i="5"/>
  <c r="AF421" i="5"/>
  <c r="AF310" i="5"/>
  <c r="AF59" i="5"/>
  <c r="AF492" i="5"/>
  <c r="AF365" i="5"/>
  <c r="AF190" i="5"/>
  <c r="AF73" i="5"/>
  <c r="AF191" i="5"/>
  <c r="AF302" i="5"/>
  <c r="AF418" i="5"/>
  <c r="AF77" i="5"/>
  <c r="AF230" i="5"/>
  <c r="AF290" i="5"/>
  <c r="AF249" i="5"/>
  <c r="AF149" i="5"/>
  <c r="AF21" i="5"/>
  <c r="AF105" i="5"/>
  <c r="AF245" i="5"/>
  <c r="AF427" i="5"/>
  <c r="AF555" i="5"/>
  <c r="AF543" i="5"/>
  <c r="AF391" i="5"/>
  <c r="AF509" i="5"/>
  <c r="AF286" i="5"/>
  <c r="AF530" i="5"/>
  <c r="AF491" i="5"/>
  <c r="AF296" i="5"/>
  <c r="AF50" i="5"/>
  <c r="AF440" i="5"/>
  <c r="AF353" i="5"/>
  <c r="AF224" i="5"/>
  <c r="AF94" i="5"/>
  <c r="AF236" i="5"/>
  <c r="AF321" i="5"/>
  <c r="AF380" i="5"/>
  <c r="AF86" i="5"/>
  <c r="AF238" i="5"/>
  <c r="AF358" i="5"/>
  <c r="AF371" i="5"/>
  <c r="AF131" i="5"/>
  <c r="AF192" i="5"/>
  <c r="AF85" i="5"/>
  <c r="AF445" i="5"/>
  <c r="AF505" i="5"/>
  <c r="AF495" i="5"/>
  <c r="AF469" i="5"/>
  <c r="AF262" i="5"/>
  <c r="AF479" i="5"/>
  <c r="AF176" i="5"/>
  <c r="AP176" i="5" s="1"/>
  <c r="AF322" i="5"/>
  <c r="AF460" i="5"/>
  <c r="AF276" i="5"/>
  <c r="AF493" i="5"/>
  <c r="AF420" i="5"/>
  <c r="AF376" i="5"/>
  <c r="AF108" i="5"/>
  <c r="AF126" i="5"/>
  <c r="AF231" i="5"/>
  <c r="AF252" i="5"/>
  <c r="AF395" i="5"/>
  <c r="AF123" i="5"/>
  <c r="AF219" i="5"/>
  <c r="AF255" i="5"/>
  <c r="AF348" i="5"/>
  <c r="AF156" i="5"/>
  <c r="AF168" i="5"/>
  <c r="AF97" i="5"/>
  <c r="AF10" i="5"/>
  <c r="AF521" i="5"/>
  <c r="AP521" i="5" s="1"/>
  <c r="AF417" i="5"/>
  <c r="AF366" i="5"/>
  <c r="AF556" i="5"/>
  <c r="AF197" i="5"/>
  <c r="AF504" i="5"/>
  <c r="AF161" i="5"/>
  <c r="AF503" i="5"/>
  <c r="AF419" i="5"/>
  <c r="AF241" i="5"/>
  <c r="AF542" i="5"/>
  <c r="AF477" i="5"/>
  <c r="AF342" i="5"/>
  <c r="AF101" i="5"/>
  <c r="AF135" i="5"/>
  <c r="AF201" i="5"/>
  <c r="AF367" i="5"/>
  <c r="AF388" i="5"/>
  <c r="AF140" i="5"/>
  <c r="AF282" i="5"/>
  <c r="AF354" i="5"/>
  <c r="AF394" i="5"/>
  <c r="AF57" i="5"/>
  <c r="AF152" i="5"/>
  <c r="AF48" i="5"/>
  <c r="AF31" i="5"/>
  <c r="AF453" i="5"/>
  <c r="AF438" i="5"/>
  <c r="AF387" i="5"/>
  <c r="AF470" i="5"/>
  <c r="AF212" i="5"/>
  <c r="AF497" i="5"/>
  <c r="AF68" i="5"/>
  <c r="AF484" i="5"/>
  <c r="AF390" i="5"/>
  <c r="AF221" i="5"/>
  <c r="AF558" i="5"/>
  <c r="AF359" i="5"/>
  <c r="AF317" i="5"/>
  <c r="AF80" i="5"/>
  <c r="AF170" i="5"/>
  <c r="AF292" i="5"/>
  <c r="AF381" i="5"/>
  <c r="AF456" i="5"/>
  <c r="AF120" i="5"/>
  <c r="AF297" i="5"/>
  <c r="AF410" i="5"/>
  <c r="AF442" i="5"/>
  <c r="AF61" i="5"/>
  <c r="AF138" i="5"/>
  <c r="AF76" i="5"/>
  <c r="AF8" i="5"/>
  <c r="AF273" i="5"/>
  <c r="AF289" i="5"/>
  <c r="AF329" i="5"/>
  <c r="AF457" i="5"/>
  <c r="AF113" i="5"/>
  <c r="AF447" i="5"/>
  <c r="AF524" i="5"/>
  <c r="AF449" i="5"/>
  <c r="AF351" i="5"/>
  <c r="AF185" i="5"/>
  <c r="AF546" i="5"/>
  <c r="AF532" i="5"/>
  <c r="AF264" i="5"/>
  <c r="AF51" i="5"/>
  <c r="AP51" i="5" s="1"/>
  <c r="AF119" i="5"/>
  <c r="AF253" i="5"/>
  <c r="AF441" i="5"/>
  <c r="AF472" i="5"/>
  <c r="AF166" i="5"/>
  <c r="AF183" i="5"/>
  <c r="AF193" i="5"/>
  <c r="AF118" i="5"/>
  <c r="AF69" i="5"/>
  <c r="AF141" i="5"/>
  <c r="AF72" i="5"/>
  <c r="AF522" i="5"/>
  <c r="AF287" i="5"/>
  <c r="AF379" i="5"/>
  <c r="AP379" i="5" s="1"/>
  <c r="AF206" i="5"/>
  <c r="AF378" i="5"/>
  <c r="AF165" i="5"/>
  <c r="AF414" i="5"/>
  <c r="AF489" i="5"/>
  <c r="AF486" i="5"/>
  <c r="AF405" i="5"/>
  <c r="AF188" i="5"/>
  <c r="AF554" i="5"/>
  <c r="AF464" i="5"/>
  <c r="AF333" i="5"/>
  <c r="AF26" i="5"/>
  <c r="AF200" i="5"/>
  <c r="AF269" i="5"/>
  <c r="AF343" i="5"/>
  <c r="AF43" i="5"/>
  <c r="AF204" i="5"/>
  <c r="AF307" i="5"/>
  <c r="AP307" i="5" s="1"/>
  <c r="AF315" i="5"/>
  <c r="AF162" i="5"/>
  <c r="AF52" i="5"/>
  <c r="AF154" i="5"/>
  <c r="AF62" i="5"/>
  <c r="AF466" i="5"/>
  <c r="AF196" i="5"/>
  <c r="AF339" i="5"/>
  <c r="AF450" i="5"/>
  <c r="AF422" i="5"/>
  <c r="AF129" i="5"/>
  <c r="AF360" i="5"/>
  <c r="AF401" i="5"/>
  <c r="AF474" i="5"/>
  <c r="AF344" i="5"/>
  <c r="AF110" i="5"/>
  <c r="AF529" i="5"/>
  <c r="AF392" i="5"/>
  <c r="AF244" i="5"/>
  <c r="AF56" i="5"/>
  <c r="AF251" i="5"/>
  <c r="AF323" i="5"/>
  <c r="AF361" i="5"/>
  <c r="AF38" i="5"/>
  <c r="AF232" i="5"/>
  <c r="AF198" i="5"/>
  <c r="AF411" i="5"/>
  <c r="AF163" i="5"/>
  <c r="AF25" i="5"/>
  <c r="AF112" i="5"/>
  <c r="AF22" i="5"/>
  <c r="AI462" i="5"/>
  <c r="AH462" i="5"/>
  <c r="AI338" i="5"/>
  <c r="AH338" i="5"/>
  <c r="AH245" i="5"/>
  <c r="AI245" i="5"/>
  <c r="AI70" i="5"/>
  <c r="AH70" i="5"/>
  <c r="AH486" i="5"/>
  <c r="AI486" i="5"/>
  <c r="AI340" i="5"/>
  <c r="AH340" i="5"/>
  <c r="AH210" i="5"/>
  <c r="AI210" i="5"/>
  <c r="AH78" i="5"/>
  <c r="AI78" i="5"/>
  <c r="AI524" i="5"/>
  <c r="AH524" i="5"/>
  <c r="AI381" i="5"/>
  <c r="AH381" i="5"/>
  <c r="AI205" i="5"/>
  <c r="AH205" i="5"/>
  <c r="AH138" i="5"/>
  <c r="AI138" i="5"/>
  <c r="AH428" i="5"/>
  <c r="AI428" i="5"/>
  <c r="AI418" i="5"/>
  <c r="AH418" i="5"/>
  <c r="AI348" i="5"/>
  <c r="AH348" i="5"/>
  <c r="AH252" i="5"/>
  <c r="AI252" i="5"/>
  <c r="AI45" i="5"/>
  <c r="AH45" i="5"/>
  <c r="AI380" i="5"/>
  <c r="AH380" i="5"/>
  <c r="AH417" i="5"/>
  <c r="AI417" i="5"/>
  <c r="AH281" i="5"/>
  <c r="AI281" i="5"/>
  <c r="AH233" i="5"/>
  <c r="AI233" i="5"/>
  <c r="AI130" i="5"/>
  <c r="AH130" i="5"/>
  <c r="AH42" i="5"/>
  <c r="AI42" i="5"/>
  <c r="AN520" i="5"/>
  <c r="AO520" i="5"/>
  <c r="AN346" i="5"/>
  <c r="AO346" i="5"/>
  <c r="AN173" i="5"/>
  <c r="AO173" i="5"/>
  <c r="AN458" i="5"/>
  <c r="AO458" i="5"/>
  <c r="AN298" i="5"/>
  <c r="AO298" i="5"/>
  <c r="AN38" i="5"/>
  <c r="AO38" i="5"/>
  <c r="AO484" i="5"/>
  <c r="AN484" i="5"/>
  <c r="AN389" i="5"/>
  <c r="AO389" i="5"/>
  <c r="AN204" i="5"/>
  <c r="AO204" i="5"/>
  <c r="AO28" i="5"/>
  <c r="AN28" i="5"/>
  <c r="AO493" i="5"/>
  <c r="AN493" i="5"/>
  <c r="AO338" i="5"/>
  <c r="AN338" i="5"/>
  <c r="AO481" i="5"/>
  <c r="AN481" i="5"/>
  <c r="AO358" i="5"/>
  <c r="AN358" i="5"/>
  <c r="AO161" i="5"/>
  <c r="AN161" i="5"/>
  <c r="AN110" i="5"/>
  <c r="AO110" i="5"/>
  <c r="AS83" i="4"/>
  <c r="U83" i="4"/>
  <c r="AS90" i="4"/>
  <c r="V90" i="4"/>
  <c r="U90" i="4"/>
  <c r="AS17" i="4"/>
  <c r="U17" i="4"/>
  <c r="V17" i="4"/>
  <c r="V149" i="4"/>
  <c r="V156" i="4"/>
  <c r="AS156" i="4"/>
  <c r="U156" i="4"/>
  <c r="U139" i="4"/>
  <c r="AS139" i="4"/>
  <c r="V139" i="4"/>
  <c r="U146" i="4"/>
  <c r="AS28" i="4"/>
  <c r="U28" i="4"/>
  <c r="V28" i="4"/>
  <c r="AS136" i="4"/>
  <c r="U136" i="4"/>
  <c r="V136" i="4"/>
  <c r="AH525" i="5"/>
  <c r="AI525" i="5"/>
  <c r="AN431" i="5"/>
  <c r="AO431" i="5"/>
  <c r="AN455" i="5"/>
  <c r="AO455" i="5"/>
  <c r="AI495" i="5"/>
  <c r="AH495" i="5"/>
  <c r="AH335" i="5"/>
  <c r="AI335" i="5"/>
  <c r="AJ367" i="5"/>
  <c r="AJ223" i="5"/>
  <c r="U255" i="5"/>
  <c r="V255" i="5"/>
  <c r="AJ303" i="5"/>
  <c r="AI127" i="5"/>
  <c r="AH127" i="5"/>
  <c r="AI159" i="5"/>
  <c r="AH159" i="5"/>
  <c r="AI175" i="5"/>
  <c r="AH175" i="5"/>
  <c r="AI47" i="5"/>
  <c r="AH47" i="5"/>
  <c r="AJ111" i="5"/>
  <c r="V179" i="5"/>
  <c r="U179" i="5"/>
  <c r="U49" i="5"/>
  <c r="V49" i="5"/>
  <c r="U197" i="5"/>
  <c r="V197" i="5"/>
  <c r="U68" i="5"/>
  <c r="V68" i="5"/>
  <c r="U148" i="5"/>
  <c r="V148" i="5"/>
  <c r="AJ7" i="5"/>
  <c r="AG7" i="5"/>
  <c r="AM7" i="5"/>
  <c r="T7" i="5"/>
  <c r="Q7" i="5"/>
  <c r="W7" i="5"/>
  <c r="AI432" i="5"/>
  <c r="AH432" i="5"/>
  <c r="AH496" i="5"/>
  <c r="AI496" i="5"/>
  <c r="AI328" i="5"/>
  <c r="AH328" i="5"/>
  <c r="AJ368" i="5"/>
  <c r="AJ416" i="5"/>
  <c r="AJ240" i="5"/>
  <c r="AO312" i="5"/>
  <c r="AN312" i="5"/>
  <c r="AJ144" i="5"/>
  <c r="AH176" i="5"/>
  <c r="AI176" i="5"/>
  <c r="U200" i="5"/>
  <c r="V200" i="5"/>
  <c r="AJ32" i="5"/>
  <c r="AJ56" i="5"/>
  <c r="AO72" i="5"/>
  <c r="AN72" i="5"/>
  <c r="AI104" i="5"/>
  <c r="AH104" i="5"/>
  <c r="V50" i="4"/>
  <c r="AK187" i="5"/>
  <c r="AL187" i="5"/>
  <c r="AO195" i="5"/>
  <c r="AN195" i="5"/>
  <c r="AK521" i="5"/>
  <c r="AL521" i="5"/>
  <c r="AH129" i="5"/>
  <c r="AI129" i="5"/>
  <c r="AO235" i="5"/>
  <c r="AN235" i="5"/>
  <c r="AI283" i="5"/>
  <c r="AH283" i="5"/>
  <c r="AK147" i="5"/>
  <c r="AL147" i="5"/>
  <c r="AN41" i="5"/>
  <c r="AO41" i="5"/>
  <c r="AO459" i="5"/>
  <c r="AN459" i="5"/>
  <c r="AH387" i="5"/>
  <c r="AI387" i="5"/>
  <c r="AJ97" i="5"/>
  <c r="AJ459" i="5"/>
  <c r="AJ541" i="5"/>
  <c r="AJ35" i="5"/>
  <c r="AJ99" i="5"/>
  <c r="AJ8" i="5"/>
  <c r="AI560" i="5"/>
  <c r="AH560" i="5"/>
  <c r="AI434" i="5"/>
  <c r="AH434" i="5"/>
  <c r="AH300" i="5"/>
  <c r="AI300" i="5"/>
  <c r="AI194" i="5"/>
  <c r="AH194" i="5"/>
  <c r="AI58" i="5"/>
  <c r="AH58" i="5"/>
  <c r="AI460" i="5"/>
  <c r="AH460" i="5"/>
  <c r="AH262" i="5"/>
  <c r="AI262" i="5"/>
  <c r="AI314" i="5"/>
  <c r="AH314" i="5"/>
  <c r="AH69" i="5"/>
  <c r="AI69" i="5"/>
  <c r="AH302" i="5"/>
  <c r="AI302" i="5"/>
  <c r="AI333" i="5"/>
  <c r="AH333" i="5"/>
  <c r="AI238" i="5"/>
  <c r="AH238" i="5"/>
  <c r="AH109" i="5"/>
  <c r="AI109" i="5"/>
  <c r="AI540" i="5"/>
  <c r="AH540" i="5"/>
  <c r="AH405" i="5"/>
  <c r="AI405" i="5"/>
  <c r="AI318" i="5"/>
  <c r="AH318" i="5"/>
  <c r="AI212" i="5"/>
  <c r="AH212" i="5"/>
  <c r="AI544" i="5"/>
  <c r="AH544" i="5"/>
  <c r="AH548" i="5"/>
  <c r="AI548" i="5"/>
  <c r="AI396" i="5"/>
  <c r="AH396" i="5"/>
  <c r="AI237" i="5"/>
  <c r="AH237" i="5"/>
  <c r="AH229" i="5"/>
  <c r="AI229" i="5"/>
  <c r="AH92" i="5"/>
  <c r="AI92" i="5"/>
  <c r="AH38" i="5"/>
  <c r="AI38" i="5"/>
  <c r="AO434" i="5"/>
  <c r="AN434" i="5"/>
  <c r="AO306" i="5"/>
  <c r="AN306" i="5"/>
  <c r="AN122" i="5"/>
  <c r="AO122" i="5"/>
  <c r="AO437" i="5"/>
  <c r="AN437" i="5"/>
  <c r="AO354" i="5"/>
  <c r="AN354" i="5"/>
  <c r="AN282" i="5"/>
  <c r="AO282" i="5"/>
  <c r="AN26" i="5"/>
  <c r="AO26" i="5"/>
  <c r="AO42" i="5"/>
  <c r="AN42" i="5"/>
  <c r="AN514" i="5"/>
  <c r="AN206" i="5"/>
  <c r="AN149" i="5"/>
  <c r="AO149" i="5"/>
  <c r="AN422" i="5"/>
  <c r="AO422" i="5"/>
  <c r="AO332" i="5"/>
  <c r="AN332" i="5"/>
  <c r="AO194" i="5"/>
  <c r="AN194" i="5"/>
  <c r="AO105" i="5"/>
  <c r="AN105" i="5"/>
  <c r="V51" i="4"/>
  <c r="AS51" i="4"/>
  <c r="U51" i="4"/>
  <c r="U58" i="4"/>
  <c r="AS117" i="4"/>
  <c r="V124" i="4"/>
  <c r="AS124" i="4"/>
  <c r="U124" i="4"/>
  <c r="AS107" i="4"/>
  <c r="U107" i="4"/>
  <c r="V107" i="4"/>
  <c r="AS114" i="4"/>
  <c r="U114" i="4"/>
  <c r="V104" i="4"/>
  <c r="AS104" i="4"/>
  <c r="U104" i="4"/>
  <c r="V113" i="4"/>
  <c r="AS113" i="4"/>
  <c r="U113" i="4"/>
  <c r="AO525" i="5"/>
  <c r="AN525" i="5"/>
  <c r="AJ439" i="5"/>
  <c r="AO463" i="5"/>
  <c r="AN463" i="5"/>
  <c r="AN335" i="5"/>
  <c r="AO335" i="5"/>
  <c r="AI223" i="5"/>
  <c r="AH223" i="5"/>
  <c r="AI255" i="5"/>
  <c r="AH255" i="5"/>
  <c r="AJ311" i="5"/>
  <c r="AN127" i="5"/>
  <c r="AO127" i="5"/>
  <c r="AN159" i="5"/>
  <c r="AO159" i="5"/>
  <c r="AJ183" i="5"/>
  <c r="AH23" i="5"/>
  <c r="AI23" i="5"/>
  <c r="AJ55" i="5"/>
  <c r="AO87" i="5"/>
  <c r="AN87" i="5"/>
  <c r="V278" i="5"/>
  <c r="U62" i="5"/>
  <c r="V62" i="5"/>
  <c r="U209" i="5"/>
  <c r="V209" i="5"/>
  <c r="U116" i="5"/>
  <c r="V116" i="5"/>
  <c r="U29" i="5"/>
  <c r="V29" i="5"/>
  <c r="AO554" i="5"/>
  <c r="AJ432" i="5"/>
  <c r="AN496" i="5"/>
  <c r="AO496" i="5"/>
  <c r="AJ328" i="5"/>
  <c r="AI368" i="5"/>
  <c r="AH368" i="5"/>
  <c r="AJ224" i="5"/>
  <c r="AJ280" i="5"/>
  <c r="U120" i="5"/>
  <c r="V120" i="5"/>
  <c r="AJ152" i="5"/>
  <c r="AO176" i="5"/>
  <c r="AN176" i="5"/>
  <c r="AJ200" i="5"/>
  <c r="AJ40" i="5"/>
  <c r="AI56" i="5"/>
  <c r="AH56" i="5"/>
  <c r="AJ88" i="5"/>
  <c r="AO112" i="5"/>
  <c r="AN112" i="5"/>
  <c r="AJ217" i="5"/>
  <c r="V114" i="4"/>
  <c r="AP383" i="5" l="1"/>
  <c r="AH174" i="5"/>
  <c r="AH308" i="5"/>
  <c r="AH373" i="5"/>
  <c r="AH280" i="5"/>
  <c r="AH547" i="5"/>
  <c r="AH27" i="5"/>
  <c r="AI453" i="5"/>
  <c r="AP192" i="5"/>
  <c r="AH216" i="5"/>
  <c r="AI49" i="5"/>
  <c r="AH371" i="5"/>
  <c r="AH147" i="5"/>
  <c r="AH323" i="5"/>
  <c r="AI334" i="5"/>
  <c r="AI201" i="5"/>
  <c r="AI161" i="5"/>
  <c r="AI484" i="5"/>
  <c r="AI427" i="5"/>
  <c r="AK153" i="5"/>
  <c r="AH447" i="5"/>
  <c r="AI352" i="5"/>
  <c r="AH254" i="5"/>
  <c r="AI275" i="5"/>
  <c r="AI188" i="5"/>
  <c r="AH46" i="5"/>
  <c r="AH277" i="5"/>
  <c r="AH339" i="5"/>
  <c r="AK539" i="5"/>
  <c r="AH400" i="5"/>
  <c r="AH225" i="5"/>
  <c r="AH98" i="5"/>
  <c r="AH443" i="5"/>
  <c r="AI39" i="5"/>
  <c r="AH292" i="5"/>
  <c r="AI445" i="5"/>
  <c r="AI105" i="5"/>
  <c r="AH479" i="5"/>
  <c r="AH433" i="5"/>
  <c r="AH407" i="5"/>
  <c r="AH87" i="5"/>
  <c r="AP539" i="5"/>
  <c r="AI199" i="5"/>
  <c r="AI545" i="5"/>
  <c r="AH505" i="5"/>
  <c r="AI312" i="5"/>
  <c r="AH459" i="5"/>
  <c r="AI132" i="5"/>
  <c r="AI227" i="5"/>
  <c r="AI206" i="5"/>
  <c r="AI555" i="5"/>
  <c r="AI123" i="5"/>
  <c r="AI471" i="5"/>
  <c r="AH177" i="5"/>
  <c r="AP540" i="5"/>
  <c r="AR540" i="5" s="1"/>
  <c r="AI167" i="5"/>
  <c r="AI482" i="5"/>
  <c r="AH315" i="5"/>
  <c r="AI172" i="5"/>
  <c r="AP129" i="5"/>
  <c r="AI170" i="5"/>
  <c r="AH429" i="5"/>
  <c r="AI269" i="5"/>
  <c r="AH33" i="5"/>
  <c r="AH183" i="5"/>
  <c r="AH317" i="5"/>
  <c r="AH76" i="5"/>
  <c r="AI503" i="5"/>
  <c r="AI50" i="5"/>
  <c r="AH209" i="5"/>
  <c r="AH500" i="5"/>
  <c r="AH361" i="5"/>
  <c r="AI84" i="5"/>
  <c r="AI41" i="5"/>
  <c r="AI509" i="5"/>
  <c r="AI508" i="5"/>
  <c r="AH515" i="5"/>
  <c r="AI90" i="5"/>
  <c r="AH295" i="5"/>
  <c r="AH67" i="5"/>
  <c r="AI67" i="5"/>
  <c r="AL465" i="5"/>
  <c r="AI336" i="5"/>
  <c r="AI125" i="5"/>
  <c r="AP386" i="5"/>
  <c r="AP227" i="5"/>
  <c r="AH393" i="5"/>
  <c r="AH145" i="5"/>
  <c r="AI180" i="5"/>
  <c r="AI249" i="5"/>
  <c r="AI139" i="5"/>
  <c r="AI435" i="5"/>
  <c r="AH435" i="5"/>
  <c r="AI322" i="5"/>
  <c r="AH322" i="5"/>
  <c r="AH61" i="5"/>
  <c r="AI61" i="5"/>
  <c r="AH511" i="5"/>
  <c r="AI511" i="5"/>
  <c r="AI298" i="5"/>
  <c r="AH298" i="5"/>
  <c r="AH186" i="5"/>
  <c r="AI186" i="5"/>
  <c r="AH111" i="5"/>
  <c r="AH246" i="5"/>
  <c r="AI265" i="5"/>
  <c r="AH469" i="5"/>
  <c r="AI529" i="5"/>
  <c r="AH529" i="5"/>
  <c r="AH366" i="5"/>
  <c r="AI475" i="5"/>
  <c r="AH475" i="5"/>
  <c r="AH247" i="5"/>
  <c r="AI247" i="5"/>
  <c r="AH268" i="5"/>
  <c r="AH293" i="5"/>
  <c r="AI293" i="5"/>
  <c r="AI414" i="5"/>
  <c r="AH414" i="5"/>
  <c r="AI282" i="5"/>
  <c r="AH282" i="5"/>
  <c r="AN179" i="5"/>
  <c r="AO284" i="5"/>
  <c r="AI481" i="5"/>
  <c r="AH481" i="5"/>
  <c r="AP187" i="5"/>
  <c r="AI204" i="5"/>
  <c r="AH100" i="5"/>
  <c r="AI100" i="5"/>
  <c r="AH251" i="5"/>
  <c r="AI251" i="5"/>
  <c r="AO33" i="5"/>
  <c r="AN80" i="5"/>
  <c r="AH85" i="5"/>
  <c r="AH271" i="5"/>
  <c r="AI271" i="5"/>
  <c r="AI514" i="5"/>
  <c r="AH514" i="5"/>
  <c r="AI310" i="5"/>
  <c r="AH59" i="5"/>
  <c r="AI413" i="5"/>
  <c r="AI442" i="5"/>
  <c r="AH442" i="5"/>
  <c r="AN552" i="5"/>
  <c r="AP465" i="5"/>
  <c r="AH74" i="5"/>
  <c r="AI74" i="5"/>
  <c r="AH236" i="5"/>
  <c r="AI195" i="5"/>
  <c r="AI230" i="5"/>
  <c r="AH230" i="5"/>
  <c r="AI367" i="5"/>
  <c r="AH367" i="5"/>
  <c r="AH124" i="5"/>
  <c r="AI124" i="5"/>
  <c r="AI137" i="5"/>
  <c r="AH311" i="5"/>
  <c r="AN385" i="5"/>
  <c r="AH163" i="5"/>
  <c r="AI163" i="5"/>
  <c r="AN301" i="5"/>
  <c r="AN70" i="5"/>
  <c r="AN394" i="5"/>
  <c r="AP141" i="5"/>
  <c r="AP356" i="5"/>
  <c r="AP437" i="5"/>
  <c r="AN418" i="5"/>
  <c r="AO162" i="5"/>
  <c r="AN265" i="5"/>
  <c r="AN152" i="5"/>
  <c r="AN404" i="5"/>
  <c r="AN163" i="5"/>
  <c r="AO205" i="5"/>
  <c r="AO185" i="5"/>
  <c r="AO256" i="5"/>
  <c r="AO141" i="5"/>
  <c r="AO31" i="5"/>
  <c r="AN370" i="5"/>
  <c r="AN352" i="5"/>
  <c r="AN259" i="5"/>
  <c r="AN293" i="5"/>
  <c r="AO488" i="5"/>
  <c r="AP147" i="5"/>
  <c r="AR147" i="5" s="1"/>
  <c r="AP394" i="5"/>
  <c r="AQ394" i="5" s="1"/>
  <c r="AO426" i="5"/>
  <c r="AO147" i="5"/>
  <c r="AN530" i="5"/>
  <c r="AN198" i="5"/>
  <c r="AO29" i="5"/>
  <c r="AO534" i="5"/>
  <c r="AN304" i="5"/>
  <c r="AN296" i="5"/>
  <c r="AO263" i="5"/>
  <c r="AN136" i="5"/>
  <c r="AO260" i="5"/>
  <c r="AO164" i="5"/>
  <c r="AN43" i="5"/>
  <c r="AN355" i="5"/>
  <c r="AP43" i="5"/>
  <c r="AR43" i="5" s="1"/>
  <c r="AN103" i="5"/>
  <c r="AP202" i="5"/>
  <c r="AP548" i="5"/>
  <c r="AN311" i="5"/>
  <c r="AP281" i="5"/>
  <c r="AR281" i="5" s="1"/>
  <c r="AN62" i="5"/>
  <c r="AL169" i="5"/>
  <c r="AP552" i="5"/>
  <c r="AR552" i="5" s="1"/>
  <c r="AO521" i="5"/>
  <c r="AP26" i="5"/>
  <c r="AP234" i="5"/>
  <c r="AS102" i="4"/>
  <c r="U11" i="4"/>
  <c r="AS24" i="4"/>
  <c r="AS16" i="4"/>
  <c r="V131" i="4"/>
  <c r="U26" i="4"/>
  <c r="U131" i="4"/>
  <c r="AS66" i="4"/>
  <c r="V87" i="4"/>
  <c r="AP313" i="5"/>
  <c r="AQ313" i="5" s="1"/>
  <c r="S526" i="5"/>
  <c r="AO209" i="5"/>
  <c r="AN462" i="5"/>
  <c r="AP371" i="5"/>
  <c r="AN240" i="5"/>
  <c r="V219" i="5"/>
  <c r="AN467" i="5"/>
  <c r="AS126" i="4"/>
  <c r="U38" i="4"/>
  <c r="AH38" i="4" s="1"/>
  <c r="V102" i="4"/>
  <c r="W102" i="4" s="1"/>
  <c r="Y102" i="4" s="1"/>
  <c r="AO58" i="5"/>
  <c r="AN61" i="5"/>
  <c r="U77" i="5"/>
  <c r="AO132" i="5"/>
  <c r="AO114" i="5"/>
  <c r="AO106" i="5"/>
  <c r="V49" i="4"/>
  <c r="V47" i="4"/>
  <c r="AO433" i="5"/>
  <c r="U71" i="4"/>
  <c r="AH71" i="4" s="1"/>
  <c r="V91" i="4"/>
  <c r="AM91" i="4" s="1"/>
  <c r="AN91" i="4" s="1"/>
  <c r="V127" i="4"/>
  <c r="AM127" i="4" s="1"/>
  <c r="AN127" i="4" s="1"/>
  <c r="AS38" i="4"/>
  <c r="U141" i="4"/>
  <c r="AH141" i="4" s="1"/>
  <c r="U73" i="4"/>
  <c r="AH73" i="4" s="1"/>
  <c r="V29" i="4"/>
  <c r="AM29" i="4" s="1"/>
  <c r="AN29" i="4" s="1"/>
  <c r="AL371" i="5"/>
  <c r="AN81" i="5"/>
  <c r="AS97" i="4"/>
  <c r="U49" i="4"/>
  <c r="AH49" i="4" s="1"/>
  <c r="U86" i="5"/>
  <c r="AS47" i="4"/>
  <c r="AS71" i="4"/>
  <c r="AS111" i="4"/>
  <c r="U70" i="4"/>
  <c r="AH70" i="4" s="1"/>
  <c r="U127" i="4"/>
  <c r="AH127" i="4" s="1"/>
  <c r="V38" i="4"/>
  <c r="AM38" i="4" s="1"/>
  <c r="AN38" i="4" s="1"/>
  <c r="V136" i="5"/>
  <c r="AO491" i="5"/>
  <c r="AS11" i="4"/>
  <c r="V182" i="5"/>
  <c r="U29" i="4"/>
  <c r="AH29" i="4" s="1"/>
  <c r="AO24" i="5"/>
  <c r="AN384" i="5"/>
  <c r="AN444" i="5"/>
  <c r="AO447" i="5"/>
  <c r="AS49" i="4"/>
  <c r="V116" i="4"/>
  <c r="W116" i="4" s="1"/>
  <c r="V111" i="4"/>
  <c r="AN140" i="5"/>
  <c r="U100" i="4"/>
  <c r="AH100" i="4" s="1"/>
  <c r="AN267" i="5"/>
  <c r="AO555" i="5"/>
  <c r="V18" i="4"/>
  <c r="AM18" i="4" s="1"/>
  <c r="AN18" i="4" s="1"/>
  <c r="V97" i="4"/>
  <c r="W97" i="4" s="1"/>
  <c r="Y97" i="4" s="1"/>
  <c r="AS29" i="4"/>
  <c r="AO550" i="5"/>
  <c r="AP166" i="5"/>
  <c r="AR166" i="5" s="1"/>
  <c r="AP65" i="5"/>
  <c r="AQ65" i="5" s="1"/>
  <c r="U55" i="4"/>
  <c r="AN396" i="5"/>
  <c r="U97" i="4"/>
  <c r="AH97" i="4" s="1"/>
  <c r="V167" i="5"/>
  <c r="AN412" i="5"/>
  <c r="AO450" i="5"/>
  <c r="U116" i="4"/>
  <c r="U30" i="4"/>
  <c r="U111" i="4"/>
  <c r="AH111" i="4" s="1"/>
  <c r="AS100" i="4"/>
  <c r="AO504" i="5"/>
  <c r="AN65" i="5"/>
  <c r="AO49" i="5"/>
  <c r="AN557" i="5"/>
  <c r="Y365" i="5"/>
  <c r="U76" i="4"/>
  <c r="AP491" i="5"/>
  <c r="AR491" i="5" s="1"/>
  <c r="AS55" i="4"/>
  <c r="AO116" i="5"/>
  <c r="V103" i="5"/>
  <c r="AS60" i="4"/>
  <c r="AN397" i="5"/>
  <c r="AS116" i="4"/>
  <c r="V86" i="4"/>
  <c r="W86" i="4" s="1"/>
  <c r="V100" i="4"/>
  <c r="AM100" i="4" s="1"/>
  <c r="AN100" i="4" s="1"/>
  <c r="AS70" i="4"/>
  <c r="U10" i="4"/>
  <c r="AH10" i="4" s="1"/>
  <c r="AS76" i="4"/>
  <c r="V55" i="4"/>
  <c r="AM55" i="4" s="1"/>
  <c r="AN55" i="4" s="1"/>
  <c r="V11" i="4"/>
  <c r="W11" i="4" s="1"/>
  <c r="Y11" i="4" s="1"/>
  <c r="Z11" i="4" s="1"/>
  <c r="V60" i="4"/>
  <c r="AM60" i="4" s="1"/>
  <c r="AN60" i="4" s="1"/>
  <c r="U68" i="4"/>
  <c r="V126" i="4"/>
  <c r="U86" i="4"/>
  <c r="V30" i="4"/>
  <c r="AM30" i="4" s="1"/>
  <c r="AN30" i="4" s="1"/>
  <c r="V70" i="4"/>
  <c r="W70" i="4" s="1"/>
  <c r="Y70" i="4" s="1"/>
  <c r="U102" i="4"/>
  <c r="AH102" i="4" s="1"/>
  <c r="AO225" i="5"/>
  <c r="AP273" i="5"/>
  <c r="AR273" i="5" s="1"/>
  <c r="V23" i="5"/>
  <c r="AS25" i="4"/>
  <c r="V104" i="5"/>
  <c r="AO432" i="5"/>
  <c r="U48" i="4"/>
  <c r="AO252" i="5"/>
  <c r="AO264" i="5"/>
  <c r="V106" i="4"/>
  <c r="W106" i="4" s="1"/>
  <c r="Y106" i="4" s="1"/>
  <c r="V46" i="5"/>
  <c r="AN199" i="5"/>
  <c r="AO56" i="5"/>
  <c r="AN406" i="5"/>
  <c r="AS52" i="4"/>
  <c r="AO212" i="5"/>
  <c r="AO88" i="5"/>
  <c r="V146" i="4"/>
  <c r="AP25" i="5"/>
  <c r="AR25" i="5" s="1"/>
  <c r="AP287" i="5"/>
  <c r="AR287" i="5" s="1"/>
  <c r="AP410" i="5"/>
  <c r="AP135" i="5"/>
  <c r="AP380" i="5"/>
  <c r="AR380" i="5" s="1"/>
  <c r="AP153" i="5"/>
  <c r="AS48" i="4"/>
  <c r="U106" i="4"/>
  <c r="AH106" i="4" s="1"/>
  <c r="AS31" i="4"/>
  <c r="AO371" i="5"/>
  <c r="AN363" i="5"/>
  <c r="AP225" i="5"/>
  <c r="AO239" i="5"/>
  <c r="AN420" i="5"/>
  <c r="V60" i="5"/>
  <c r="V48" i="5"/>
  <c r="V147" i="5"/>
  <c r="V75" i="4"/>
  <c r="AM75" i="4" s="1"/>
  <c r="AN75" i="4" s="1"/>
  <c r="U95" i="4"/>
  <c r="AS146" i="4"/>
  <c r="AP105" i="5"/>
  <c r="AR105" i="5" s="1"/>
  <c r="V234" i="5"/>
  <c r="AP214" i="5"/>
  <c r="AP527" i="5"/>
  <c r="AQ527" i="5" s="1"/>
  <c r="AP199" i="5"/>
  <c r="AQ199" i="5" s="1"/>
  <c r="AP250" i="5"/>
  <c r="AR250" i="5" s="1"/>
  <c r="AS110" i="4"/>
  <c r="U75" i="4"/>
  <c r="AH75" i="4" s="1"/>
  <c r="AS95" i="4"/>
  <c r="AO415" i="5"/>
  <c r="AN415" i="5"/>
  <c r="V74" i="4"/>
  <c r="U25" i="4"/>
  <c r="AH25" i="4" s="1"/>
  <c r="V110" i="4"/>
  <c r="W110" i="4" s="1"/>
  <c r="Y110" i="4" s="1"/>
  <c r="AL225" i="5"/>
  <c r="AO451" i="5"/>
  <c r="AN451" i="5"/>
  <c r="AS7" i="4"/>
  <c r="V118" i="4"/>
  <c r="AM118" i="4" s="1"/>
  <c r="AO331" i="5"/>
  <c r="AN331" i="5"/>
  <c r="AI388" i="5"/>
  <c r="AH388" i="5"/>
  <c r="AH331" i="5"/>
  <c r="AI331" i="5"/>
  <c r="AH52" i="5"/>
  <c r="AI52" i="5"/>
  <c r="AH263" i="5"/>
  <c r="AI263" i="5"/>
  <c r="AN51" i="5"/>
  <c r="AO51" i="5"/>
  <c r="AP556" i="5"/>
  <c r="AP58" i="5"/>
  <c r="AR58" i="5" s="1"/>
  <c r="AP175" i="5"/>
  <c r="AP130" i="5"/>
  <c r="V25" i="4"/>
  <c r="AM25" i="4" s="1"/>
  <c r="AN25" i="4" s="1"/>
  <c r="U257" i="5"/>
  <c r="AS75" i="4"/>
  <c r="V63" i="4"/>
  <c r="S480" i="5"/>
  <c r="V35" i="4"/>
  <c r="AM35" i="4" s="1"/>
  <c r="AN35" i="4" s="1"/>
  <c r="V76" i="4"/>
  <c r="AM76" i="4" s="1"/>
  <c r="AN76" i="4" s="1"/>
  <c r="AI399" i="5"/>
  <c r="AH399" i="5"/>
  <c r="AH329" i="5"/>
  <c r="AI329" i="5"/>
  <c r="AO499" i="5"/>
  <c r="AN499" i="5"/>
  <c r="AP333" i="5"/>
  <c r="AQ333" i="5" s="1"/>
  <c r="U63" i="4"/>
  <c r="AH63" i="4" s="1"/>
  <c r="AS35" i="4"/>
  <c r="V9" i="4"/>
  <c r="AM9" i="4" s="1"/>
  <c r="AN9" i="4" s="1"/>
  <c r="AI369" i="5"/>
  <c r="AH369" i="5"/>
  <c r="AI241" i="5"/>
  <c r="AH241" i="5"/>
  <c r="AH431" i="5"/>
  <c r="AI431" i="5"/>
  <c r="AN427" i="5"/>
  <c r="AO427" i="5"/>
  <c r="AN539" i="5"/>
  <c r="AO539" i="5"/>
  <c r="AP354" i="5"/>
  <c r="AP450" i="5"/>
  <c r="AP324" i="5"/>
  <c r="AQ324" i="5" s="1"/>
  <c r="U35" i="4"/>
  <c r="AH35" i="4" s="1"/>
  <c r="AS63" i="4"/>
  <c r="U12" i="4"/>
  <c r="AH12" i="4" s="1"/>
  <c r="U9" i="4"/>
  <c r="AO305" i="5"/>
  <c r="AH53" i="5"/>
  <c r="AI53" i="5"/>
  <c r="AI95" i="5"/>
  <c r="AH95" i="5"/>
  <c r="AI191" i="5"/>
  <c r="AH191" i="5"/>
  <c r="AN73" i="5"/>
  <c r="AO73" i="5"/>
  <c r="AP432" i="5"/>
  <c r="AP69" i="5"/>
  <c r="AP390" i="5"/>
  <c r="AQ390" i="5" s="1"/>
  <c r="AP178" i="5"/>
  <c r="AP355" i="5"/>
  <c r="AP217" i="5"/>
  <c r="AQ217" i="5" s="1"/>
  <c r="AP290" i="5"/>
  <c r="AQ290" i="5" s="1"/>
  <c r="AP365" i="5"/>
  <c r="AQ365" i="5" s="1"/>
  <c r="AP396" i="5"/>
  <c r="AP314" i="5"/>
  <c r="AP301" i="5"/>
  <c r="AP528" i="5"/>
  <c r="AR528" i="5" s="1"/>
  <c r="AP173" i="5"/>
  <c r="AR173" i="5" s="1"/>
  <c r="U74" i="4"/>
  <c r="AS106" i="4"/>
  <c r="V31" i="4"/>
  <c r="W31" i="4" s="1"/>
  <c r="Y31" i="4" s="1"/>
  <c r="U110" i="4"/>
  <c r="AP348" i="5"/>
  <c r="AP387" i="5"/>
  <c r="AQ387" i="5" s="1"/>
  <c r="AK105" i="5"/>
  <c r="V123" i="4"/>
  <c r="W123" i="4" s="1"/>
  <c r="Y123" i="4" s="1"/>
  <c r="R554" i="5"/>
  <c r="AS12" i="4"/>
  <c r="AS9" i="4"/>
  <c r="U84" i="4"/>
  <c r="AI543" i="5"/>
  <c r="AH543" i="5"/>
  <c r="AH150" i="5"/>
  <c r="AI150" i="5"/>
  <c r="AI43" i="5"/>
  <c r="AH43" i="5"/>
  <c r="AN313" i="5"/>
  <c r="AO313" i="5"/>
  <c r="AO108" i="5"/>
  <c r="AN108" i="5"/>
  <c r="AP494" i="5"/>
  <c r="AP520" i="5"/>
  <c r="AP48" i="5"/>
  <c r="AR48" i="5" s="1"/>
  <c r="AP267" i="5"/>
  <c r="AQ267" i="5" s="1"/>
  <c r="AP338" i="5"/>
  <c r="AQ338" i="5" s="1"/>
  <c r="AP332" i="5"/>
  <c r="AP157" i="5"/>
  <c r="AP304" i="5"/>
  <c r="V48" i="4"/>
  <c r="AM48" i="4" s="1"/>
  <c r="AN48" i="4" s="1"/>
  <c r="AS74" i="4"/>
  <c r="U31" i="4"/>
  <c r="AP434" i="5"/>
  <c r="AQ434" i="5" s="1"/>
  <c r="U7" i="4"/>
  <c r="AH7" i="4" s="1"/>
  <c r="U123" i="4"/>
  <c r="V52" i="4"/>
  <c r="W52" i="4" s="1"/>
  <c r="AN273" i="5"/>
  <c r="AO416" i="5"/>
  <c r="AH325" i="5"/>
  <c r="AI325" i="5"/>
  <c r="AI541" i="5"/>
  <c r="AH541" i="5"/>
  <c r="AP405" i="5"/>
  <c r="AP212" i="5"/>
  <c r="AP461" i="5"/>
  <c r="V7" i="4"/>
  <c r="AM7" i="4" s="1"/>
  <c r="AN7" i="4" s="1"/>
  <c r="AS123" i="4"/>
  <c r="U52" i="4"/>
  <c r="V95" i="4"/>
  <c r="W95" i="4" s="1"/>
  <c r="AH430" i="5"/>
  <c r="AI430" i="5"/>
  <c r="AI342" i="5"/>
  <c r="AH342" i="5"/>
  <c r="AN171" i="5"/>
  <c r="AO171" i="5"/>
  <c r="B24" i="2"/>
  <c r="R88" i="5"/>
  <c r="R328" i="5"/>
  <c r="Y65" i="5"/>
  <c r="Y135" i="5"/>
  <c r="Y181" i="5"/>
  <c r="Y416" i="5"/>
  <c r="X206" i="5"/>
  <c r="X204" i="5"/>
  <c r="X74" i="5"/>
  <c r="Z560" i="5"/>
  <c r="AA560" i="5" s="1"/>
  <c r="Z552" i="5"/>
  <c r="AB552" i="5" s="1"/>
  <c r="Z544" i="5"/>
  <c r="AB544" i="5" s="1"/>
  <c r="Z536" i="5"/>
  <c r="Z528" i="5"/>
  <c r="Z520" i="5"/>
  <c r="AB520" i="5" s="1"/>
  <c r="Z512" i="5"/>
  <c r="Z504" i="5"/>
  <c r="AB504" i="5" s="1"/>
  <c r="Z496" i="5"/>
  <c r="Z488" i="5"/>
  <c r="AB488" i="5" s="1"/>
  <c r="Z480" i="5"/>
  <c r="AB480" i="5" s="1"/>
  <c r="Z472" i="5"/>
  <c r="AA472" i="5" s="1"/>
  <c r="Z464" i="5"/>
  <c r="AA464" i="5" s="1"/>
  <c r="Z456" i="5"/>
  <c r="AA456" i="5" s="1"/>
  <c r="Z448" i="5"/>
  <c r="AA448" i="5" s="1"/>
  <c r="Z440" i="5"/>
  <c r="Z432" i="5"/>
  <c r="Z424" i="5"/>
  <c r="AB424" i="5" s="1"/>
  <c r="Z416" i="5"/>
  <c r="AA416" i="5" s="1"/>
  <c r="Z408" i="5"/>
  <c r="AB408" i="5" s="1"/>
  <c r="Z400" i="5"/>
  <c r="AA400" i="5" s="1"/>
  <c r="Z392" i="5"/>
  <c r="AB392" i="5" s="1"/>
  <c r="Z384" i="5"/>
  <c r="AA384" i="5" s="1"/>
  <c r="Z376" i="5"/>
  <c r="AB376" i="5" s="1"/>
  <c r="Z368" i="5"/>
  <c r="AA368" i="5" s="1"/>
  <c r="Z360" i="5"/>
  <c r="AA360" i="5" s="1"/>
  <c r="Z352" i="5"/>
  <c r="AB352" i="5" s="1"/>
  <c r="Z344" i="5"/>
  <c r="Z336" i="5"/>
  <c r="AB336" i="5" s="1"/>
  <c r="Z328" i="5"/>
  <c r="AB328" i="5" s="1"/>
  <c r="Z320" i="5"/>
  <c r="AA320" i="5" s="1"/>
  <c r="Z312" i="5"/>
  <c r="AA312" i="5" s="1"/>
  <c r="Z304" i="5"/>
  <c r="AB304" i="5" s="1"/>
  <c r="Z296" i="5"/>
  <c r="AB296" i="5" s="1"/>
  <c r="Z288" i="5"/>
  <c r="AA288" i="5" s="1"/>
  <c r="Z280" i="5"/>
  <c r="Z272" i="5"/>
  <c r="AA272" i="5" s="1"/>
  <c r="Z264" i="5"/>
  <c r="Z256" i="5"/>
  <c r="AB256" i="5" s="1"/>
  <c r="Z248" i="5"/>
  <c r="Z240" i="5"/>
  <c r="Z232" i="5"/>
  <c r="Z224" i="5"/>
  <c r="AB224" i="5" s="1"/>
  <c r="Z216" i="5"/>
  <c r="Z208" i="5"/>
  <c r="AA208" i="5" s="1"/>
  <c r="Z200" i="5"/>
  <c r="Z192" i="5"/>
  <c r="AB192" i="5" s="1"/>
  <c r="Z184" i="5"/>
  <c r="Z176" i="5"/>
  <c r="AB176" i="5" s="1"/>
  <c r="Z168" i="5"/>
  <c r="AB168" i="5" s="1"/>
  <c r="Z160" i="5"/>
  <c r="AB160" i="5" s="1"/>
  <c r="Z152" i="5"/>
  <c r="AB152" i="5" s="1"/>
  <c r="Z144" i="5"/>
  <c r="AA144" i="5" s="1"/>
  <c r="Z136" i="5"/>
  <c r="Z128" i="5"/>
  <c r="AA128" i="5" s="1"/>
  <c r="Z112" i="5"/>
  <c r="AA112" i="5" s="1"/>
  <c r="Z96" i="5"/>
  <c r="AA96" i="5" s="1"/>
  <c r="Z80" i="5"/>
  <c r="AA80" i="5" s="1"/>
  <c r="Z56" i="5"/>
  <c r="AB56" i="5" s="1"/>
  <c r="Z34" i="5"/>
  <c r="AA34" i="5" s="1"/>
  <c r="Z29" i="5"/>
  <c r="AB29" i="5" s="1"/>
  <c r="Z559" i="5"/>
  <c r="Z551" i="5"/>
  <c r="AB551" i="5" s="1"/>
  <c r="Z543" i="5"/>
  <c r="AB543" i="5" s="1"/>
  <c r="Z535" i="5"/>
  <c r="AA535" i="5" s="1"/>
  <c r="Z527" i="5"/>
  <c r="AA527" i="5" s="1"/>
  <c r="Z519" i="5"/>
  <c r="AB519" i="5" s="1"/>
  <c r="Z511" i="5"/>
  <c r="AA511" i="5" s="1"/>
  <c r="Z503" i="5"/>
  <c r="AB503" i="5" s="1"/>
  <c r="Z495" i="5"/>
  <c r="AB495" i="5" s="1"/>
  <c r="Z487" i="5"/>
  <c r="AA487" i="5" s="1"/>
  <c r="Z479" i="5"/>
  <c r="Z471" i="5"/>
  <c r="AA471" i="5" s="1"/>
  <c r="Z463" i="5"/>
  <c r="AA463" i="5" s="1"/>
  <c r="Z455" i="5"/>
  <c r="AB455" i="5" s="1"/>
  <c r="Z447" i="5"/>
  <c r="AA447" i="5" s="1"/>
  <c r="Z439" i="5"/>
  <c r="AA439" i="5" s="1"/>
  <c r="Z431" i="5"/>
  <c r="AA431" i="5" s="1"/>
  <c r="Z423" i="5"/>
  <c r="AB423" i="5" s="1"/>
  <c r="Z415" i="5"/>
  <c r="AB415" i="5" s="1"/>
  <c r="Z407" i="5"/>
  <c r="AB407" i="5" s="1"/>
  <c r="Z399" i="5"/>
  <c r="Z391" i="5"/>
  <c r="AB391" i="5" s="1"/>
  <c r="Z383" i="5"/>
  <c r="AB383" i="5" s="1"/>
  <c r="Z375" i="5"/>
  <c r="AB375" i="5" s="1"/>
  <c r="Z367" i="5"/>
  <c r="AA367" i="5" s="1"/>
  <c r="Z359" i="5"/>
  <c r="AA359" i="5" s="1"/>
  <c r="Z351" i="5"/>
  <c r="AA351" i="5" s="1"/>
  <c r="Z343" i="5"/>
  <c r="AB343" i="5" s="1"/>
  <c r="Z335" i="5"/>
  <c r="AA335" i="5" s="1"/>
  <c r="Z327" i="5"/>
  <c r="AA327" i="5" s="1"/>
  <c r="Z319" i="5"/>
  <c r="AB319" i="5" s="1"/>
  <c r="Z311" i="5"/>
  <c r="AB311" i="5" s="1"/>
  <c r="Z303" i="5"/>
  <c r="AB303" i="5" s="1"/>
  <c r="Z295" i="5"/>
  <c r="Z287" i="5"/>
  <c r="AA287" i="5" s="1"/>
  <c r="Z279" i="5"/>
  <c r="Z271" i="5"/>
  <c r="AA271" i="5" s="1"/>
  <c r="Z263" i="5"/>
  <c r="AB263" i="5" s="1"/>
  <c r="Z255" i="5"/>
  <c r="AA255" i="5" s="1"/>
  <c r="Z247" i="5"/>
  <c r="AA247" i="5" s="1"/>
  <c r="Z239" i="5"/>
  <c r="AB239" i="5" s="1"/>
  <c r="Z231" i="5"/>
  <c r="AB231" i="5" s="1"/>
  <c r="Z223" i="5"/>
  <c r="AB223" i="5" s="1"/>
  <c r="Z215" i="5"/>
  <c r="AA215" i="5" s="1"/>
  <c r="Z207" i="5"/>
  <c r="AB207" i="5" s="1"/>
  <c r="Z199" i="5"/>
  <c r="AB199" i="5" s="1"/>
  <c r="Z191" i="5"/>
  <c r="AA191" i="5" s="1"/>
  <c r="Z183" i="5"/>
  <c r="Z175" i="5"/>
  <c r="AB175" i="5" s="1"/>
  <c r="Z167" i="5"/>
  <c r="AB167" i="5" s="1"/>
  <c r="Z159" i="5"/>
  <c r="AA159" i="5" s="1"/>
  <c r="Z151" i="5"/>
  <c r="AA151" i="5" s="1"/>
  <c r="Z143" i="5"/>
  <c r="AA143" i="5" s="1"/>
  <c r="Z135" i="5"/>
  <c r="AA135" i="5" s="1"/>
  <c r="Z127" i="5"/>
  <c r="Z119" i="5"/>
  <c r="AB119" i="5" s="1"/>
  <c r="Z111" i="5"/>
  <c r="AB111" i="5" s="1"/>
  <c r="Z103" i="5"/>
  <c r="AA103" i="5" s="1"/>
  <c r="Z95" i="5"/>
  <c r="AB95" i="5" s="1"/>
  <c r="Z87" i="5"/>
  <c r="AB87" i="5" s="1"/>
  <c r="Z79" i="5"/>
  <c r="AB79" i="5" s="1"/>
  <c r="Z71" i="5"/>
  <c r="AA71" i="5" s="1"/>
  <c r="Z63" i="5"/>
  <c r="AB63" i="5" s="1"/>
  <c r="Z55" i="5"/>
  <c r="AB55" i="5" s="1"/>
  <c r="Z47" i="5"/>
  <c r="AB47" i="5" s="1"/>
  <c r="Z39" i="5"/>
  <c r="AA39" i="5" s="1"/>
  <c r="Z33" i="5"/>
  <c r="Z25" i="5"/>
  <c r="AA25" i="5" s="1"/>
  <c r="Z12" i="5"/>
  <c r="Z166" i="5"/>
  <c r="AA166" i="5" s="1"/>
  <c r="Z150" i="5"/>
  <c r="AA150" i="5" s="1"/>
  <c r="Z134" i="5"/>
  <c r="Z118" i="5"/>
  <c r="AB118" i="5" s="1"/>
  <c r="Z102" i="5"/>
  <c r="Z78" i="5"/>
  <c r="Z62" i="5"/>
  <c r="AB62" i="5" s="1"/>
  <c r="Z54" i="5"/>
  <c r="AA54" i="5" s="1"/>
  <c r="Z32" i="5"/>
  <c r="AB32" i="5" s="1"/>
  <c r="Z10" i="5"/>
  <c r="AB10" i="5" s="1"/>
  <c r="Z131" i="5"/>
  <c r="AA131" i="5" s="1"/>
  <c r="Z91" i="5"/>
  <c r="AA91" i="5" s="1"/>
  <c r="Z43" i="5"/>
  <c r="AB43" i="5" s="1"/>
  <c r="Z558" i="5"/>
  <c r="Z550" i="5"/>
  <c r="AB550" i="5" s="1"/>
  <c r="Z542" i="5"/>
  <c r="AA542" i="5" s="1"/>
  <c r="Z534" i="5"/>
  <c r="Z526" i="5"/>
  <c r="AA526" i="5" s="1"/>
  <c r="Z518" i="5"/>
  <c r="AB518" i="5" s="1"/>
  <c r="Z510" i="5"/>
  <c r="AB510" i="5" s="1"/>
  <c r="Z502" i="5"/>
  <c r="AB502" i="5" s="1"/>
  <c r="Z494" i="5"/>
  <c r="AB494" i="5" s="1"/>
  <c r="Z486" i="5"/>
  <c r="AB486" i="5" s="1"/>
  <c r="Z478" i="5"/>
  <c r="AB478" i="5" s="1"/>
  <c r="Z470" i="5"/>
  <c r="AB470" i="5" s="1"/>
  <c r="Z462" i="5"/>
  <c r="AB462" i="5" s="1"/>
  <c r="Z454" i="5"/>
  <c r="AB454" i="5" s="1"/>
  <c r="Z446" i="5"/>
  <c r="Z438" i="5"/>
  <c r="AB438" i="5" s="1"/>
  <c r="Z430" i="5"/>
  <c r="AA430" i="5" s="1"/>
  <c r="Z422" i="5"/>
  <c r="AB422" i="5" s="1"/>
  <c r="Z414" i="5"/>
  <c r="AB414" i="5" s="1"/>
  <c r="Z406" i="5"/>
  <c r="AA406" i="5" s="1"/>
  <c r="Z398" i="5"/>
  <c r="Z390" i="5"/>
  <c r="AA390" i="5" s="1"/>
  <c r="Z382" i="5"/>
  <c r="AB382" i="5" s="1"/>
  <c r="Z374" i="5"/>
  <c r="AB374" i="5" s="1"/>
  <c r="Z366" i="5"/>
  <c r="AA366" i="5" s="1"/>
  <c r="Z358" i="5"/>
  <c r="AB358" i="5" s="1"/>
  <c r="Z350" i="5"/>
  <c r="AA350" i="5" s="1"/>
  <c r="Z342" i="5"/>
  <c r="Z334" i="5"/>
  <c r="Z326" i="5"/>
  <c r="AA326" i="5" s="1"/>
  <c r="Z318" i="5"/>
  <c r="AB318" i="5" s="1"/>
  <c r="Z310" i="5"/>
  <c r="Z302" i="5"/>
  <c r="AA302" i="5" s="1"/>
  <c r="Z294" i="5"/>
  <c r="AB294" i="5" s="1"/>
  <c r="Z286" i="5"/>
  <c r="AB286" i="5" s="1"/>
  <c r="Z278" i="5"/>
  <c r="AA278" i="5" s="1"/>
  <c r="Z270" i="5"/>
  <c r="AA270" i="5" s="1"/>
  <c r="Z262" i="5"/>
  <c r="AA262" i="5" s="1"/>
  <c r="Z254" i="5"/>
  <c r="AA254" i="5" s="1"/>
  <c r="Z246" i="5"/>
  <c r="AA246" i="5" s="1"/>
  <c r="Z238" i="5"/>
  <c r="Z230" i="5"/>
  <c r="AA230" i="5" s="1"/>
  <c r="Z222" i="5"/>
  <c r="AB222" i="5" s="1"/>
  <c r="Z214" i="5"/>
  <c r="AA214" i="5" s="1"/>
  <c r="Z206" i="5"/>
  <c r="AA206" i="5" s="1"/>
  <c r="Z198" i="5"/>
  <c r="Z190" i="5"/>
  <c r="AB190" i="5" s="1"/>
  <c r="Z182" i="5"/>
  <c r="Z174" i="5"/>
  <c r="AA174" i="5" s="1"/>
  <c r="Z158" i="5"/>
  <c r="Z142" i="5"/>
  <c r="AB142" i="5" s="1"/>
  <c r="Z126" i="5"/>
  <c r="Z110" i="5"/>
  <c r="AA110" i="5" s="1"/>
  <c r="Z94" i="5"/>
  <c r="AA94" i="5" s="1"/>
  <c r="Z86" i="5"/>
  <c r="AA86" i="5" s="1"/>
  <c r="Z70" i="5"/>
  <c r="AB70" i="5" s="1"/>
  <c r="Z46" i="5"/>
  <c r="Z38" i="5"/>
  <c r="AA38" i="5" s="1"/>
  <c r="Z24" i="5"/>
  <c r="Z147" i="5"/>
  <c r="Z107" i="5"/>
  <c r="AB107" i="5" s="1"/>
  <c r="Z67" i="5"/>
  <c r="Z7" i="5"/>
  <c r="AB7" i="5" s="1"/>
  <c r="Z557" i="5"/>
  <c r="AA557" i="5" s="1"/>
  <c r="Z549" i="5"/>
  <c r="AB549" i="5" s="1"/>
  <c r="Z541" i="5"/>
  <c r="Z533" i="5"/>
  <c r="AA533" i="5" s="1"/>
  <c r="Z525" i="5"/>
  <c r="AA525" i="5" s="1"/>
  <c r="Z517" i="5"/>
  <c r="AB517" i="5" s="1"/>
  <c r="Z509" i="5"/>
  <c r="AA509" i="5" s="1"/>
  <c r="Z501" i="5"/>
  <c r="AB501" i="5" s="1"/>
  <c r="Z493" i="5"/>
  <c r="AA493" i="5" s="1"/>
  <c r="Z485" i="5"/>
  <c r="AA485" i="5" s="1"/>
  <c r="Z477" i="5"/>
  <c r="AA477" i="5" s="1"/>
  <c r="Z469" i="5"/>
  <c r="AA469" i="5" s="1"/>
  <c r="Z461" i="5"/>
  <c r="AB461" i="5" s="1"/>
  <c r="Z453" i="5"/>
  <c r="AA453" i="5" s="1"/>
  <c r="Z445" i="5"/>
  <c r="AB445" i="5" s="1"/>
  <c r="Z437" i="5"/>
  <c r="AA437" i="5" s="1"/>
  <c r="Z429" i="5"/>
  <c r="AA429" i="5" s="1"/>
  <c r="Z421" i="5"/>
  <c r="AA421" i="5" s="1"/>
  <c r="Z413" i="5"/>
  <c r="AA413" i="5" s="1"/>
  <c r="Z405" i="5"/>
  <c r="AB405" i="5" s="1"/>
  <c r="Z397" i="5"/>
  <c r="AB397" i="5" s="1"/>
  <c r="Z389" i="5"/>
  <c r="AA389" i="5" s="1"/>
  <c r="Z381" i="5"/>
  <c r="Z373" i="5"/>
  <c r="AB373" i="5" s="1"/>
  <c r="Z365" i="5"/>
  <c r="Z357" i="5"/>
  <c r="AA357" i="5" s="1"/>
  <c r="Z349" i="5"/>
  <c r="Z341" i="5"/>
  <c r="AA341" i="5" s="1"/>
  <c r="Z333" i="5"/>
  <c r="AB333" i="5" s="1"/>
  <c r="Z325" i="5"/>
  <c r="Z317" i="5"/>
  <c r="AB317" i="5" s="1"/>
  <c r="Z309" i="5"/>
  <c r="AA309" i="5" s="1"/>
  <c r="Z301" i="5"/>
  <c r="AA301" i="5" s="1"/>
  <c r="Z293" i="5"/>
  <c r="AA293" i="5" s="1"/>
  <c r="Z285" i="5"/>
  <c r="Z277" i="5"/>
  <c r="AB277" i="5" s="1"/>
  <c r="Z269" i="5"/>
  <c r="AB269" i="5" s="1"/>
  <c r="Z261" i="5"/>
  <c r="AA261" i="5" s="1"/>
  <c r="Z253" i="5"/>
  <c r="Z245" i="5"/>
  <c r="Z237" i="5"/>
  <c r="Z229" i="5"/>
  <c r="Z221" i="5"/>
  <c r="AB221" i="5" s="1"/>
  <c r="Z213" i="5"/>
  <c r="AB213" i="5" s="1"/>
  <c r="Z205" i="5"/>
  <c r="AB205" i="5" s="1"/>
  <c r="Z197" i="5"/>
  <c r="Z189" i="5"/>
  <c r="AA189" i="5" s="1"/>
  <c r="Z181" i="5"/>
  <c r="AA181" i="5" s="1"/>
  <c r="Z173" i="5"/>
  <c r="Z165" i="5"/>
  <c r="AA165" i="5" s="1"/>
  <c r="Z157" i="5"/>
  <c r="AB157" i="5" s="1"/>
  <c r="Z149" i="5"/>
  <c r="AB149" i="5" s="1"/>
  <c r="Z141" i="5"/>
  <c r="Z133" i="5"/>
  <c r="AA133" i="5" s="1"/>
  <c r="Z125" i="5"/>
  <c r="AB125" i="5" s="1"/>
  <c r="Z117" i="5"/>
  <c r="AA117" i="5" s="1"/>
  <c r="Z109" i="5"/>
  <c r="AA109" i="5" s="1"/>
  <c r="Z101" i="5"/>
  <c r="AA101" i="5" s="1"/>
  <c r="Z93" i="5"/>
  <c r="AA93" i="5" s="1"/>
  <c r="Z85" i="5"/>
  <c r="AA85" i="5" s="1"/>
  <c r="Z77" i="5"/>
  <c r="AA77" i="5" s="1"/>
  <c r="Z69" i="5"/>
  <c r="AB69" i="5" s="1"/>
  <c r="Z61" i="5"/>
  <c r="AA61" i="5" s="1"/>
  <c r="Z53" i="5"/>
  <c r="AB53" i="5" s="1"/>
  <c r="Z45" i="5"/>
  <c r="Z37" i="5"/>
  <c r="AA37" i="5" s="1"/>
  <c r="Z31" i="5"/>
  <c r="AA31" i="5" s="1"/>
  <c r="Z23" i="5"/>
  <c r="AB23" i="5" s="1"/>
  <c r="Z148" i="5"/>
  <c r="AB148" i="5" s="1"/>
  <c r="Z132" i="5"/>
  <c r="AA132" i="5" s="1"/>
  <c r="Z124" i="5"/>
  <c r="AA124" i="5" s="1"/>
  <c r="Z108" i="5"/>
  <c r="AB108" i="5" s="1"/>
  <c r="Z92" i="5"/>
  <c r="AA92" i="5" s="1"/>
  <c r="Z84" i="5"/>
  <c r="AB84" i="5" s="1"/>
  <c r="Z68" i="5"/>
  <c r="Z52" i="5"/>
  <c r="AB52" i="5" s="1"/>
  <c r="Z36" i="5"/>
  <c r="AB36" i="5" s="1"/>
  <c r="Z22" i="5"/>
  <c r="Z171" i="5"/>
  <c r="AA171" i="5" s="1"/>
  <c r="Z139" i="5"/>
  <c r="AA139" i="5" s="1"/>
  <c r="Z123" i="5"/>
  <c r="AA123" i="5" s="1"/>
  <c r="Z83" i="5"/>
  <c r="AA83" i="5" s="1"/>
  <c r="Z51" i="5"/>
  <c r="AA51" i="5" s="1"/>
  <c r="Z556" i="5"/>
  <c r="Z548" i="5"/>
  <c r="AB548" i="5" s="1"/>
  <c r="Z540" i="5"/>
  <c r="AB540" i="5" s="1"/>
  <c r="Z532" i="5"/>
  <c r="AA532" i="5" s="1"/>
  <c r="Z524" i="5"/>
  <c r="AA524" i="5" s="1"/>
  <c r="Z516" i="5"/>
  <c r="AB516" i="5" s="1"/>
  <c r="Z508" i="5"/>
  <c r="Z500" i="5"/>
  <c r="Z492" i="5"/>
  <c r="AB492" i="5" s="1"/>
  <c r="Z484" i="5"/>
  <c r="AB484" i="5" s="1"/>
  <c r="Z476" i="5"/>
  <c r="Z468" i="5"/>
  <c r="AB468" i="5" s="1"/>
  <c r="Z460" i="5"/>
  <c r="AA460" i="5" s="1"/>
  <c r="Z452" i="5"/>
  <c r="AA452" i="5" s="1"/>
  <c r="Z444" i="5"/>
  <c r="AB444" i="5" s="1"/>
  <c r="Z436" i="5"/>
  <c r="AA436" i="5" s="1"/>
  <c r="Z428" i="5"/>
  <c r="AB428" i="5" s="1"/>
  <c r="Z420" i="5"/>
  <c r="AB420" i="5" s="1"/>
  <c r="Z412" i="5"/>
  <c r="AA412" i="5" s="1"/>
  <c r="Z404" i="5"/>
  <c r="AB404" i="5" s="1"/>
  <c r="Z396" i="5"/>
  <c r="AA396" i="5" s="1"/>
  <c r="Z388" i="5"/>
  <c r="AA388" i="5" s="1"/>
  <c r="Z380" i="5"/>
  <c r="AA380" i="5" s="1"/>
  <c r="Z372" i="5"/>
  <c r="AB372" i="5" s="1"/>
  <c r="Z364" i="5"/>
  <c r="AB364" i="5" s="1"/>
  <c r="Z356" i="5"/>
  <c r="AA356" i="5" s="1"/>
  <c r="Z348" i="5"/>
  <c r="AA348" i="5" s="1"/>
  <c r="Z340" i="5"/>
  <c r="AB340" i="5" s="1"/>
  <c r="Z332" i="5"/>
  <c r="AA332" i="5" s="1"/>
  <c r="Z324" i="5"/>
  <c r="AB324" i="5" s="1"/>
  <c r="Z316" i="5"/>
  <c r="AA316" i="5" s="1"/>
  <c r="Z308" i="5"/>
  <c r="Z300" i="5"/>
  <c r="Z292" i="5"/>
  <c r="AA292" i="5" s="1"/>
  <c r="Z284" i="5"/>
  <c r="AB284" i="5" s="1"/>
  <c r="Z276" i="5"/>
  <c r="AB276" i="5" s="1"/>
  <c r="Z268" i="5"/>
  <c r="AA268" i="5" s="1"/>
  <c r="Z260" i="5"/>
  <c r="AB260" i="5" s="1"/>
  <c r="Z252" i="5"/>
  <c r="AB252" i="5" s="1"/>
  <c r="Z244" i="5"/>
  <c r="AB244" i="5" s="1"/>
  <c r="Z236" i="5"/>
  <c r="AB236" i="5" s="1"/>
  <c r="Z228" i="5"/>
  <c r="AA228" i="5" s="1"/>
  <c r="Z220" i="5"/>
  <c r="AA220" i="5" s="1"/>
  <c r="Z212" i="5"/>
  <c r="AB212" i="5" s="1"/>
  <c r="Z204" i="5"/>
  <c r="Z196" i="5"/>
  <c r="AA196" i="5" s="1"/>
  <c r="Z188" i="5"/>
  <c r="AB188" i="5" s="1"/>
  <c r="Z180" i="5"/>
  <c r="AB180" i="5" s="1"/>
  <c r="Z172" i="5"/>
  <c r="AB172" i="5" s="1"/>
  <c r="Z164" i="5"/>
  <c r="AB164" i="5" s="1"/>
  <c r="Z156" i="5"/>
  <c r="AA156" i="5" s="1"/>
  <c r="Z140" i="5"/>
  <c r="AB140" i="5" s="1"/>
  <c r="Z116" i="5"/>
  <c r="AB116" i="5" s="1"/>
  <c r="Z100" i="5"/>
  <c r="AB100" i="5" s="1"/>
  <c r="Z76" i="5"/>
  <c r="AA76" i="5" s="1"/>
  <c r="Z60" i="5"/>
  <c r="AB60" i="5" s="1"/>
  <c r="Z44" i="5"/>
  <c r="Z30" i="5"/>
  <c r="AA30" i="5" s="1"/>
  <c r="Z8" i="5"/>
  <c r="AA8" i="5" s="1"/>
  <c r="Z155" i="5"/>
  <c r="AB155" i="5" s="1"/>
  <c r="Z99" i="5"/>
  <c r="Z59" i="5"/>
  <c r="AB59" i="5" s="1"/>
  <c r="Z555" i="5"/>
  <c r="Z547" i="5"/>
  <c r="AB547" i="5" s="1"/>
  <c r="Z539" i="5"/>
  <c r="AB539" i="5" s="1"/>
  <c r="Z531" i="5"/>
  <c r="AB531" i="5" s="1"/>
  <c r="Z523" i="5"/>
  <c r="AB523" i="5" s="1"/>
  <c r="Z515" i="5"/>
  <c r="AB515" i="5" s="1"/>
  <c r="Z507" i="5"/>
  <c r="AA507" i="5" s="1"/>
  <c r="Z499" i="5"/>
  <c r="AB499" i="5" s="1"/>
  <c r="Z491" i="5"/>
  <c r="AA491" i="5" s="1"/>
  <c r="Z483" i="5"/>
  <c r="Z475" i="5"/>
  <c r="AB475" i="5" s="1"/>
  <c r="Z467" i="5"/>
  <c r="AB467" i="5" s="1"/>
  <c r="Z459" i="5"/>
  <c r="AA459" i="5" s="1"/>
  <c r="Z451" i="5"/>
  <c r="Z443" i="5"/>
  <c r="AA443" i="5" s="1"/>
  <c r="Z435" i="5"/>
  <c r="AB435" i="5" s="1"/>
  <c r="Z427" i="5"/>
  <c r="Z419" i="5"/>
  <c r="AA419" i="5" s="1"/>
  <c r="Z411" i="5"/>
  <c r="AA411" i="5" s="1"/>
  <c r="Z403" i="5"/>
  <c r="AA403" i="5" s="1"/>
  <c r="Z395" i="5"/>
  <c r="Z387" i="5"/>
  <c r="AB387" i="5" s="1"/>
  <c r="Z379" i="5"/>
  <c r="AA379" i="5" s="1"/>
  <c r="Z371" i="5"/>
  <c r="AA371" i="5" s="1"/>
  <c r="Z363" i="5"/>
  <c r="AB363" i="5" s="1"/>
  <c r="Z355" i="5"/>
  <c r="AB355" i="5" s="1"/>
  <c r="Z347" i="5"/>
  <c r="AA347" i="5" s="1"/>
  <c r="Z339" i="5"/>
  <c r="Z331" i="5"/>
  <c r="AA331" i="5" s="1"/>
  <c r="Z323" i="5"/>
  <c r="Z315" i="5"/>
  <c r="AB315" i="5" s="1"/>
  <c r="Z307" i="5"/>
  <c r="AA307" i="5" s="1"/>
  <c r="Z299" i="5"/>
  <c r="AA299" i="5" s="1"/>
  <c r="Z291" i="5"/>
  <c r="AA291" i="5" s="1"/>
  <c r="Z283" i="5"/>
  <c r="AB283" i="5" s="1"/>
  <c r="Z275" i="5"/>
  <c r="AB275" i="5" s="1"/>
  <c r="Z267" i="5"/>
  <c r="AB267" i="5" s="1"/>
  <c r="Z259" i="5"/>
  <c r="AA259" i="5" s="1"/>
  <c r="Z251" i="5"/>
  <c r="AB251" i="5" s="1"/>
  <c r="Z243" i="5"/>
  <c r="AB243" i="5" s="1"/>
  <c r="Z235" i="5"/>
  <c r="AA235" i="5" s="1"/>
  <c r="Z227" i="5"/>
  <c r="AB227" i="5" s="1"/>
  <c r="Z219" i="5"/>
  <c r="AA219" i="5" s="1"/>
  <c r="Z211" i="5"/>
  <c r="AA211" i="5" s="1"/>
  <c r="Z203" i="5"/>
  <c r="AA203" i="5" s="1"/>
  <c r="Z195" i="5"/>
  <c r="AA195" i="5" s="1"/>
  <c r="Z187" i="5"/>
  <c r="AB187" i="5" s="1"/>
  <c r="Z179" i="5"/>
  <c r="AA179" i="5" s="1"/>
  <c r="Z163" i="5"/>
  <c r="AA163" i="5" s="1"/>
  <c r="Z115" i="5"/>
  <c r="Z75" i="5"/>
  <c r="Z554" i="5"/>
  <c r="AA554" i="5" s="1"/>
  <c r="Z546" i="5"/>
  <c r="AA546" i="5" s="1"/>
  <c r="Z538" i="5"/>
  <c r="AB538" i="5" s="1"/>
  <c r="Z530" i="5"/>
  <c r="Z522" i="5"/>
  <c r="AA522" i="5" s="1"/>
  <c r="Z514" i="5"/>
  <c r="AB514" i="5" s="1"/>
  <c r="Z506" i="5"/>
  <c r="AB506" i="5" s="1"/>
  <c r="Z498" i="5"/>
  <c r="AA498" i="5" s="1"/>
  <c r="Z490" i="5"/>
  <c r="AB490" i="5" s="1"/>
  <c r="Z482" i="5"/>
  <c r="Z474" i="5"/>
  <c r="AA474" i="5" s="1"/>
  <c r="Z466" i="5"/>
  <c r="Z458" i="5"/>
  <c r="AA458" i="5" s="1"/>
  <c r="Z450" i="5"/>
  <c r="Z442" i="5"/>
  <c r="AB442" i="5" s="1"/>
  <c r="Z434" i="5"/>
  <c r="Z426" i="5"/>
  <c r="AA426" i="5" s="1"/>
  <c r="Z418" i="5"/>
  <c r="AB418" i="5" s="1"/>
  <c r="Z410" i="5"/>
  <c r="AB410" i="5" s="1"/>
  <c r="Z402" i="5"/>
  <c r="AB402" i="5" s="1"/>
  <c r="Z394" i="5"/>
  <c r="AB394" i="5" s="1"/>
  <c r="Z386" i="5"/>
  <c r="AA386" i="5" s="1"/>
  <c r="Z378" i="5"/>
  <c r="Z370" i="5"/>
  <c r="AA370" i="5" s="1"/>
  <c r="Z362" i="5"/>
  <c r="AA362" i="5" s="1"/>
  <c r="Z354" i="5"/>
  <c r="AA354" i="5" s="1"/>
  <c r="Z346" i="5"/>
  <c r="AB346" i="5" s="1"/>
  <c r="Z338" i="5"/>
  <c r="AB338" i="5" s="1"/>
  <c r="Z330" i="5"/>
  <c r="AB330" i="5" s="1"/>
  <c r="Z322" i="5"/>
  <c r="AA322" i="5" s="1"/>
  <c r="Z314" i="5"/>
  <c r="AB314" i="5" s="1"/>
  <c r="Z306" i="5"/>
  <c r="AB306" i="5" s="1"/>
  <c r="Z298" i="5"/>
  <c r="AA298" i="5" s="1"/>
  <c r="Z290" i="5"/>
  <c r="AB290" i="5" s="1"/>
  <c r="Z282" i="5"/>
  <c r="AB282" i="5" s="1"/>
  <c r="Z274" i="5"/>
  <c r="AA274" i="5" s="1"/>
  <c r="Z266" i="5"/>
  <c r="Z258" i="5"/>
  <c r="AB258" i="5" s="1"/>
  <c r="Z250" i="5"/>
  <c r="AB250" i="5" s="1"/>
  <c r="Z242" i="5"/>
  <c r="AA242" i="5" s="1"/>
  <c r="Z234" i="5"/>
  <c r="Z226" i="5"/>
  <c r="AA226" i="5" s="1"/>
  <c r="Z218" i="5"/>
  <c r="Z210" i="5"/>
  <c r="Z202" i="5"/>
  <c r="AA202" i="5" s="1"/>
  <c r="Z194" i="5"/>
  <c r="AB194" i="5" s="1"/>
  <c r="Z186" i="5"/>
  <c r="Z178" i="5"/>
  <c r="Z170" i="5"/>
  <c r="AB170" i="5" s="1"/>
  <c r="Z162" i="5"/>
  <c r="AB162" i="5" s="1"/>
  <c r="Z154" i="5"/>
  <c r="AA154" i="5" s="1"/>
  <c r="Z146" i="5"/>
  <c r="AB146" i="5" s="1"/>
  <c r="Z138" i="5"/>
  <c r="AB138" i="5" s="1"/>
  <c r="Z130" i="5"/>
  <c r="AA130" i="5" s="1"/>
  <c r="Z122" i="5"/>
  <c r="Z114" i="5"/>
  <c r="AB114" i="5" s="1"/>
  <c r="Z106" i="5"/>
  <c r="AB106" i="5" s="1"/>
  <c r="Z98" i="5"/>
  <c r="AA98" i="5" s="1"/>
  <c r="Z90" i="5"/>
  <c r="AB90" i="5" s="1"/>
  <c r="Z82" i="5"/>
  <c r="AB82" i="5" s="1"/>
  <c r="Z74" i="5"/>
  <c r="AA74" i="5" s="1"/>
  <c r="Z66" i="5"/>
  <c r="AB66" i="5" s="1"/>
  <c r="Z58" i="5"/>
  <c r="Z50" i="5"/>
  <c r="AB50" i="5" s="1"/>
  <c r="Z42" i="5"/>
  <c r="AA42" i="5" s="1"/>
  <c r="Z35" i="5"/>
  <c r="Z28" i="5"/>
  <c r="AB28" i="5" s="1"/>
  <c r="Z20" i="5"/>
  <c r="Z121" i="5"/>
  <c r="AA121" i="5" s="1"/>
  <c r="Z105" i="5"/>
  <c r="AA105" i="5" s="1"/>
  <c r="Z89" i="5"/>
  <c r="AB89" i="5" s="1"/>
  <c r="Z73" i="5"/>
  <c r="Z57" i="5"/>
  <c r="AB57" i="5" s="1"/>
  <c r="Z41" i="5"/>
  <c r="AA41" i="5" s="1"/>
  <c r="Z27" i="5"/>
  <c r="AB27" i="5" s="1"/>
  <c r="Z19" i="5"/>
  <c r="AA19" i="5" s="1"/>
  <c r="Z120" i="5"/>
  <c r="AA120" i="5" s="1"/>
  <c r="Z104" i="5"/>
  <c r="AB104" i="5" s="1"/>
  <c r="Z88" i="5"/>
  <c r="AA88" i="5" s="1"/>
  <c r="Z64" i="5"/>
  <c r="AB64" i="5" s="1"/>
  <c r="Z40" i="5"/>
  <c r="AA40" i="5" s="1"/>
  <c r="Z13" i="5"/>
  <c r="Z553" i="5"/>
  <c r="AB553" i="5" s="1"/>
  <c r="Z545" i="5"/>
  <c r="AA545" i="5" s="1"/>
  <c r="Z537" i="5"/>
  <c r="AA537" i="5" s="1"/>
  <c r="Z529" i="5"/>
  <c r="AA529" i="5" s="1"/>
  <c r="Z521" i="5"/>
  <c r="AA521" i="5" s="1"/>
  <c r="Z513" i="5"/>
  <c r="AA513" i="5" s="1"/>
  <c r="Z505" i="5"/>
  <c r="Z497" i="5"/>
  <c r="AB497" i="5" s="1"/>
  <c r="Z489" i="5"/>
  <c r="AB489" i="5" s="1"/>
  <c r="Z481" i="5"/>
  <c r="Z473" i="5"/>
  <c r="AA473" i="5" s="1"/>
  <c r="Z465" i="5"/>
  <c r="Z457" i="5"/>
  <c r="AB457" i="5" s="1"/>
  <c r="Z449" i="5"/>
  <c r="AA449" i="5" s="1"/>
  <c r="Z441" i="5"/>
  <c r="AB441" i="5" s="1"/>
  <c r="Z433" i="5"/>
  <c r="Z425" i="5"/>
  <c r="AA425" i="5" s="1"/>
  <c r="Z417" i="5"/>
  <c r="AA417" i="5" s="1"/>
  <c r="Z409" i="5"/>
  <c r="AB409" i="5" s="1"/>
  <c r="Z401" i="5"/>
  <c r="AA401" i="5" s="1"/>
  <c r="Z393" i="5"/>
  <c r="AA393" i="5" s="1"/>
  <c r="Z385" i="5"/>
  <c r="AB385" i="5" s="1"/>
  <c r="Z377" i="5"/>
  <c r="Z369" i="5"/>
  <c r="AB369" i="5" s="1"/>
  <c r="Z361" i="5"/>
  <c r="AB361" i="5" s="1"/>
  <c r="Z353" i="5"/>
  <c r="Z345" i="5"/>
  <c r="Z337" i="5"/>
  <c r="AB337" i="5" s="1"/>
  <c r="Z329" i="5"/>
  <c r="AB329" i="5" s="1"/>
  <c r="Z321" i="5"/>
  <c r="AB321" i="5" s="1"/>
  <c r="Z313" i="5"/>
  <c r="AB313" i="5" s="1"/>
  <c r="Z305" i="5"/>
  <c r="AB305" i="5" s="1"/>
  <c r="Z297" i="5"/>
  <c r="AB297" i="5" s="1"/>
  <c r="Z289" i="5"/>
  <c r="AB289" i="5" s="1"/>
  <c r="Z281" i="5"/>
  <c r="AB281" i="5" s="1"/>
  <c r="Z273" i="5"/>
  <c r="AB273" i="5" s="1"/>
  <c r="Z265" i="5"/>
  <c r="AB265" i="5" s="1"/>
  <c r="Z257" i="5"/>
  <c r="Z249" i="5"/>
  <c r="AA249" i="5" s="1"/>
  <c r="Z241" i="5"/>
  <c r="AB241" i="5" s="1"/>
  <c r="Z233" i="5"/>
  <c r="AA233" i="5" s="1"/>
  <c r="Z225" i="5"/>
  <c r="AB225" i="5" s="1"/>
  <c r="Z217" i="5"/>
  <c r="AA217" i="5" s="1"/>
  <c r="Z209" i="5"/>
  <c r="AA209" i="5" s="1"/>
  <c r="Z201" i="5"/>
  <c r="AB201" i="5" s="1"/>
  <c r="Z193" i="5"/>
  <c r="AB193" i="5" s="1"/>
  <c r="Z185" i="5"/>
  <c r="AB185" i="5" s="1"/>
  <c r="Z177" i="5"/>
  <c r="AB177" i="5" s="1"/>
  <c r="Z169" i="5"/>
  <c r="AA169" i="5" s="1"/>
  <c r="Z161" i="5"/>
  <c r="AA161" i="5" s="1"/>
  <c r="Z153" i="5"/>
  <c r="AB153" i="5" s="1"/>
  <c r="Z145" i="5"/>
  <c r="Z137" i="5"/>
  <c r="AB137" i="5" s="1"/>
  <c r="Z129" i="5"/>
  <c r="AB129" i="5" s="1"/>
  <c r="Z113" i="5"/>
  <c r="Z97" i="5"/>
  <c r="AB97" i="5" s="1"/>
  <c r="Z81" i="5"/>
  <c r="Z65" i="5"/>
  <c r="Z49" i="5"/>
  <c r="AA49" i="5" s="1"/>
  <c r="Z72" i="5"/>
  <c r="AB72" i="5" s="1"/>
  <c r="Z48" i="5"/>
  <c r="AB48" i="5" s="1"/>
  <c r="Z26" i="5"/>
  <c r="AB26" i="5" s="1"/>
  <c r="Z21" i="5"/>
  <c r="AJ9" i="5"/>
  <c r="AK9" i="5" s="1"/>
  <c r="Z9" i="5"/>
  <c r="S240" i="5"/>
  <c r="R312" i="5"/>
  <c r="T11" i="5"/>
  <c r="U11" i="5" s="1"/>
  <c r="Z11" i="5"/>
  <c r="AB11" i="5" s="1"/>
  <c r="R320" i="5"/>
  <c r="S128" i="5"/>
  <c r="U45" i="5"/>
  <c r="AP38" i="5"/>
  <c r="AR38" i="5" s="1"/>
  <c r="AP110" i="5"/>
  <c r="AR110" i="5" s="1"/>
  <c r="AP47" i="5"/>
  <c r="AR47" i="5" s="1"/>
  <c r="AP92" i="5"/>
  <c r="AQ92" i="5" s="1"/>
  <c r="AP64" i="5"/>
  <c r="AQ64" i="5" s="1"/>
  <c r="V97" i="5"/>
  <c r="AP340" i="5"/>
  <c r="AR340" i="5" s="1"/>
  <c r="R472" i="5"/>
  <c r="V534" i="5"/>
  <c r="Y184" i="5"/>
  <c r="AP189" i="5"/>
  <c r="AR189" i="5" s="1"/>
  <c r="V145" i="5"/>
  <c r="V54" i="5"/>
  <c r="AP238" i="5"/>
  <c r="AP42" i="5"/>
  <c r="AR42" i="5" s="1"/>
  <c r="AP506" i="5"/>
  <c r="U143" i="5"/>
  <c r="S224" i="5"/>
  <c r="Y179" i="5"/>
  <c r="Y326" i="5"/>
  <c r="AP112" i="5"/>
  <c r="AR112" i="5" s="1"/>
  <c r="AP497" i="5"/>
  <c r="AR497" i="5" s="1"/>
  <c r="AP276" i="5"/>
  <c r="AR276" i="5" s="1"/>
  <c r="AP146" i="5"/>
  <c r="AQ146" i="5" s="1"/>
  <c r="V99" i="5"/>
  <c r="AL227" i="5"/>
  <c r="S136" i="5"/>
  <c r="R216" i="5"/>
  <c r="R232" i="5"/>
  <c r="Y289" i="5"/>
  <c r="Y51" i="5"/>
  <c r="AP252" i="5"/>
  <c r="AP159" i="5"/>
  <c r="AR159" i="5" s="1"/>
  <c r="AP406" i="5"/>
  <c r="AQ406" i="5" s="1"/>
  <c r="V21" i="5"/>
  <c r="X553" i="5"/>
  <c r="Y554" i="5"/>
  <c r="X465" i="5"/>
  <c r="AN64" i="5"/>
  <c r="Y260" i="5"/>
  <c r="X274" i="5"/>
  <c r="AP119" i="5"/>
  <c r="AP346" i="5"/>
  <c r="AQ346" i="5" s="1"/>
  <c r="AP182" i="5"/>
  <c r="AR182" i="5" s="1"/>
  <c r="V102" i="5"/>
  <c r="AP72" i="5"/>
  <c r="AQ72" i="5" s="1"/>
  <c r="AP54" i="5"/>
  <c r="AR54" i="5" s="1"/>
  <c r="Y448" i="5"/>
  <c r="R280" i="5"/>
  <c r="R152" i="5"/>
  <c r="Y301" i="5"/>
  <c r="Y458" i="5"/>
  <c r="P487" i="5"/>
  <c r="S112" i="5"/>
  <c r="S208" i="5"/>
  <c r="S64" i="5"/>
  <c r="K28" i="2"/>
  <c r="K27" i="2"/>
  <c r="AP486" i="5"/>
  <c r="AR486" i="5" s="1"/>
  <c r="AP359" i="5"/>
  <c r="AQ359" i="5" s="1"/>
  <c r="AP470" i="5"/>
  <c r="AR470" i="5" s="1"/>
  <c r="AP245" i="5"/>
  <c r="AP418" i="5"/>
  <c r="AP258" i="5"/>
  <c r="AQ258" i="5" s="1"/>
  <c r="AP233" i="5"/>
  <c r="AQ233" i="5" s="1"/>
  <c r="AP476" i="5"/>
  <c r="AR476" i="5" s="1"/>
  <c r="AP536" i="5"/>
  <c r="AQ536" i="5" s="1"/>
  <c r="AP560" i="5"/>
  <c r="AQ560" i="5" s="1"/>
  <c r="AP485" i="5"/>
  <c r="AR485" i="5" s="1"/>
  <c r="AP335" i="5"/>
  <c r="AP398" i="5"/>
  <c r="N31" i="2"/>
  <c r="AP284" i="5"/>
  <c r="AQ284" i="5" s="1"/>
  <c r="AP24" i="5"/>
  <c r="AR24" i="5" s="1"/>
  <c r="AP306" i="5"/>
  <c r="B50" i="5"/>
  <c r="M31" i="2"/>
  <c r="AP512" i="5"/>
  <c r="B153" i="2"/>
  <c r="H39" i="1" s="1"/>
  <c r="L31" i="2"/>
  <c r="AP364" i="5"/>
  <c r="AQ364" i="5" s="1"/>
  <c r="AK451" i="5"/>
  <c r="AP300" i="5"/>
  <c r="AQ300" i="5" s="1"/>
  <c r="M35" i="2"/>
  <c r="N35" i="2" s="1"/>
  <c r="AP492" i="5"/>
  <c r="AQ492" i="5" s="1"/>
  <c r="AP557" i="5"/>
  <c r="AP451" i="5"/>
  <c r="X96" i="5"/>
  <c r="X129" i="5"/>
  <c r="Y437" i="5"/>
  <c r="Y320" i="5"/>
  <c r="X319" i="5"/>
  <c r="R392" i="5"/>
  <c r="X156" i="5"/>
  <c r="X276" i="5"/>
  <c r="X399" i="5"/>
  <c r="Y342" i="5"/>
  <c r="S416" i="5"/>
  <c r="R432" i="5"/>
  <c r="Y35" i="5"/>
  <c r="X432" i="5"/>
  <c r="X451" i="5"/>
  <c r="Y28" i="5"/>
  <c r="X100" i="5"/>
  <c r="X394" i="5"/>
  <c r="Y286" i="5"/>
  <c r="R80" i="5"/>
  <c r="X491" i="5"/>
  <c r="S304" i="5"/>
  <c r="S8" i="5"/>
  <c r="Y211" i="5"/>
  <c r="Y69" i="5"/>
  <c r="X240" i="5"/>
  <c r="X355" i="5"/>
  <c r="Y214" i="5"/>
  <c r="X215" i="5"/>
  <c r="X412" i="5"/>
  <c r="Y126" i="5"/>
  <c r="Y517" i="5"/>
  <c r="X310" i="5"/>
  <c r="R488" i="5"/>
  <c r="S104" i="5"/>
  <c r="S344" i="5"/>
  <c r="R464" i="5"/>
  <c r="R32" i="5"/>
  <c r="R40" i="5"/>
  <c r="R456" i="5"/>
  <c r="R424" i="5"/>
  <c r="R168" i="5"/>
  <c r="X218" i="5"/>
  <c r="X259" i="5"/>
  <c r="X192" i="5"/>
  <c r="X52" i="5"/>
  <c r="X525" i="5"/>
  <c r="Y45" i="5"/>
  <c r="X434" i="5"/>
  <c r="Y531" i="5"/>
  <c r="Y55" i="5"/>
  <c r="Y158" i="5"/>
  <c r="X426" i="5"/>
  <c r="Y314" i="5"/>
  <c r="X95" i="5"/>
  <c r="X43" i="5"/>
  <c r="X518" i="5"/>
  <c r="Y264" i="5"/>
  <c r="S448" i="5"/>
  <c r="Y83" i="5"/>
  <c r="X313" i="5"/>
  <c r="Y389" i="5"/>
  <c r="Y383" i="5"/>
  <c r="R512" i="5"/>
  <c r="Y415" i="5"/>
  <c r="Y120" i="5"/>
  <c r="Y219" i="5"/>
  <c r="X128" i="5"/>
  <c r="X334" i="5"/>
  <c r="X117" i="5"/>
  <c r="X329" i="5"/>
  <c r="X155" i="5"/>
  <c r="X278" i="5"/>
  <c r="Y277" i="5"/>
  <c r="Y106" i="5"/>
  <c r="X533" i="5"/>
  <c r="R256" i="5"/>
  <c r="Y378" i="5"/>
  <c r="X302" i="5"/>
  <c r="AB334" i="5"/>
  <c r="V117" i="4"/>
  <c r="W117" i="4" s="1"/>
  <c r="Y117" i="4" s="1"/>
  <c r="AS26" i="4"/>
  <c r="U117" i="4"/>
  <c r="AH117" i="4" s="1"/>
  <c r="U115" i="4"/>
  <c r="AH115" i="4" s="1"/>
  <c r="AS87" i="4"/>
  <c r="AS37" i="4"/>
  <c r="U125" i="4"/>
  <c r="AH125" i="4" s="1"/>
  <c r="AS57" i="4"/>
  <c r="V46" i="4"/>
  <c r="AM46" i="4" s="1"/>
  <c r="AN46" i="4" s="1"/>
  <c r="AS115" i="4"/>
  <c r="V37" i="4"/>
  <c r="AM37" i="4" s="1"/>
  <c r="AN37" i="4" s="1"/>
  <c r="V61" i="4"/>
  <c r="AM61" i="4" s="1"/>
  <c r="AN61" i="4" s="1"/>
  <c r="V125" i="4"/>
  <c r="AM125" i="4" s="1"/>
  <c r="AN125" i="4" s="1"/>
  <c r="U14" i="4"/>
  <c r="AH14" i="4" s="1"/>
  <c r="V26" i="4"/>
  <c r="U37" i="4"/>
  <c r="AH37" i="4" s="1"/>
  <c r="V145" i="4"/>
  <c r="AM145" i="4" s="1"/>
  <c r="AN145" i="4" s="1"/>
  <c r="V57" i="4"/>
  <c r="AM57" i="4" s="1"/>
  <c r="AN57" i="4" s="1"/>
  <c r="U46" i="4"/>
  <c r="AH46" i="4" s="1"/>
  <c r="U20" i="4"/>
  <c r="AH20" i="4" s="1"/>
  <c r="U61" i="4"/>
  <c r="AH61" i="4" s="1"/>
  <c r="AS125" i="4"/>
  <c r="U134" i="4"/>
  <c r="AH134" i="4" s="1"/>
  <c r="U87" i="4"/>
  <c r="AH87" i="4" s="1"/>
  <c r="AS131" i="4"/>
  <c r="U145" i="4"/>
  <c r="AH145" i="4" s="1"/>
  <c r="AS46" i="4"/>
  <c r="U142" i="4"/>
  <c r="AH142" i="4" s="1"/>
  <c r="AS20" i="4"/>
  <c r="AS61" i="4"/>
  <c r="V12" i="4"/>
  <c r="AM12" i="4" s="1"/>
  <c r="AN12" i="4" s="1"/>
  <c r="V115" i="4"/>
  <c r="W115" i="4" s="1"/>
  <c r="Y115" i="4" s="1"/>
  <c r="AS145" i="4"/>
  <c r="V16" i="4"/>
  <c r="W16" i="4" s="1"/>
  <c r="Y16" i="4" s="1"/>
  <c r="AS142" i="4"/>
  <c r="V20" i="4"/>
  <c r="AM20" i="4" s="1"/>
  <c r="AN20" i="4" s="1"/>
  <c r="V14" i="4"/>
  <c r="AM14" i="4" s="1"/>
  <c r="AN14" i="4" s="1"/>
  <c r="V66" i="4"/>
  <c r="AM66" i="4" s="1"/>
  <c r="AN66" i="4" s="1"/>
  <c r="U18" i="4"/>
  <c r="U128" i="4"/>
  <c r="AH128" i="4" s="1"/>
  <c r="U57" i="4"/>
  <c r="AH57" i="4" s="1"/>
  <c r="V142" i="4"/>
  <c r="AM142" i="4" s="1"/>
  <c r="AN142" i="4" s="1"/>
  <c r="U16" i="4"/>
  <c r="AH16" i="4" s="1"/>
  <c r="V134" i="4"/>
  <c r="W134" i="4" s="1"/>
  <c r="V128" i="4"/>
  <c r="W128" i="4" s="1"/>
  <c r="AS14" i="4"/>
  <c r="U66" i="4"/>
  <c r="AH66" i="4" s="1"/>
  <c r="X395" i="5"/>
  <c r="Y363" i="5"/>
  <c r="X363" i="5"/>
  <c r="X167" i="5"/>
  <c r="Y167" i="5"/>
  <c r="S546" i="5"/>
  <c r="R546" i="5"/>
  <c r="Y145" i="5"/>
  <c r="X266" i="5"/>
  <c r="Y266" i="5"/>
  <c r="X479" i="5"/>
  <c r="Y479" i="5"/>
  <c r="Y373" i="5"/>
  <c r="X373" i="5"/>
  <c r="X68" i="5"/>
  <c r="Y68" i="5"/>
  <c r="X154" i="5"/>
  <c r="Y154" i="5"/>
  <c r="X132" i="5"/>
  <c r="Y132" i="5"/>
  <c r="X366" i="5"/>
  <c r="Y366" i="5"/>
  <c r="Y262" i="5"/>
  <c r="X262" i="5"/>
  <c r="R376" i="5"/>
  <c r="S376" i="5"/>
  <c r="Y110" i="5"/>
  <c r="X110" i="5"/>
  <c r="Y282" i="5"/>
  <c r="X282" i="5"/>
  <c r="R368" i="5"/>
  <c r="S368" i="5"/>
  <c r="Y331" i="5"/>
  <c r="X331" i="5"/>
  <c r="Y557" i="5"/>
  <c r="X557" i="5"/>
  <c r="R176" i="5"/>
  <c r="S176" i="5"/>
  <c r="S200" i="5"/>
  <c r="R200" i="5"/>
  <c r="S534" i="5"/>
  <c r="R534" i="5"/>
  <c r="X112" i="5"/>
  <c r="Y112" i="5"/>
  <c r="X456" i="5"/>
  <c r="Y456" i="5"/>
  <c r="X343" i="5"/>
  <c r="Y343" i="5"/>
  <c r="S248" i="5"/>
  <c r="Y427" i="5"/>
  <c r="X427" i="5"/>
  <c r="R384" i="5"/>
  <c r="X29" i="5"/>
  <c r="Y56" i="5"/>
  <c r="X56" i="5"/>
  <c r="Y290" i="5"/>
  <c r="X290" i="5"/>
  <c r="Y272" i="5"/>
  <c r="X272" i="5"/>
  <c r="X85" i="5"/>
  <c r="Y50" i="5"/>
  <c r="X50" i="5"/>
  <c r="X269" i="5"/>
  <c r="Y269" i="5"/>
  <c r="Y125" i="5"/>
  <c r="X125" i="5"/>
  <c r="Y212" i="5"/>
  <c r="X212" i="5"/>
  <c r="R48" i="5"/>
  <c r="X137" i="5"/>
  <c r="Y484" i="5"/>
  <c r="Y441" i="5"/>
  <c r="R408" i="5"/>
  <c r="R72" i="5"/>
  <c r="Y323" i="5"/>
  <c r="X435" i="5"/>
  <c r="Y435" i="5"/>
  <c r="X405" i="5"/>
  <c r="Y405" i="5"/>
  <c r="X453" i="5"/>
  <c r="Y115" i="5"/>
  <c r="Y403" i="5"/>
  <c r="X403" i="5"/>
  <c r="R360" i="5"/>
  <c r="X202" i="5"/>
  <c r="S296" i="5"/>
  <c r="Y82" i="5"/>
  <c r="X200" i="5"/>
  <c r="R504" i="5"/>
  <c r="R336" i="5"/>
  <c r="S144" i="5"/>
  <c r="R496" i="5"/>
  <c r="Y332" i="5"/>
  <c r="X409" i="5"/>
  <c r="X86" i="5"/>
  <c r="Y130" i="5"/>
  <c r="Y321" i="5"/>
  <c r="Y288" i="5"/>
  <c r="X358" i="5"/>
  <c r="X541" i="5"/>
  <c r="Y510" i="5"/>
  <c r="R440" i="5"/>
  <c r="Y386" i="5"/>
  <c r="Y424" i="5"/>
  <c r="R264" i="5"/>
  <c r="X78" i="5"/>
  <c r="Y555" i="5"/>
  <c r="Y98" i="5"/>
  <c r="R24" i="5"/>
  <c r="Y63" i="5"/>
  <c r="X298" i="5"/>
  <c r="Y391" i="5"/>
  <c r="X299" i="5"/>
  <c r="Y72" i="5"/>
  <c r="Y361" i="5"/>
  <c r="X549" i="5"/>
  <c r="X60" i="5"/>
  <c r="X257" i="5"/>
  <c r="Y464" i="5"/>
  <c r="X229" i="5"/>
  <c r="X62" i="5"/>
  <c r="X537" i="5"/>
  <c r="Y542" i="5"/>
  <c r="Y287" i="5"/>
  <c r="X387" i="5"/>
  <c r="Y199" i="5"/>
  <c r="Y119" i="5"/>
  <c r="Y253" i="5"/>
  <c r="X198" i="5"/>
  <c r="Y506" i="5"/>
  <c r="X178" i="5"/>
  <c r="Y486" i="5"/>
  <c r="X505" i="5"/>
  <c r="Y189" i="5"/>
  <c r="Y237" i="5"/>
  <c r="X270" i="5"/>
  <c r="X89" i="5"/>
  <c r="Y454" i="5"/>
  <c r="X275" i="5"/>
  <c r="Y139" i="5"/>
  <c r="Y543" i="5"/>
  <c r="X478" i="5"/>
  <c r="X466" i="5"/>
  <c r="X21" i="5"/>
  <c r="Y281" i="5"/>
  <c r="X551" i="5"/>
  <c r="X23" i="5"/>
  <c r="Y38" i="5"/>
  <c r="X247" i="5"/>
  <c r="Y208" i="5"/>
  <c r="X482" i="5"/>
  <c r="Y433" i="5"/>
  <c r="R400" i="5"/>
  <c r="Y480" i="5"/>
  <c r="X511" i="5"/>
  <c r="S56" i="5"/>
  <c r="S272" i="5"/>
  <c r="Y382" i="5"/>
  <c r="Y473" i="5"/>
  <c r="X341" i="5"/>
  <c r="Y271" i="5"/>
  <c r="X300" i="5"/>
  <c r="Y172" i="5"/>
  <c r="Y460" i="5"/>
  <c r="Y305" i="5"/>
  <c r="X400" i="5"/>
  <c r="Y490" i="5"/>
  <c r="X390" i="5"/>
  <c r="X470" i="5"/>
  <c r="Y153" i="5"/>
  <c r="X222" i="5"/>
  <c r="X509" i="5"/>
  <c r="X393" i="5"/>
  <c r="X550" i="5"/>
  <c r="S120" i="5"/>
  <c r="Y293" i="5"/>
  <c r="X445" i="5"/>
  <c r="Y93" i="5"/>
  <c r="X351" i="5"/>
  <c r="Y353" i="5"/>
  <c r="X481" i="5"/>
  <c r="X223" i="5"/>
  <c r="X519" i="5"/>
  <c r="Y169" i="5"/>
  <c r="Y530" i="5"/>
  <c r="X174" i="5"/>
  <c r="X512" i="5"/>
  <c r="X428" i="5"/>
  <c r="X64" i="5"/>
  <c r="X248" i="5"/>
  <c r="X243" i="5"/>
  <c r="Y57" i="5"/>
  <c r="Y444" i="5"/>
  <c r="Y26" i="5"/>
  <c r="Y233" i="5"/>
  <c r="X58" i="5"/>
  <c r="X273" i="5"/>
  <c r="X475" i="5"/>
  <c r="X194" i="5"/>
  <c r="Y46" i="5"/>
  <c r="Y401" i="5"/>
  <c r="Y312" i="5"/>
  <c r="Y180" i="5"/>
  <c r="Y142" i="5"/>
  <c r="X304" i="5"/>
  <c r="W96" i="4"/>
  <c r="Y96" i="4" s="1"/>
  <c r="Z96" i="4" s="1"/>
  <c r="AF96" i="4" s="1"/>
  <c r="AO96" i="4" s="1"/>
  <c r="Y529" i="5"/>
  <c r="Y425" i="5"/>
  <c r="X498" i="5"/>
  <c r="Y131" i="5"/>
  <c r="W73" i="4"/>
  <c r="X73" i="4" s="1"/>
  <c r="AJ73" i="4" s="1"/>
  <c r="X108" i="5"/>
  <c r="Y77" i="5"/>
  <c r="X102" i="5"/>
  <c r="X438" i="5"/>
  <c r="Y197" i="5"/>
  <c r="Y359" i="5"/>
  <c r="X552" i="5"/>
  <c r="X263" i="5"/>
  <c r="Y152" i="5"/>
  <c r="X535" i="5"/>
  <c r="X472" i="5"/>
  <c r="Y42" i="5"/>
  <c r="X36" i="5"/>
  <c r="X546" i="5"/>
  <c r="Y339" i="5"/>
  <c r="X254" i="5"/>
  <c r="Y196" i="5"/>
  <c r="X73" i="5"/>
  <c r="Y239" i="5"/>
  <c r="Y173" i="5"/>
  <c r="X61" i="5"/>
  <c r="Y296" i="5"/>
  <c r="Y381" i="5"/>
  <c r="Y48" i="5"/>
  <c r="X244" i="5"/>
  <c r="Y99" i="5"/>
  <c r="AM98" i="4"/>
  <c r="X258" i="5"/>
  <c r="Y22" i="5"/>
  <c r="X536" i="5"/>
  <c r="Y493" i="5"/>
  <c r="X133" i="5"/>
  <c r="Y284" i="5"/>
  <c r="Y463" i="5"/>
  <c r="Y350" i="5"/>
  <c r="Y357" i="5"/>
  <c r="Y317" i="5"/>
  <c r="Y187" i="5"/>
  <c r="Y485" i="5"/>
  <c r="X280" i="5"/>
  <c r="Y500" i="5"/>
  <c r="X507" i="5"/>
  <c r="Y291" i="5"/>
  <c r="X66" i="5"/>
  <c r="Y520" i="5"/>
  <c r="R184" i="5"/>
  <c r="X477" i="5"/>
  <c r="Y402" i="5"/>
  <c r="Y216" i="5"/>
  <c r="R538" i="5"/>
  <c r="Y440" i="5"/>
  <c r="Y101" i="5"/>
  <c r="X327" i="5"/>
  <c r="Y408" i="5"/>
  <c r="Y436" i="5"/>
  <c r="X191" i="5"/>
  <c r="Y376" i="5"/>
  <c r="X515" i="5"/>
  <c r="Y213" i="5"/>
  <c r="X474" i="5"/>
  <c r="Y84" i="5"/>
  <c r="Y346" i="5"/>
  <c r="X261" i="5"/>
  <c r="Y81" i="5"/>
  <c r="Y175" i="5"/>
  <c r="Y526" i="5"/>
  <c r="X392" i="5"/>
  <c r="X354" i="5"/>
  <c r="Y75" i="5"/>
  <c r="Y97" i="5"/>
  <c r="X372" i="5"/>
  <c r="X442" i="5"/>
  <c r="X249" i="5"/>
  <c r="Y487" i="5"/>
  <c r="Y492" i="5"/>
  <c r="Y410" i="5"/>
  <c r="R192" i="5"/>
  <c r="R160" i="5"/>
  <c r="Y238" i="5"/>
  <c r="Y92" i="5"/>
  <c r="Y148" i="5"/>
  <c r="Y20" i="5"/>
  <c r="Y422" i="5"/>
  <c r="Y59" i="5"/>
  <c r="Y267" i="5"/>
  <c r="X32" i="5"/>
  <c r="X79" i="5"/>
  <c r="X201" i="5"/>
  <c r="R352" i="5"/>
  <c r="Y360" i="5"/>
  <c r="X210" i="5"/>
  <c r="X183" i="5"/>
  <c r="Y385" i="5"/>
  <c r="Y279" i="5"/>
  <c r="X504" i="5"/>
  <c r="X88" i="5"/>
  <c r="X559" i="5"/>
  <c r="X170" i="5"/>
  <c r="X283" i="5"/>
  <c r="Y39" i="5"/>
  <c r="X234" i="5"/>
  <c r="X501" i="5"/>
  <c r="X232" i="5"/>
  <c r="X538" i="5"/>
  <c r="X344" i="5"/>
  <c r="Y503" i="5"/>
  <c r="X165" i="5"/>
  <c r="X168" i="5"/>
  <c r="Y265" i="5"/>
  <c r="Y255" i="5"/>
  <c r="X488" i="5"/>
  <c r="X483" i="5"/>
  <c r="X497" i="5"/>
  <c r="X160" i="5"/>
  <c r="X136" i="5"/>
  <c r="Y423" i="5"/>
  <c r="Y121" i="5"/>
  <c r="X455" i="5"/>
  <c r="X508" i="5"/>
  <c r="X164" i="5"/>
  <c r="X375" i="5"/>
  <c r="X540" i="5"/>
  <c r="Y417" i="5"/>
  <c r="X151" i="5"/>
  <c r="Y76" i="5"/>
  <c r="Y371" i="5"/>
  <c r="Y330" i="5"/>
  <c r="X388" i="5"/>
  <c r="Y252" i="5"/>
  <c r="X532" i="5"/>
  <c r="X27" i="5"/>
  <c r="Y54" i="5"/>
  <c r="X207" i="5"/>
  <c r="X449" i="5"/>
  <c r="Y545" i="5"/>
  <c r="Y380" i="5"/>
  <c r="X104" i="5"/>
  <c r="Y30" i="5"/>
  <c r="X306" i="5"/>
  <c r="Y241" i="5"/>
  <c r="X349" i="5"/>
  <c r="X406" i="5"/>
  <c r="Y70" i="5"/>
  <c r="W140" i="4"/>
  <c r="Y140" i="4" s="1"/>
  <c r="AM140" i="4"/>
  <c r="W105" i="4"/>
  <c r="AM105" i="4"/>
  <c r="AS58" i="4"/>
  <c r="AS149" i="4"/>
  <c r="AS157" i="4"/>
  <c r="AS77" i="4"/>
  <c r="V22" i="4"/>
  <c r="AM22" i="4" s="1"/>
  <c r="AN22" i="4" s="1"/>
  <c r="AS39" i="4"/>
  <c r="V109" i="4"/>
  <c r="AM109" i="4" s="1"/>
  <c r="AN109" i="4" s="1"/>
  <c r="X496" i="5"/>
  <c r="Y217" i="5"/>
  <c r="Y221" i="5"/>
  <c r="X333" i="5"/>
  <c r="Y242" i="5"/>
  <c r="Y220" i="5"/>
  <c r="X471" i="5"/>
  <c r="Y150" i="5"/>
  <c r="X140" i="5"/>
  <c r="U24" i="4"/>
  <c r="AH24" i="4" s="1"/>
  <c r="AL84" i="4"/>
  <c r="AS84" i="4"/>
  <c r="AL155" i="4"/>
  <c r="U155" i="4"/>
  <c r="AL118" i="4"/>
  <c r="AS118" i="4"/>
  <c r="Y122" i="5"/>
  <c r="X122" i="5"/>
  <c r="V83" i="4"/>
  <c r="V67" i="4"/>
  <c r="AM67" i="4" s="1"/>
  <c r="AN67" i="4" s="1"/>
  <c r="X328" i="5"/>
  <c r="R288" i="5"/>
  <c r="V39" i="4"/>
  <c r="AM39" i="4" s="1"/>
  <c r="AN39" i="4" s="1"/>
  <c r="AS109" i="4"/>
  <c r="Y467" i="5"/>
  <c r="Y439" i="5"/>
  <c r="Y188" i="5"/>
  <c r="Y236" i="5"/>
  <c r="Y356" i="5"/>
  <c r="Y268" i="5"/>
  <c r="Y159" i="5"/>
  <c r="X476" i="5"/>
  <c r="U109" i="4"/>
  <c r="AH109" i="4" s="1"/>
  <c r="AL10" i="4"/>
  <c r="V10" i="4"/>
  <c r="AL101" i="4"/>
  <c r="U101" i="4"/>
  <c r="AH101" i="4" s="1"/>
  <c r="V101" i="4"/>
  <c r="AL62" i="4"/>
  <c r="AS62" i="4"/>
  <c r="V62" i="4"/>
  <c r="AS96" i="4"/>
  <c r="AL157" i="4"/>
  <c r="U157" i="4"/>
  <c r="AH157" i="4" s="1"/>
  <c r="AL77" i="4"/>
  <c r="U77" i="4"/>
  <c r="AH77" i="4" s="1"/>
  <c r="U42" i="4"/>
  <c r="AH42" i="4" s="1"/>
  <c r="AS33" i="4"/>
  <c r="U67" i="4"/>
  <c r="AH67" i="4" s="1"/>
  <c r="V15" i="4"/>
  <c r="AM15" i="4" s="1"/>
  <c r="AN15" i="4" s="1"/>
  <c r="AS121" i="4"/>
  <c r="V43" i="4"/>
  <c r="W43" i="4" s="1"/>
  <c r="Y43" i="4" s="1"/>
  <c r="X24" i="5"/>
  <c r="X256" i="5"/>
  <c r="AS135" i="4"/>
  <c r="Y352" i="5"/>
  <c r="U39" i="4"/>
  <c r="AH39" i="4" s="1"/>
  <c r="X123" i="5"/>
  <c r="Y246" i="5"/>
  <c r="Y523" i="5"/>
  <c r="Y190" i="5"/>
  <c r="X34" i="5"/>
  <c r="Y544" i="5"/>
  <c r="Y513" i="5"/>
  <c r="X149" i="5"/>
  <c r="V58" i="4"/>
  <c r="U91" i="4"/>
  <c r="AH91" i="4" s="1"/>
  <c r="AS101" i="4"/>
  <c r="AS137" i="4"/>
  <c r="AS42" i="4"/>
  <c r="V33" i="4"/>
  <c r="W33" i="4" s="1"/>
  <c r="Y33" i="4" s="1"/>
  <c r="Z33" i="4" s="1"/>
  <c r="AS67" i="4"/>
  <c r="AS15" i="4"/>
  <c r="V121" i="4"/>
  <c r="W121" i="4" s="1"/>
  <c r="Y121" i="4" s="1"/>
  <c r="Z121" i="4" s="1"/>
  <c r="U43" i="4"/>
  <c r="AH43" i="4" s="1"/>
  <c r="U129" i="4"/>
  <c r="AH129" i="4" s="1"/>
  <c r="AM9" i="5"/>
  <c r="AN9" i="5" s="1"/>
  <c r="AH103" i="4"/>
  <c r="V135" i="4"/>
  <c r="AM135" i="4" s="1"/>
  <c r="AN135" i="4" s="1"/>
  <c r="X447" i="5"/>
  <c r="X19" i="5"/>
  <c r="Y407" i="5"/>
  <c r="Y251" i="5"/>
  <c r="Y157" i="5"/>
  <c r="Y80" i="5"/>
  <c r="Y143" i="5"/>
  <c r="AL132" i="4"/>
  <c r="V132" i="4"/>
  <c r="U132" i="4"/>
  <c r="AH132" i="4" s="1"/>
  <c r="AL130" i="4"/>
  <c r="V130" i="4"/>
  <c r="AL98" i="4"/>
  <c r="AS98" i="4"/>
  <c r="Y469" i="5"/>
  <c r="X560" i="5"/>
  <c r="U94" i="4"/>
  <c r="AH94" i="4" s="1"/>
  <c r="V94" i="4"/>
  <c r="AS94" i="4"/>
  <c r="AL94" i="4"/>
  <c r="V155" i="4"/>
  <c r="V24" i="4"/>
  <c r="V129" i="4"/>
  <c r="AM129" i="4" s="1"/>
  <c r="AN129" i="4" s="1"/>
  <c r="AS72" i="4"/>
  <c r="V152" i="4"/>
  <c r="AM152" i="4" s="1"/>
  <c r="AN152" i="4" s="1"/>
  <c r="V148" i="4"/>
  <c r="AM148" i="4" s="1"/>
  <c r="AN148" i="4" s="1"/>
  <c r="X316" i="5"/>
  <c r="Y141" i="5"/>
  <c r="Y67" i="5"/>
  <c r="X177" i="5"/>
  <c r="Y429" i="5"/>
  <c r="Y521" i="5"/>
  <c r="Y430" i="5"/>
  <c r="Y556" i="5"/>
  <c r="X71" i="5"/>
  <c r="X348" i="5"/>
  <c r="X124" i="5"/>
  <c r="AS59" i="4"/>
  <c r="AL59" i="4"/>
  <c r="V59" i="4"/>
  <c r="U59" i="4"/>
  <c r="AH59" i="4" s="1"/>
  <c r="AS79" i="4"/>
  <c r="AL79" i="4"/>
  <c r="U79" i="4"/>
  <c r="AH79" i="4" s="1"/>
  <c r="V79" i="4"/>
  <c r="AL141" i="4"/>
  <c r="V141" i="4"/>
  <c r="AS73" i="4"/>
  <c r="AL73" i="4"/>
  <c r="AN73" i="4" s="1"/>
  <c r="AL133" i="4"/>
  <c r="U133" i="4"/>
  <c r="AH133" i="4" s="1"/>
  <c r="V133" i="4"/>
  <c r="AS18" i="4"/>
  <c r="AS130" i="4"/>
  <c r="AM11" i="5"/>
  <c r="AO11" i="5" s="1"/>
  <c r="AH122" i="4"/>
  <c r="V56" i="4"/>
  <c r="W56" i="4" s="1"/>
  <c r="Y56" i="4" s="1"/>
  <c r="Z56" i="4" s="1"/>
  <c r="AH138" i="4"/>
  <c r="U149" i="4"/>
  <c r="AH149" i="4" s="1"/>
  <c r="AS56" i="4"/>
  <c r="V72" i="4"/>
  <c r="AM72" i="4" s="1"/>
  <c r="AN72" i="4" s="1"/>
  <c r="AS152" i="4"/>
  <c r="U148" i="4"/>
  <c r="AH148" i="4" s="1"/>
  <c r="U22" i="4"/>
  <c r="AH22" i="4" s="1"/>
  <c r="AH23" i="4"/>
  <c r="Y384" i="5"/>
  <c r="X340" i="5"/>
  <c r="X114" i="5"/>
  <c r="AH96" i="4"/>
  <c r="AL34" i="4"/>
  <c r="AS34" i="4"/>
  <c r="V34" i="4"/>
  <c r="U34" i="4"/>
  <c r="AH34" i="4" s="1"/>
  <c r="AL140" i="4"/>
  <c r="U140" i="4"/>
  <c r="AH140" i="4" s="1"/>
  <c r="AS140" i="4"/>
  <c r="AL143" i="4"/>
  <c r="AS143" i="4"/>
  <c r="AL105" i="4"/>
  <c r="AS105" i="4"/>
  <c r="U105" i="4"/>
  <c r="AL21" i="4"/>
  <c r="V21" i="4"/>
  <c r="U21" i="4"/>
  <c r="AH21" i="4" s="1"/>
  <c r="AS21" i="4"/>
  <c r="AS132" i="4"/>
  <c r="V144" i="4"/>
  <c r="Y8" i="5"/>
  <c r="X338" i="5"/>
  <c r="Y53" i="5"/>
  <c r="X420" i="5"/>
  <c r="X431" i="5"/>
  <c r="Y369" i="5"/>
  <c r="Y90" i="5"/>
  <c r="X548" i="5"/>
  <c r="X522" i="5"/>
  <c r="Y186" i="5"/>
  <c r="X468" i="5"/>
  <c r="X324" i="5"/>
  <c r="X226" i="5"/>
  <c r="X31" i="5"/>
  <c r="Y245" i="5"/>
  <c r="Y33" i="5"/>
  <c r="X195" i="5"/>
  <c r="X311" i="5"/>
  <c r="Y294" i="5"/>
  <c r="Y182" i="5"/>
  <c r="X25" i="5"/>
  <c r="Y494" i="5"/>
  <c r="Y443" i="5"/>
  <c r="X303" i="5"/>
  <c r="Y421" i="5"/>
  <c r="Y524" i="5"/>
  <c r="Y176" i="5"/>
  <c r="X44" i="5"/>
  <c r="Y418" i="5"/>
  <c r="X40" i="5"/>
  <c r="X91" i="5"/>
  <c r="X528" i="5"/>
  <c r="X368" i="5"/>
  <c r="X228" i="5"/>
  <c r="X127" i="5"/>
  <c r="Y127" i="5"/>
  <c r="X461" i="5"/>
  <c r="Y461" i="5"/>
  <c r="Y502" i="5"/>
  <c r="Y450" i="5"/>
  <c r="X309" i="5"/>
  <c r="X146" i="5"/>
  <c r="X166" i="5"/>
  <c r="Y109" i="5"/>
  <c r="Y230" i="5"/>
  <c r="X230" i="5"/>
  <c r="X171" i="5"/>
  <c r="Y171" i="5"/>
  <c r="Y113" i="5"/>
  <c r="X113" i="5"/>
  <c r="Y377" i="5"/>
  <c r="X377" i="5"/>
  <c r="Y193" i="5"/>
  <c r="X193" i="5"/>
  <c r="Y285" i="5"/>
  <c r="X285" i="5"/>
  <c r="X235" i="5"/>
  <c r="Y235" i="5"/>
  <c r="X94" i="5"/>
  <c r="Y370" i="5"/>
  <c r="X370" i="5"/>
  <c r="AH11" i="4"/>
  <c r="Y397" i="5"/>
  <c r="X111" i="5"/>
  <c r="X495" i="5"/>
  <c r="Y105" i="5"/>
  <c r="Y396" i="5"/>
  <c r="X367" i="5"/>
  <c r="X414" i="5"/>
  <c r="X462" i="5"/>
  <c r="Y209" i="5"/>
  <c r="X459" i="5"/>
  <c r="Y459" i="5"/>
  <c r="X307" i="5"/>
  <c r="Y307" i="5"/>
  <c r="Y527" i="5"/>
  <c r="AH15" i="4"/>
  <c r="AH53" i="4"/>
  <c r="X534" i="5"/>
  <c r="X227" i="5"/>
  <c r="Y116" i="5"/>
  <c r="Y250" i="5"/>
  <c r="Y107" i="5"/>
  <c r="Y162" i="5"/>
  <c r="X295" i="5"/>
  <c r="Y49" i="5"/>
  <c r="X49" i="5"/>
  <c r="X413" i="5"/>
  <c r="X398" i="5"/>
  <c r="Y419" i="5"/>
  <c r="Y558" i="5"/>
  <c r="Y452" i="5"/>
  <c r="X452" i="5"/>
  <c r="X147" i="5"/>
  <c r="Y147" i="5"/>
  <c r="X47" i="5"/>
  <c r="Y47" i="5"/>
  <c r="Y446" i="5"/>
  <c r="X292" i="5"/>
  <c r="Y336" i="5"/>
  <c r="Y41" i="5"/>
  <c r="X347" i="5"/>
  <c r="Y364" i="5"/>
  <c r="AH74" i="4"/>
  <c r="Y185" i="5"/>
  <c r="Y37" i="5"/>
  <c r="Y362" i="5"/>
  <c r="Y411" i="5"/>
  <c r="Y144" i="5"/>
  <c r="Y308" i="5"/>
  <c r="X224" i="5"/>
  <c r="Y337" i="5"/>
  <c r="X231" i="5"/>
  <c r="X335" i="5"/>
  <c r="Y297" i="5"/>
  <c r="Y87" i="5"/>
  <c r="Y547" i="5"/>
  <c r="X547" i="5"/>
  <c r="AH8" i="4"/>
  <c r="Y318" i="5"/>
  <c r="X322" i="5"/>
  <c r="Y134" i="5"/>
  <c r="Y163" i="5"/>
  <c r="Y539" i="5"/>
  <c r="Y379" i="5"/>
  <c r="Y225" i="5"/>
  <c r="X457" i="5"/>
  <c r="Y325" i="5"/>
  <c r="X325" i="5"/>
  <c r="X489" i="5"/>
  <c r="Y489" i="5"/>
  <c r="X205" i="5"/>
  <c r="Y205" i="5"/>
  <c r="AM143" i="4"/>
  <c r="W143" i="4"/>
  <c r="Y143" i="4" s="1"/>
  <c r="Z143" i="4" s="1"/>
  <c r="AJ11" i="5"/>
  <c r="AK11" i="5" s="1"/>
  <c r="AM84" i="4"/>
  <c r="W84" i="4"/>
  <c r="X138" i="5"/>
  <c r="Y499" i="5"/>
  <c r="X499" i="5"/>
  <c r="Y514" i="5"/>
  <c r="X203" i="5"/>
  <c r="Y103" i="5"/>
  <c r="X103" i="5"/>
  <c r="Y404" i="5"/>
  <c r="X404" i="5"/>
  <c r="X345" i="5"/>
  <c r="Y345" i="5"/>
  <c r="W9" i="5"/>
  <c r="T9" i="5"/>
  <c r="AG9" i="5"/>
  <c r="Q9" i="5"/>
  <c r="X118" i="5"/>
  <c r="Y118" i="5"/>
  <c r="X374" i="5"/>
  <c r="Y374" i="5"/>
  <c r="Y315" i="5"/>
  <c r="X315" i="5"/>
  <c r="X516" i="5"/>
  <c r="P326" i="5"/>
  <c r="P32" i="5"/>
  <c r="P375" i="5"/>
  <c r="P445" i="5"/>
  <c r="P93" i="5"/>
  <c r="P342" i="5"/>
  <c r="P195" i="5"/>
  <c r="P279" i="5"/>
  <c r="P242" i="5"/>
  <c r="P465" i="5"/>
  <c r="P263" i="5"/>
  <c r="P210" i="5"/>
  <c r="P72" i="5"/>
  <c r="P454" i="5"/>
  <c r="P270" i="5"/>
  <c r="P475" i="5"/>
  <c r="P254" i="5"/>
  <c r="P98" i="5"/>
  <c r="P460" i="5"/>
  <c r="P492" i="5"/>
  <c r="P282" i="5"/>
  <c r="P172" i="5"/>
  <c r="P132" i="5"/>
  <c r="P413" i="5"/>
  <c r="P438" i="5"/>
  <c r="P336" i="5"/>
  <c r="P428" i="5"/>
  <c r="P115" i="5"/>
  <c r="P140" i="5"/>
  <c r="P154" i="5"/>
  <c r="P528" i="5"/>
  <c r="P322" i="5"/>
  <c r="P398" i="5"/>
  <c r="P327" i="5"/>
  <c r="P332" i="5"/>
  <c r="P53" i="5"/>
  <c r="P213" i="5"/>
  <c r="P409" i="5"/>
  <c r="P385" i="5"/>
  <c r="P557" i="5"/>
  <c r="P560" i="5"/>
  <c r="P27" i="5"/>
  <c r="P36" i="5"/>
  <c r="P504" i="5"/>
  <c r="P266" i="5"/>
  <c r="P264" i="5"/>
  <c r="P468" i="5"/>
  <c r="P11" i="5"/>
  <c r="P476" i="5"/>
  <c r="P436" i="5"/>
  <c r="P146" i="5"/>
  <c r="P548" i="5"/>
  <c r="P78" i="5"/>
  <c r="P352" i="5"/>
  <c r="P104" i="5"/>
  <c r="P404" i="5"/>
  <c r="P382" i="5"/>
  <c r="P239" i="5"/>
  <c r="P33" i="5"/>
  <c r="P479" i="5"/>
  <c r="P247" i="5"/>
  <c r="P477" i="5"/>
  <c r="P143" i="5"/>
  <c r="P505" i="5"/>
  <c r="P538" i="5"/>
  <c r="P376" i="5"/>
  <c r="P121" i="5"/>
  <c r="P109" i="5"/>
  <c r="P388" i="5"/>
  <c r="P131" i="5"/>
  <c r="P373" i="5"/>
  <c r="P116" i="5"/>
  <c r="P537" i="5"/>
  <c r="P514" i="5"/>
  <c r="P499" i="5"/>
  <c r="P311" i="5"/>
  <c r="P387" i="5"/>
  <c r="P170" i="5"/>
  <c r="P248" i="5"/>
  <c r="P318" i="5"/>
  <c r="P293" i="5"/>
  <c r="P464" i="5"/>
  <c r="P128" i="5"/>
  <c r="P35" i="5"/>
  <c r="P22" i="5"/>
  <c r="P364" i="5"/>
  <c r="P530" i="5"/>
  <c r="P296" i="5"/>
  <c r="P486" i="5"/>
  <c r="P230" i="5"/>
  <c r="P452" i="5"/>
  <c r="P295" i="5"/>
  <c r="P187" i="5"/>
  <c r="P163" i="5"/>
  <c r="P66" i="5"/>
  <c r="P356" i="5"/>
  <c r="P369" i="5"/>
  <c r="P312" i="5"/>
  <c r="P51" i="5"/>
  <c r="P467" i="5"/>
  <c r="P12" i="5"/>
  <c r="P134" i="5"/>
  <c r="P501" i="5"/>
  <c r="P315" i="5"/>
  <c r="P152" i="5"/>
  <c r="P106" i="5"/>
  <c r="P67" i="5"/>
  <c r="P240" i="5"/>
  <c r="P553" i="5"/>
  <c r="P357" i="5"/>
  <c r="P473" i="5"/>
  <c r="P105" i="5"/>
  <c r="P396" i="5"/>
  <c r="P215" i="5"/>
  <c r="P150" i="5"/>
  <c r="P194" i="5"/>
  <c r="P103" i="5"/>
  <c r="P304" i="5"/>
  <c r="P75" i="5"/>
  <c r="P201" i="5"/>
  <c r="P298" i="5"/>
  <c r="P457" i="5"/>
  <c r="P395" i="5"/>
  <c r="P427" i="5"/>
  <c r="P156" i="5"/>
  <c r="P56" i="5"/>
  <c r="P219" i="5"/>
  <c r="P258" i="5"/>
  <c r="P453" i="5"/>
  <c r="P419" i="5"/>
  <c r="P440" i="5"/>
  <c r="P372" i="5"/>
  <c r="P144" i="5"/>
  <c r="P439" i="5"/>
  <c r="P273" i="5"/>
  <c r="P392" i="5"/>
  <c r="P28" i="5"/>
  <c r="P435" i="5"/>
  <c r="P474" i="5"/>
  <c r="P490" i="5"/>
  <c r="P100" i="5"/>
  <c r="P168" i="5"/>
  <c r="P19" i="5"/>
  <c r="P360" i="5"/>
  <c r="P193" i="5"/>
  <c r="P160" i="5"/>
  <c r="P124" i="5"/>
  <c r="P229" i="5"/>
  <c r="P255" i="5"/>
  <c r="P299" i="5"/>
  <c r="P268" i="5"/>
  <c r="P54" i="5"/>
  <c r="P503" i="5"/>
  <c r="P207" i="5"/>
  <c r="P543" i="5"/>
  <c r="P149" i="5"/>
  <c r="P44" i="5"/>
  <c r="P80" i="5"/>
  <c r="P269" i="5"/>
  <c r="P158" i="5"/>
  <c r="P523" i="5"/>
  <c r="P233" i="5"/>
  <c r="P330" i="5"/>
  <c r="P378" i="5"/>
  <c r="P192" i="5"/>
  <c r="P246" i="5"/>
  <c r="P200" i="5"/>
  <c r="P287" i="5"/>
  <c r="P232" i="5"/>
  <c r="P88" i="5"/>
  <c r="P218" i="5"/>
  <c r="P259" i="5"/>
  <c r="P231" i="5"/>
  <c r="P161" i="5"/>
  <c r="P549" i="5"/>
  <c r="P175" i="5"/>
  <c r="P433" i="5"/>
  <c r="P281" i="5"/>
  <c r="P502" i="5"/>
  <c r="P24" i="5"/>
  <c r="P120" i="5"/>
  <c r="P506" i="5"/>
  <c r="P112" i="5"/>
  <c r="P97" i="5"/>
  <c r="P459" i="5"/>
  <c r="P173" i="5"/>
  <c r="P74" i="5"/>
  <c r="P493" i="5"/>
  <c r="P344" i="5"/>
  <c r="P186" i="5"/>
  <c r="P339" i="5"/>
  <c r="P346" i="5"/>
  <c r="P145" i="5"/>
  <c r="P226" i="5"/>
  <c r="P489" i="5"/>
  <c r="P261" i="5"/>
  <c r="P370" i="5"/>
  <c r="P283" i="5"/>
  <c r="P221" i="5"/>
  <c r="P46" i="5"/>
  <c r="P554" i="5"/>
  <c r="P177" i="5"/>
  <c r="P516" i="5"/>
  <c r="P358" i="5"/>
  <c r="P447" i="5"/>
  <c r="P204" i="5"/>
  <c r="P275" i="5"/>
  <c r="P434" i="5"/>
  <c r="P211" i="5"/>
  <c r="P85" i="5"/>
  <c r="P38" i="5"/>
  <c r="P350" i="5"/>
  <c r="P71" i="5"/>
  <c r="P485" i="5"/>
  <c r="P271" i="5"/>
  <c r="P43" i="5"/>
  <c r="P250" i="5"/>
  <c r="P559" i="5"/>
  <c r="P73" i="5"/>
  <c r="P347" i="5"/>
  <c r="P49" i="5"/>
  <c r="P472" i="5"/>
  <c r="P48" i="5"/>
  <c r="P110" i="5"/>
  <c r="P442" i="5"/>
  <c r="P420" i="5"/>
  <c r="P400" i="5"/>
  <c r="P397" i="5"/>
  <c r="P34" i="5"/>
  <c r="P203" i="5"/>
  <c r="P519" i="5"/>
  <c r="P123" i="5"/>
  <c r="P113" i="5"/>
  <c r="P305" i="5"/>
  <c r="P243" i="5"/>
  <c r="P47" i="5"/>
  <c r="P386" i="5"/>
  <c r="P313" i="5"/>
  <c r="P424" i="5"/>
  <c r="P328" i="5"/>
  <c r="P402" i="5"/>
  <c r="P294" i="5"/>
  <c r="P343" i="5"/>
  <c r="P359" i="5"/>
  <c r="P61" i="5"/>
  <c r="P354" i="5"/>
  <c r="P544" i="5"/>
  <c r="P345" i="5"/>
  <c r="P63" i="5"/>
  <c r="P135" i="5"/>
  <c r="P362" i="5"/>
  <c r="P165" i="5"/>
  <c r="P507" i="5"/>
  <c r="P338" i="5"/>
  <c r="P518" i="5"/>
  <c r="P421" i="5"/>
  <c r="P69" i="5"/>
  <c r="P183" i="5"/>
  <c r="P290" i="5"/>
  <c r="P510" i="5"/>
  <c r="P300" i="5"/>
  <c r="P189" i="5"/>
  <c r="P23" i="5"/>
  <c r="P462" i="5"/>
  <c r="P59" i="5"/>
  <c r="P450" i="5"/>
  <c r="P306" i="5"/>
  <c r="P374" i="5"/>
  <c r="P353" i="5"/>
  <c r="P535" i="5"/>
  <c r="P235" i="5"/>
  <c r="P301" i="5"/>
  <c r="P209" i="5"/>
  <c r="P390" i="5"/>
  <c r="P65" i="5"/>
  <c r="P317" i="5"/>
  <c r="P81" i="5"/>
  <c r="P237" i="5"/>
  <c r="P202" i="5"/>
  <c r="P176" i="5"/>
  <c r="P236" i="5"/>
  <c r="P188" i="5"/>
  <c r="P451" i="5"/>
  <c r="P411" i="5"/>
  <c r="P122" i="5"/>
  <c r="P547" i="5"/>
  <c r="P83" i="5"/>
  <c r="P274" i="5"/>
  <c r="P129" i="5"/>
  <c r="P111" i="5"/>
  <c r="P491" i="5"/>
  <c r="P166" i="5"/>
  <c r="P288" i="5"/>
  <c r="P214" i="5"/>
  <c r="P449" i="5"/>
  <c r="P363" i="5"/>
  <c r="P77" i="5"/>
  <c r="P171" i="5"/>
  <c r="P216" i="5"/>
  <c r="P431" i="5"/>
  <c r="P119" i="5"/>
  <c r="P245" i="5"/>
  <c r="P463" i="5"/>
  <c r="P222" i="5"/>
  <c r="P118" i="5"/>
  <c r="P552" i="5"/>
  <c r="P205" i="5"/>
  <c r="P401" i="5"/>
  <c r="P280" i="5"/>
  <c r="P522" i="5"/>
  <c r="P422" i="5"/>
  <c r="P84" i="5"/>
  <c r="P94" i="5"/>
  <c r="P368" i="5"/>
  <c r="P456" i="5"/>
  <c r="P86" i="5"/>
  <c r="P414" i="5"/>
  <c r="P515" i="5"/>
  <c r="P162" i="5"/>
  <c r="P92" i="5"/>
  <c r="P484" i="5"/>
  <c r="P31" i="5"/>
  <c r="P334" i="5"/>
  <c r="P52" i="5"/>
  <c r="P406" i="5"/>
  <c r="P249" i="5"/>
  <c r="P126" i="5"/>
  <c r="P418" i="5"/>
  <c r="P212" i="5"/>
  <c r="P366" i="5"/>
  <c r="P417" i="5"/>
  <c r="P539" i="5"/>
  <c r="P365" i="5"/>
  <c r="P335" i="5"/>
  <c r="P348" i="5"/>
  <c r="P310" i="5"/>
  <c r="P542" i="5"/>
  <c r="P532" i="5"/>
  <c r="P470" i="5"/>
  <c r="P130" i="5"/>
  <c r="P89" i="5"/>
  <c r="P276" i="5"/>
  <c r="P471" i="5"/>
  <c r="P399" i="5"/>
  <c r="P29" i="5"/>
  <c r="P244" i="5"/>
  <c r="P410" i="5"/>
  <c r="P153" i="5"/>
  <c r="P308" i="5"/>
  <c r="P540" i="5"/>
  <c r="P147" i="5"/>
  <c r="P164" i="5"/>
  <c r="P408" i="5"/>
  <c r="P319" i="5"/>
  <c r="P511" i="5"/>
  <c r="P320" i="5"/>
  <c r="P443" i="5"/>
  <c r="P289" i="5"/>
  <c r="P50" i="5"/>
  <c r="P151" i="5"/>
  <c r="P291" i="5"/>
  <c r="P480" i="5"/>
  <c r="P37" i="5"/>
  <c r="P531" i="5"/>
  <c r="P534" i="5"/>
  <c r="P225" i="5"/>
  <c r="P136" i="5"/>
  <c r="P526" i="5"/>
  <c r="P224" i="5"/>
  <c r="P333" i="5"/>
  <c r="P340" i="5"/>
  <c r="P556" i="5"/>
  <c r="P430" i="5"/>
  <c r="P96" i="5"/>
  <c r="P139" i="5"/>
  <c r="P384" i="5"/>
  <c r="P496" i="5"/>
  <c r="P91" i="5"/>
  <c r="P355" i="5"/>
  <c r="P558" i="5"/>
  <c r="P208" i="5"/>
  <c r="P142" i="5"/>
  <c r="P533" i="5"/>
  <c r="P181" i="5"/>
  <c r="P377" i="5"/>
  <c r="P198" i="5"/>
  <c r="P498" i="5"/>
  <c r="P278" i="5"/>
  <c r="P10" i="5"/>
  <c r="P114" i="5"/>
  <c r="P323" i="5"/>
  <c r="P525" i="5"/>
  <c r="P513" i="5"/>
  <c r="P512" i="5"/>
  <c r="P367" i="5"/>
  <c r="P90" i="5"/>
  <c r="P196" i="5"/>
  <c r="P316" i="5"/>
  <c r="P536" i="5"/>
  <c r="P148" i="5"/>
  <c r="P551" i="5"/>
  <c r="P546" i="5"/>
  <c r="P455" i="5"/>
  <c r="P79" i="5"/>
  <c r="P541" i="5"/>
  <c r="P241" i="5"/>
  <c r="P314" i="5"/>
  <c r="P285" i="5"/>
  <c r="P500" i="5"/>
  <c r="P302" i="5"/>
  <c r="P39" i="5"/>
  <c r="P101" i="5"/>
  <c r="P303" i="5"/>
  <c r="P371" i="5"/>
  <c r="P62" i="5"/>
  <c r="P307" i="5"/>
  <c r="P68" i="5"/>
  <c r="P169" i="5"/>
  <c r="P416" i="5"/>
  <c r="P412" i="5"/>
  <c r="P41" i="5"/>
  <c r="P555" i="5"/>
  <c r="P127" i="5"/>
  <c r="P379" i="5"/>
  <c r="P117" i="5"/>
  <c r="P297" i="5"/>
  <c r="P260" i="5"/>
  <c r="P8" i="5"/>
  <c r="P108" i="5"/>
  <c r="P337" i="5"/>
  <c r="P481" i="5"/>
  <c r="P448" i="5"/>
  <c r="P125" i="5"/>
  <c r="P425" i="5"/>
  <c r="P178" i="5"/>
  <c r="P157" i="5"/>
  <c r="P466" i="5"/>
  <c r="P137" i="5"/>
  <c r="P426" i="5"/>
  <c r="P228" i="5"/>
  <c r="P380" i="5"/>
  <c r="P361" i="5"/>
  <c r="P42" i="5"/>
  <c r="P159" i="5"/>
  <c r="P383" i="5"/>
  <c r="P461" i="5"/>
  <c r="P441" i="5"/>
  <c r="P517" i="5"/>
  <c r="P381" i="5"/>
  <c r="P190" i="5"/>
  <c r="P107" i="5"/>
  <c r="P509" i="5"/>
  <c r="P99" i="5"/>
  <c r="P238" i="5"/>
  <c r="P95" i="5"/>
  <c r="P284" i="5"/>
  <c r="P253" i="5"/>
  <c r="P217" i="5"/>
  <c r="P21" i="5"/>
  <c r="P286" i="5"/>
  <c r="P437" i="5"/>
  <c r="P469" i="5"/>
  <c r="P394" i="5"/>
  <c r="P251" i="5"/>
  <c r="P60" i="5"/>
  <c r="P155" i="5"/>
  <c r="P331" i="5"/>
  <c r="P521" i="5"/>
  <c r="P58" i="5"/>
  <c r="P446" i="5"/>
  <c r="P432" i="5"/>
  <c r="P483" i="5"/>
  <c r="P351" i="5"/>
  <c r="P527" i="5"/>
  <c r="P257" i="5"/>
  <c r="P197" i="5"/>
  <c r="P482" i="5"/>
  <c r="P444" i="5"/>
  <c r="P429" i="5"/>
  <c r="P234" i="5"/>
  <c r="P184" i="5"/>
  <c r="P141" i="5"/>
  <c r="P277" i="5"/>
  <c r="P341" i="5"/>
  <c r="P87" i="5"/>
  <c r="P185" i="5"/>
  <c r="P64" i="5"/>
  <c r="P70" i="5"/>
  <c r="P550" i="5"/>
  <c r="P138" i="5"/>
  <c r="P191" i="5"/>
  <c r="P30" i="5"/>
  <c r="P524" i="5"/>
  <c r="P13" i="5"/>
  <c r="P494" i="5"/>
  <c r="P223" i="5"/>
  <c r="P252" i="5"/>
  <c r="P57" i="5"/>
  <c r="P262" i="5"/>
  <c r="P520" i="5"/>
  <c r="P403" i="5"/>
  <c r="P423" i="5"/>
  <c r="P206" i="5"/>
  <c r="P133" i="5"/>
  <c r="P76" i="5"/>
  <c r="P407" i="5"/>
  <c r="P26" i="5"/>
  <c r="P324" i="5"/>
  <c r="P220" i="5"/>
  <c r="P292" i="5"/>
  <c r="P309" i="5"/>
  <c r="P40" i="5"/>
  <c r="P82" i="5"/>
  <c r="P329" i="5"/>
  <c r="P497" i="5"/>
  <c r="P389" i="5"/>
  <c r="P349" i="5"/>
  <c r="P265" i="5"/>
  <c r="P179" i="5"/>
  <c r="P45" i="5"/>
  <c r="P488" i="5"/>
  <c r="P180" i="5"/>
  <c r="P321" i="5"/>
  <c r="P415" i="5"/>
  <c r="P267" i="5"/>
  <c r="P174" i="5"/>
  <c r="P167" i="5"/>
  <c r="P20" i="5"/>
  <c r="P227" i="5"/>
  <c r="P393" i="5"/>
  <c r="P256" i="5"/>
  <c r="P529" i="5"/>
  <c r="P272" i="5"/>
  <c r="P9" i="5"/>
  <c r="P102" i="5"/>
  <c r="P199" i="5"/>
  <c r="P508" i="5"/>
  <c r="P478" i="5"/>
  <c r="P25" i="5"/>
  <c r="P325" i="5"/>
  <c r="P545" i="5"/>
  <c r="P458" i="5"/>
  <c r="P495" i="5"/>
  <c r="P182" i="5"/>
  <c r="P55" i="5"/>
  <c r="P391" i="5"/>
  <c r="P405" i="5"/>
  <c r="S474" i="5"/>
  <c r="R474" i="5"/>
  <c r="R548" i="5"/>
  <c r="S548" i="5"/>
  <c r="R525" i="5"/>
  <c r="S525" i="5"/>
  <c r="S36" i="5"/>
  <c r="R36" i="5"/>
  <c r="R134" i="5"/>
  <c r="S134" i="5"/>
  <c r="R397" i="5"/>
  <c r="S397" i="5"/>
  <c r="S501" i="5"/>
  <c r="R501" i="5"/>
  <c r="R394" i="5"/>
  <c r="S394" i="5"/>
  <c r="R157" i="5"/>
  <c r="S157" i="5"/>
  <c r="R194" i="5"/>
  <c r="S194" i="5"/>
  <c r="S270" i="5"/>
  <c r="R270" i="5"/>
  <c r="R286" i="5"/>
  <c r="S286" i="5"/>
  <c r="R214" i="5"/>
  <c r="S214" i="5"/>
  <c r="R241" i="5"/>
  <c r="S241" i="5"/>
  <c r="R190" i="5"/>
  <c r="S190" i="5"/>
  <c r="S132" i="5"/>
  <c r="R132" i="5"/>
  <c r="R162" i="5"/>
  <c r="S162" i="5"/>
  <c r="S530" i="5"/>
  <c r="R530" i="5"/>
  <c r="S483" i="5"/>
  <c r="R483" i="5"/>
  <c r="R282" i="5"/>
  <c r="S282" i="5"/>
  <c r="S211" i="5"/>
  <c r="R211" i="5"/>
  <c r="R171" i="5"/>
  <c r="S171" i="5"/>
  <c r="R121" i="5"/>
  <c r="S121" i="5"/>
  <c r="R61" i="5"/>
  <c r="S61" i="5"/>
  <c r="S522" i="5"/>
  <c r="R522" i="5"/>
  <c r="S477" i="5"/>
  <c r="R477" i="5"/>
  <c r="R370" i="5"/>
  <c r="S370" i="5"/>
  <c r="S257" i="5"/>
  <c r="R257" i="5"/>
  <c r="R313" i="5"/>
  <c r="S313" i="5"/>
  <c r="R164" i="5"/>
  <c r="S164" i="5"/>
  <c r="S89" i="5"/>
  <c r="R89" i="5"/>
  <c r="S42" i="5"/>
  <c r="R42" i="5"/>
  <c r="S518" i="5"/>
  <c r="R518" i="5"/>
  <c r="R473" i="5"/>
  <c r="S473" i="5"/>
  <c r="R249" i="5"/>
  <c r="S249" i="5"/>
  <c r="S141" i="5"/>
  <c r="R141" i="5"/>
  <c r="R233" i="5"/>
  <c r="S233" i="5"/>
  <c r="S105" i="5"/>
  <c r="R105" i="5"/>
  <c r="R63" i="5"/>
  <c r="S63" i="5"/>
  <c r="S443" i="5"/>
  <c r="R443" i="5"/>
  <c r="R467" i="5"/>
  <c r="S467" i="5"/>
  <c r="R351" i="5"/>
  <c r="S351" i="5"/>
  <c r="S350" i="5"/>
  <c r="R350" i="5"/>
  <c r="S299" i="5"/>
  <c r="R299" i="5"/>
  <c r="R183" i="5"/>
  <c r="S183" i="5"/>
  <c r="S103" i="5"/>
  <c r="R103" i="5"/>
  <c r="S26" i="5"/>
  <c r="R26" i="5"/>
  <c r="S502" i="5"/>
  <c r="R502" i="5"/>
  <c r="S468" i="5"/>
  <c r="R468" i="5"/>
  <c r="S442" i="5"/>
  <c r="R442" i="5"/>
  <c r="S326" i="5"/>
  <c r="R326" i="5"/>
  <c r="S228" i="5"/>
  <c r="R228" i="5"/>
  <c r="R83" i="5"/>
  <c r="S83" i="5"/>
  <c r="R58" i="5"/>
  <c r="S58" i="5"/>
  <c r="R364" i="5"/>
  <c r="S364" i="5"/>
  <c r="R452" i="5"/>
  <c r="S452" i="5"/>
  <c r="R338" i="5"/>
  <c r="S338" i="5"/>
  <c r="S346" i="5"/>
  <c r="R346" i="5"/>
  <c r="S291" i="5"/>
  <c r="R291" i="5"/>
  <c r="S179" i="5"/>
  <c r="R179" i="5"/>
  <c r="R82" i="5"/>
  <c r="S82" i="5"/>
  <c r="S516" i="5"/>
  <c r="R516" i="5"/>
  <c r="S444" i="5"/>
  <c r="R444" i="5"/>
  <c r="S387" i="5"/>
  <c r="R387" i="5"/>
  <c r="S407" i="5"/>
  <c r="R407" i="5"/>
  <c r="R285" i="5"/>
  <c r="S285" i="5"/>
  <c r="R107" i="5"/>
  <c r="S107" i="5"/>
  <c r="R100" i="5"/>
  <c r="S100" i="5"/>
  <c r="S50" i="5"/>
  <c r="R50" i="5"/>
  <c r="S383" i="5"/>
  <c r="R383" i="5"/>
  <c r="S521" i="5"/>
  <c r="R521" i="5"/>
  <c r="S495" i="5"/>
  <c r="R495" i="5"/>
  <c r="R542" i="5"/>
  <c r="S542" i="5"/>
  <c r="R459" i="5"/>
  <c r="S459" i="5"/>
  <c r="S119" i="5"/>
  <c r="R119" i="5"/>
  <c r="R205" i="5"/>
  <c r="S205" i="5"/>
  <c r="R325" i="5"/>
  <c r="S325" i="5"/>
  <c r="S310" i="5"/>
  <c r="R310" i="5"/>
  <c r="S303" i="5"/>
  <c r="R303" i="5"/>
  <c r="S66" i="5"/>
  <c r="R66" i="5"/>
  <c r="S244" i="5"/>
  <c r="R244" i="5"/>
  <c r="R139" i="5"/>
  <c r="S139" i="5"/>
  <c r="S158" i="5"/>
  <c r="R158" i="5"/>
  <c r="R131" i="5"/>
  <c r="S131" i="5"/>
  <c r="R109" i="5"/>
  <c r="S109" i="5"/>
  <c r="R93" i="5"/>
  <c r="S93" i="5"/>
  <c r="R484" i="5"/>
  <c r="S484" i="5"/>
  <c r="S461" i="5"/>
  <c r="R461" i="5"/>
  <c r="S438" i="5"/>
  <c r="R438" i="5"/>
  <c r="S307" i="5"/>
  <c r="R307" i="5"/>
  <c r="R219" i="5"/>
  <c r="S219" i="5"/>
  <c r="R149" i="5"/>
  <c r="S149" i="5"/>
  <c r="R38" i="5"/>
  <c r="S38" i="5"/>
  <c r="R552" i="5"/>
  <c r="S552" i="5"/>
  <c r="S435" i="5"/>
  <c r="R435" i="5"/>
  <c r="R263" i="5"/>
  <c r="S263" i="5"/>
  <c r="R329" i="5"/>
  <c r="S329" i="5"/>
  <c r="R269" i="5"/>
  <c r="S269" i="5"/>
  <c r="S166" i="5"/>
  <c r="R166" i="5"/>
  <c r="S110" i="5"/>
  <c r="R110" i="5"/>
  <c r="S19" i="5"/>
  <c r="R19" i="5"/>
  <c r="R465" i="5"/>
  <c r="S465" i="5"/>
  <c r="R453" i="5"/>
  <c r="S453" i="5"/>
  <c r="S423" i="5"/>
  <c r="R423" i="5"/>
  <c r="R300" i="5"/>
  <c r="S300" i="5"/>
  <c r="R191" i="5"/>
  <c r="S191" i="5"/>
  <c r="R140" i="5"/>
  <c r="S140" i="5"/>
  <c r="R59" i="5"/>
  <c r="S59" i="5"/>
  <c r="R532" i="5"/>
  <c r="S532" i="5"/>
  <c r="R422" i="5"/>
  <c r="S422" i="5"/>
  <c r="S414" i="5"/>
  <c r="R414" i="5"/>
  <c r="S317" i="5"/>
  <c r="R317" i="5"/>
  <c r="R246" i="5"/>
  <c r="S246" i="5"/>
  <c r="R145" i="5"/>
  <c r="S145" i="5"/>
  <c r="R87" i="5"/>
  <c r="S87" i="5"/>
  <c r="S539" i="5"/>
  <c r="R539" i="5"/>
  <c r="S449" i="5"/>
  <c r="R449" i="5"/>
  <c r="R393" i="5"/>
  <c r="S393" i="5"/>
  <c r="S411" i="5"/>
  <c r="R411" i="5"/>
  <c r="R293" i="5"/>
  <c r="S293" i="5"/>
  <c r="S186" i="5"/>
  <c r="R186" i="5"/>
  <c r="R125" i="5"/>
  <c r="S125" i="5"/>
  <c r="S27" i="5"/>
  <c r="R27" i="5"/>
  <c r="R508" i="5"/>
  <c r="S508" i="5"/>
  <c r="R410" i="5"/>
  <c r="S410" i="5"/>
  <c r="R404" i="5"/>
  <c r="S404" i="5"/>
  <c r="S309" i="5"/>
  <c r="R309" i="5"/>
  <c r="R213" i="5"/>
  <c r="S213" i="5"/>
  <c r="S188" i="5"/>
  <c r="R188" i="5"/>
  <c r="S95" i="5"/>
  <c r="R95" i="5"/>
  <c r="R544" i="5"/>
  <c r="S544" i="5"/>
  <c r="S510" i="5"/>
  <c r="R510" i="5"/>
  <c r="S412" i="5"/>
  <c r="R412" i="5"/>
  <c r="R372" i="5"/>
  <c r="S372" i="5"/>
  <c r="S229" i="5"/>
  <c r="R229" i="5"/>
  <c r="R199" i="5"/>
  <c r="S199" i="5"/>
  <c r="R137" i="5"/>
  <c r="S137" i="5"/>
  <c r="S25" i="5"/>
  <c r="R25" i="5"/>
  <c r="R262" i="5"/>
  <c r="S262" i="5"/>
  <c r="R267" i="5"/>
  <c r="S267" i="5"/>
  <c r="S405" i="5"/>
  <c r="R405" i="5"/>
  <c r="R511" i="5"/>
  <c r="S511" i="5"/>
  <c r="R490" i="5"/>
  <c r="S490" i="5"/>
  <c r="R537" i="5"/>
  <c r="S537" i="5"/>
  <c r="S65" i="5"/>
  <c r="R65" i="5"/>
  <c r="R49" i="5"/>
  <c r="S49" i="5"/>
  <c r="R54" i="5"/>
  <c r="S54" i="5"/>
  <c r="R528" i="5"/>
  <c r="S528" i="5"/>
  <c r="R428" i="5"/>
  <c r="S428" i="5"/>
  <c r="S122" i="5"/>
  <c r="R122" i="5"/>
  <c r="R78" i="5"/>
  <c r="S78" i="5"/>
  <c r="S37" i="5"/>
  <c r="R37" i="5"/>
  <c r="S34" i="5"/>
  <c r="R34" i="5"/>
  <c r="R39" i="5"/>
  <c r="S39" i="5"/>
  <c r="S505" i="5"/>
  <c r="R505" i="5"/>
  <c r="S437" i="5"/>
  <c r="R437" i="5"/>
  <c r="S381" i="5"/>
  <c r="R381" i="5"/>
  <c r="R396" i="5"/>
  <c r="S396" i="5"/>
  <c r="R281" i="5"/>
  <c r="S281" i="5"/>
  <c r="R251" i="5"/>
  <c r="S251" i="5"/>
  <c r="S98" i="5"/>
  <c r="R98" i="5"/>
  <c r="R46" i="5"/>
  <c r="S46" i="5"/>
  <c r="S481" i="5"/>
  <c r="R481" i="5"/>
  <c r="R337" i="5"/>
  <c r="S337" i="5"/>
  <c r="R388" i="5"/>
  <c r="S388" i="5"/>
  <c r="R287" i="5"/>
  <c r="S287" i="5"/>
  <c r="S101" i="5"/>
  <c r="R101" i="5"/>
  <c r="S163" i="5"/>
  <c r="R163" i="5"/>
  <c r="R91" i="5"/>
  <c r="S91" i="5"/>
  <c r="R429" i="5"/>
  <c r="S429" i="5"/>
  <c r="S342" i="5"/>
  <c r="R342" i="5"/>
  <c r="S359" i="5"/>
  <c r="R359" i="5"/>
  <c r="S386" i="5"/>
  <c r="R386" i="5"/>
  <c r="S259" i="5"/>
  <c r="R259" i="5"/>
  <c r="S238" i="5"/>
  <c r="R238" i="5"/>
  <c r="R154" i="5"/>
  <c r="S154" i="5"/>
  <c r="S35" i="5"/>
  <c r="R35" i="5"/>
  <c r="S447" i="5"/>
  <c r="R447" i="5"/>
  <c r="S252" i="5"/>
  <c r="R252" i="5"/>
  <c r="S379" i="5"/>
  <c r="R379" i="5"/>
  <c r="R278" i="5"/>
  <c r="S278" i="5"/>
  <c r="S237" i="5"/>
  <c r="R237" i="5"/>
  <c r="S92" i="5"/>
  <c r="R92" i="5"/>
  <c r="S77" i="5"/>
  <c r="R77" i="5"/>
  <c r="R403" i="5"/>
  <c r="S403" i="5"/>
  <c r="S520" i="5"/>
  <c r="R520" i="5"/>
  <c r="S421" i="5"/>
  <c r="R421" i="5"/>
  <c r="R380" i="5"/>
  <c r="S380" i="5"/>
  <c r="S253" i="5"/>
  <c r="R253" i="5"/>
  <c r="S235" i="5"/>
  <c r="R235" i="5"/>
  <c r="S151" i="5"/>
  <c r="R151" i="5"/>
  <c r="S30" i="5"/>
  <c r="R30" i="5"/>
  <c r="R559" i="5"/>
  <c r="S559" i="5"/>
  <c r="R524" i="5"/>
  <c r="S524" i="5"/>
  <c r="R365" i="5"/>
  <c r="S365" i="5"/>
  <c r="S275" i="5"/>
  <c r="R275" i="5"/>
  <c r="S231" i="5"/>
  <c r="R231" i="5"/>
  <c r="R155" i="5"/>
  <c r="S155" i="5"/>
  <c r="S71" i="5"/>
  <c r="R71" i="5"/>
  <c r="R558" i="5"/>
  <c r="S558" i="5"/>
  <c r="S486" i="5"/>
  <c r="R486" i="5"/>
  <c r="R377" i="5"/>
  <c r="S377" i="5"/>
  <c r="S289" i="5"/>
  <c r="R289" i="5"/>
  <c r="S323" i="5"/>
  <c r="R323" i="5"/>
  <c r="S178" i="5"/>
  <c r="R178" i="5"/>
  <c r="S108" i="5"/>
  <c r="R108" i="5"/>
  <c r="S47" i="5"/>
  <c r="R47" i="5"/>
  <c r="S212" i="5"/>
  <c r="R212" i="5"/>
  <c r="R148" i="5"/>
  <c r="S148" i="5"/>
  <c r="S193" i="5"/>
  <c r="R193" i="5"/>
  <c r="S260" i="5"/>
  <c r="R260" i="5"/>
  <c r="R22" i="5"/>
  <c r="S22" i="5"/>
  <c r="R560" i="5"/>
  <c r="S560" i="5"/>
  <c r="S182" i="5"/>
  <c r="R182" i="5"/>
  <c r="S462" i="5"/>
  <c r="R462" i="5"/>
  <c r="R97" i="5"/>
  <c r="S97" i="5"/>
  <c r="R62" i="5"/>
  <c r="S62" i="5"/>
  <c r="S84" i="5"/>
  <c r="R84" i="5"/>
  <c r="S458" i="5"/>
  <c r="R458" i="5"/>
  <c r="R513" i="5"/>
  <c r="S513" i="5"/>
  <c r="R507" i="5"/>
  <c r="S507" i="5"/>
  <c r="S551" i="5"/>
  <c r="R551" i="5"/>
  <c r="S533" i="5"/>
  <c r="R533" i="5"/>
  <c r="R506" i="5"/>
  <c r="S506" i="5"/>
  <c r="R406" i="5"/>
  <c r="S406" i="5"/>
  <c r="S371" i="5"/>
  <c r="R371" i="5"/>
  <c r="R218" i="5"/>
  <c r="S218" i="5"/>
  <c r="R198" i="5"/>
  <c r="S198" i="5"/>
  <c r="S135" i="5"/>
  <c r="R135" i="5"/>
  <c r="R43" i="5"/>
  <c r="S43" i="5"/>
  <c r="S545" i="5"/>
  <c r="R545" i="5"/>
  <c r="S519" i="5"/>
  <c r="R519" i="5"/>
  <c r="S354" i="5"/>
  <c r="R354" i="5"/>
  <c r="S265" i="5"/>
  <c r="R265" i="5"/>
  <c r="S217" i="5"/>
  <c r="R217" i="5"/>
  <c r="R147" i="5"/>
  <c r="S147" i="5"/>
  <c r="S81" i="5"/>
  <c r="R81" i="5"/>
  <c r="R466" i="5"/>
  <c r="S466" i="5"/>
  <c r="S492" i="5"/>
  <c r="R492" i="5"/>
  <c r="S398" i="5"/>
  <c r="R398" i="5"/>
  <c r="S334" i="5"/>
  <c r="R334" i="5"/>
  <c r="R196" i="5"/>
  <c r="S196" i="5"/>
  <c r="R181" i="5"/>
  <c r="S181" i="5"/>
  <c r="S123" i="5"/>
  <c r="R123" i="5"/>
  <c r="R23" i="5"/>
  <c r="S23" i="5"/>
  <c r="S541" i="5"/>
  <c r="R541" i="5"/>
  <c r="S503" i="5"/>
  <c r="R503" i="5"/>
  <c r="R343" i="5"/>
  <c r="S343" i="5"/>
  <c r="R243" i="5"/>
  <c r="S243" i="5"/>
  <c r="S206" i="5"/>
  <c r="R206" i="5"/>
  <c r="R129" i="5"/>
  <c r="S129" i="5"/>
  <c r="S70" i="5"/>
  <c r="R70" i="5"/>
  <c r="S557" i="5"/>
  <c r="R557" i="5"/>
  <c r="S489" i="5"/>
  <c r="R489" i="5"/>
  <c r="S395" i="5"/>
  <c r="R395" i="5"/>
  <c r="R306" i="5"/>
  <c r="S306" i="5"/>
  <c r="S331" i="5"/>
  <c r="R331" i="5"/>
  <c r="R202" i="5"/>
  <c r="S202" i="5"/>
  <c r="R117" i="5"/>
  <c r="S117" i="5"/>
  <c r="R20" i="5"/>
  <c r="S20" i="5"/>
  <c r="R536" i="5"/>
  <c r="S536" i="5"/>
  <c r="R500" i="5"/>
  <c r="S500" i="5"/>
  <c r="S314" i="5"/>
  <c r="R314" i="5"/>
  <c r="R223" i="5"/>
  <c r="S223" i="5"/>
  <c r="S204" i="5"/>
  <c r="R204" i="5"/>
  <c r="S126" i="5"/>
  <c r="R126" i="5"/>
  <c r="S69" i="5"/>
  <c r="R69" i="5"/>
  <c r="S550" i="5"/>
  <c r="R550" i="5"/>
  <c r="S446" i="5"/>
  <c r="R446" i="5"/>
  <c r="S327" i="5"/>
  <c r="R327" i="5"/>
  <c r="R341" i="5"/>
  <c r="S341" i="5"/>
  <c r="R284" i="5"/>
  <c r="S284" i="5"/>
  <c r="R175" i="5"/>
  <c r="S175" i="5"/>
  <c r="S44" i="5"/>
  <c r="R44" i="5"/>
  <c r="R311" i="5"/>
  <c r="S311" i="5"/>
  <c r="S222" i="5"/>
  <c r="R222" i="5"/>
  <c r="S215" i="5"/>
  <c r="R215" i="5"/>
  <c r="R209" i="5"/>
  <c r="S209" i="5"/>
  <c r="S333" i="5"/>
  <c r="R333" i="5"/>
  <c r="S127" i="5"/>
  <c r="R127" i="5"/>
  <c r="R116" i="5"/>
  <c r="S116" i="5"/>
  <c r="S439" i="5"/>
  <c r="R439" i="5"/>
  <c r="S113" i="5"/>
  <c r="R113" i="5"/>
  <c r="R167" i="5"/>
  <c r="S167" i="5"/>
  <c r="S543" i="5"/>
  <c r="R543" i="5"/>
  <c r="S362" i="5"/>
  <c r="R362" i="5"/>
  <c r="S493" i="5"/>
  <c r="R493" i="5"/>
  <c r="S470" i="5"/>
  <c r="R470" i="5"/>
  <c r="R434" i="5"/>
  <c r="S434" i="5"/>
  <c r="R549" i="5"/>
  <c r="S549" i="5"/>
  <c r="R482" i="5"/>
  <c r="S482" i="5"/>
  <c r="R374" i="5"/>
  <c r="S374" i="5"/>
  <c r="S273" i="5"/>
  <c r="R273" i="5"/>
  <c r="R316" i="5"/>
  <c r="S316" i="5"/>
  <c r="S170" i="5"/>
  <c r="R170" i="5"/>
  <c r="S99" i="5"/>
  <c r="R99" i="5"/>
  <c r="S45" i="5"/>
  <c r="R45" i="5"/>
  <c r="S529" i="5"/>
  <c r="R529" i="5"/>
  <c r="S475" i="5"/>
  <c r="R475" i="5"/>
  <c r="R279" i="5"/>
  <c r="S279" i="5"/>
  <c r="R173" i="5"/>
  <c r="S173" i="5"/>
  <c r="R165" i="5"/>
  <c r="S165" i="5"/>
  <c r="R118" i="5"/>
  <c r="S118" i="5"/>
  <c r="R57" i="5"/>
  <c r="S57" i="5"/>
  <c r="R460" i="5"/>
  <c r="S460" i="5"/>
  <c r="S469" i="5"/>
  <c r="R469" i="5"/>
  <c r="S358" i="5"/>
  <c r="R358" i="5"/>
  <c r="R357" i="5"/>
  <c r="S357" i="5"/>
  <c r="R302" i="5"/>
  <c r="S302" i="5"/>
  <c r="R185" i="5"/>
  <c r="S185" i="5"/>
  <c r="S106" i="5"/>
  <c r="R106" i="5"/>
  <c r="S31" i="5"/>
  <c r="R31" i="5"/>
  <c r="R509" i="5"/>
  <c r="S509" i="5"/>
  <c r="R471" i="5"/>
  <c r="S471" i="5"/>
  <c r="S245" i="5"/>
  <c r="R245" i="5"/>
  <c r="S330" i="5"/>
  <c r="R330" i="5"/>
  <c r="S230" i="5"/>
  <c r="R230" i="5"/>
  <c r="R102" i="5"/>
  <c r="S102" i="5"/>
  <c r="R60" i="5"/>
  <c r="S60" i="5"/>
  <c r="S430" i="5"/>
  <c r="R430" i="5"/>
  <c r="R457" i="5"/>
  <c r="S457" i="5"/>
  <c r="S347" i="5"/>
  <c r="R347" i="5"/>
  <c r="S348" i="5"/>
  <c r="R348" i="5"/>
  <c r="R292" i="5"/>
  <c r="S292" i="5"/>
  <c r="S180" i="5"/>
  <c r="R180" i="5"/>
  <c r="S94" i="5"/>
  <c r="R94" i="5"/>
  <c r="S21" i="5"/>
  <c r="R21" i="5"/>
  <c r="S497" i="5"/>
  <c r="R497" i="5"/>
  <c r="S463" i="5"/>
  <c r="R463" i="5"/>
  <c r="S441" i="5"/>
  <c r="R441" i="5"/>
  <c r="R321" i="5"/>
  <c r="S321" i="5"/>
  <c r="R225" i="5"/>
  <c r="S225" i="5"/>
  <c r="R159" i="5"/>
  <c r="S159" i="5"/>
  <c r="S55" i="5"/>
  <c r="R55" i="5"/>
  <c r="S498" i="5"/>
  <c r="R498" i="5"/>
  <c r="S369" i="5"/>
  <c r="R369" i="5"/>
  <c r="R402" i="5"/>
  <c r="S402" i="5"/>
  <c r="R297" i="5"/>
  <c r="S297" i="5"/>
  <c r="R203" i="5"/>
  <c r="S203" i="5"/>
  <c r="R174" i="5"/>
  <c r="S174" i="5"/>
  <c r="R86" i="5"/>
  <c r="S86" i="5"/>
  <c r="S261" i="5"/>
  <c r="R261" i="5"/>
  <c r="R361" i="5"/>
  <c r="S361" i="5"/>
  <c r="S356" i="5"/>
  <c r="R356" i="5"/>
  <c r="R349" i="5"/>
  <c r="S349" i="5"/>
  <c r="R332" i="5"/>
  <c r="S332" i="5"/>
  <c r="S340" i="5"/>
  <c r="R340" i="5"/>
  <c r="R487" i="5"/>
  <c r="S487" i="5"/>
  <c r="S494" i="5"/>
  <c r="R494" i="5"/>
  <c r="R454" i="5"/>
  <c r="S454" i="5"/>
  <c r="R478" i="5"/>
  <c r="S478" i="5"/>
  <c r="R517" i="5"/>
  <c r="S517" i="5"/>
  <c r="R366" i="5"/>
  <c r="S366" i="5"/>
  <c r="S401" i="5"/>
  <c r="R401" i="5"/>
  <c r="S367" i="5"/>
  <c r="R367" i="5"/>
  <c r="S419" i="5"/>
  <c r="R419" i="5"/>
  <c r="S555" i="5"/>
  <c r="R555" i="5"/>
  <c r="S436" i="5"/>
  <c r="R436" i="5"/>
  <c r="S322" i="5"/>
  <c r="R322" i="5"/>
  <c r="S339" i="5"/>
  <c r="R339" i="5"/>
  <c r="R276" i="5"/>
  <c r="S276" i="5"/>
  <c r="S172" i="5"/>
  <c r="R172" i="5"/>
  <c r="S111" i="5"/>
  <c r="R111" i="5"/>
  <c r="AG11" i="5"/>
  <c r="Q11" i="5"/>
  <c r="W11" i="5"/>
  <c r="R479" i="5"/>
  <c r="S479" i="5"/>
  <c r="S455" i="5"/>
  <c r="R455" i="5"/>
  <c r="S431" i="5"/>
  <c r="R431" i="5"/>
  <c r="R305" i="5"/>
  <c r="S305" i="5"/>
  <c r="S210" i="5"/>
  <c r="R210" i="5"/>
  <c r="S146" i="5"/>
  <c r="R146" i="5"/>
  <c r="R67" i="5"/>
  <c r="S67" i="5"/>
  <c r="S547" i="5"/>
  <c r="R547" i="5"/>
  <c r="R425" i="5"/>
  <c r="S425" i="5"/>
  <c r="R417" i="5"/>
  <c r="S417" i="5"/>
  <c r="R319" i="5"/>
  <c r="S319" i="5"/>
  <c r="S258" i="5"/>
  <c r="R258" i="5"/>
  <c r="R161" i="5"/>
  <c r="S161" i="5"/>
  <c r="S90" i="5"/>
  <c r="R90" i="5"/>
  <c r="S540" i="5"/>
  <c r="R540" i="5"/>
  <c r="R450" i="5"/>
  <c r="S450" i="5"/>
  <c r="R433" i="5"/>
  <c r="S433" i="5"/>
  <c r="R418" i="5"/>
  <c r="S418" i="5"/>
  <c r="R298" i="5"/>
  <c r="S298" i="5"/>
  <c r="S189" i="5"/>
  <c r="R189" i="5"/>
  <c r="S138" i="5"/>
  <c r="R138" i="5"/>
  <c r="S51" i="5"/>
  <c r="R51" i="5"/>
  <c r="R515" i="5"/>
  <c r="S515" i="5"/>
  <c r="S420" i="5"/>
  <c r="R420" i="5"/>
  <c r="R413" i="5"/>
  <c r="S413" i="5"/>
  <c r="R315" i="5"/>
  <c r="S315" i="5"/>
  <c r="S227" i="5"/>
  <c r="R227" i="5"/>
  <c r="R130" i="5"/>
  <c r="S130" i="5"/>
  <c r="R85" i="5"/>
  <c r="S85" i="5"/>
  <c r="S531" i="5"/>
  <c r="R531" i="5"/>
  <c r="S445" i="5"/>
  <c r="R445" i="5"/>
  <c r="R390" i="5"/>
  <c r="S390" i="5"/>
  <c r="S409" i="5"/>
  <c r="R409" i="5"/>
  <c r="S290" i="5"/>
  <c r="R290" i="5"/>
  <c r="S177" i="5"/>
  <c r="R177" i="5"/>
  <c r="S114" i="5"/>
  <c r="R114" i="5"/>
  <c r="R52" i="5"/>
  <c r="S52" i="5"/>
  <c r="R553" i="5"/>
  <c r="S553" i="5"/>
  <c r="S523" i="5"/>
  <c r="R523" i="5"/>
  <c r="S363" i="5"/>
  <c r="R363" i="5"/>
  <c r="S274" i="5"/>
  <c r="R274" i="5"/>
  <c r="S226" i="5"/>
  <c r="R226" i="5"/>
  <c r="R150" i="5"/>
  <c r="S150" i="5"/>
  <c r="R73" i="5"/>
  <c r="S73" i="5"/>
  <c r="S476" i="5"/>
  <c r="R476" i="5"/>
  <c r="S266" i="5"/>
  <c r="R266" i="5"/>
  <c r="S28" i="5"/>
  <c r="R28" i="5"/>
  <c r="S133" i="5"/>
  <c r="R133" i="5"/>
  <c r="R74" i="5"/>
  <c r="S74" i="5"/>
  <c r="R207" i="5"/>
  <c r="S207" i="5"/>
  <c r="R239" i="5"/>
  <c r="S239" i="5"/>
  <c r="S295" i="5"/>
  <c r="R295" i="5"/>
  <c r="R221" i="5"/>
  <c r="S221" i="5"/>
  <c r="R143" i="5"/>
  <c r="S143" i="5"/>
  <c r="S335" i="5"/>
  <c r="R335" i="5"/>
  <c r="S353" i="5"/>
  <c r="R353" i="5"/>
  <c r="S389" i="5"/>
  <c r="R389" i="5"/>
  <c r="R355" i="5"/>
  <c r="S355" i="5"/>
  <c r="R254" i="5"/>
  <c r="S254" i="5"/>
  <c r="R324" i="5"/>
  <c r="S324" i="5"/>
  <c r="S491" i="5"/>
  <c r="R491" i="5"/>
  <c r="R345" i="5"/>
  <c r="S345" i="5"/>
  <c r="R399" i="5"/>
  <c r="S399" i="5"/>
  <c r="R294" i="5"/>
  <c r="S294" i="5"/>
  <c r="S187" i="5"/>
  <c r="R187" i="5"/>
  <c r="R169" i="5"/>
  <c r="S169" i="5"/>
  <c r="R76" i="5"/>
  <c r="S76" i="5"/>
  <c r="R499" i="5"/>
  <c r="S499" i="5"/>
  <c r="S426" i="5"/>
  <c r="R426" i="5"/>
  <c r="R378" i="5"/>
  <c r="S378" i="5"/>
  <c r="S391" i="5"/>
  <c r="R391" i="5"/>
  <c r="S271" i="5"/>
  <c r="R271" i="5"/>
  <c r="S250" i="5"/>
  <c r="R250" i="5"/>
  <c r="R53" i="5"/>
  <c r="S53" i="5"/>
  <c r="S41" i="5"/>
  <c r="R41" i="5"/>
  <c r="R451" i="5"/>
  <c r="S451" i="5"/>
  <c r="R301" i="5"/>
  <c r="S301" i="5"/>
  <c r="S382" i="5"/>
  <c r="R382" i="5"/>
  <c r="S283" i="5"/>
  <c r="R283" i="5"/>
  <c r="R242" i="5"/>
  <c r="S242" i="5"/>
  <c r="R115" i="5"/>
  <c r="S115" i="5"/>
  <c r="R79" i="5"/>
  <c r="S79" i="5"/>
  <c r="S427" i="5"/>
  <c r="R427" i="5"/>
  <c r="R197" i="5"/>
  <c r="S197" i="5"/>
  <c r="S318" i="5"/>
  <c r="R318" i="5"/>
  <c r="S385" i="5"/>
  <c r="R385" i="5"/>
  <c r="R255" i="5"/>
  <c r="S255" i="5"/>
  <c r="S236" i="5"/>
  <c r="R236" i="5"/>
  <c r="R153" i="5"/>
  <c r="S153" i="5"/>
  <c r="S33" i="5"/>
  <c r="R33" i="5"/>
  <c r="R268" i="5"/>
  <c r="S268" i="5"/>
  <c r="S527" i="5"/>
  <c r="R527" i="5"/>
  <c r="R373" i="5"/>
  <c r="S373" i="5"/>
  <c r="S277" i="5"/>
  <c r="R277" i="5"/>
  <c r="S234" i="5"/>
  <c r="R234" i="5"/>
  <c r="S156" i="5"/>
  <c r="R156" i="5"/>
  <c r="S75" i="5"/>
  <c r="R75" i="5"/>
  <c r="R556" i="5"/>
  <c r="S556" i="5"/>
  <c r="S514" i="5"/>
  <c r="R514" i="5"/>
  <c r="R415" i="5"/>
  <c r="S415" i="5"/>
  <c r="S375" i="5"/>
  <c r="R375" i="5"/>
  <c r="R247" i="5"/>
  <c r="S247" i="5"/>
  <c r="S201" i="5"/>
  <c r="R201" i="5"/>
  <c r="R142" i="5"/>
  <c r="S142" i="5"/>
  <c r="S29" i="5"/>
  <c r="R29" i="5"/>
  <c r="S535" i="5"/>
  <c r="R535" i="5"/>
  <c r="R485" i="5"/>
  <c r="S485" i="5"/>
  <c r="S308" i="5"/>
  <c r="R308" i="5"/>
  <c r="S220" i="5"/>
  <c r="R220" i="5"/>
  <c r="S195" i="5"/>
  <c r="R195" i="5"/>
  <c r="R124" i="5"/>
  <c r="S124" i="5"/>
  <c r="R68" i="5"/>
  <c r="S68" i="5"/>
  <c r="AP525" i="5"/>
  <c r="AR525" i="5" s="1"/>
  <c r="AP23" i="5"/>
  <c r="AR23" i="5" s="1"/>
  <c r="AP462" i="5"/>
  <c r="AQ462" i="5" s="1"/>
  <c r="AP483" i="5"/>
  <c r="AQ483" i="5" s="1"/>
  <c r="AP244" i="5"/>
  <c r="AQ244" i="5" s="1"/>
  <c r="AP66" i="5"/>
  <c r="AR66" i="5" s="1"/>
  <c r="AP350" i="5"/>
  <c r="AR350" i="5" s="1"/>
  <c r="AP21" i="5"/>
  <c r="AR21" i="5" s="1"/>
  <c r="AP118" i="5"/>
  <c r="AR118" i="5" s="1"/>
  <c r="AP219" i="5"/>
  <c r="AR219" i="5" s="1"/>
  <c r="AP345" i="5"/>
  <c r="AR345" i="5" s="1"/>
  <c r="AP498" i="5"/>
  <c r="AQ498" i="5" s="1"/>
  <c r="AP496" i="5"/>
  <c r="AQ496" i="5" s="1"/>
  <c r="AP392" i="5"/>
  <c r="AR392" i="5" s="1"/>
  <c r="AP428" i="5"/>
  <c r="AR428" i="5" s="1"/>
  <c r="AP194" i="5"/>
  <c r="AQ194" i="5" s="1"/>
  <c r="AP524" i="5"/>
  <c r="AQ524" i="5" s="1"/>
  <c r="AP142" i="5"/>
  <c r="AR142" i="5" s="1"/>
  <c r="AP544" i="5"/>
  <c r="AR544" i="5" s="1"/>
  <c r="AP93" i="5"/>
  <c r="AR93" i="5" s="1"/>
  <c r="AP372" i="5"/>
  <c r="AR372" i="5" s="1"/>
  <c r="AP436" i="5"/>
  <c r="AQ436" i="5" s="1"/>
  <c r="AP158" i="5"/>
  <c r="AR158" i="5" s="1"/>
  <c r="AP45" i="5"/>
  <c r="AQ45" i="5" s="1"/>
  <c r="AP237" i="5"/>
  <c r="AQ237" i="5" s="1"/>
  <c r="AP34" i="5"/>
  <c r="AQ34" i="5" s="1"/>
  <c r="AP368" i="5"/>
  <c r="AQ368" i="5" s="1"/>
  <c r="AP330" i="5"/>
  <c r="AQ330" i="5" s="1"/>
  <c r="AP205" i="5"/>
  <c r="AQ205" i="5" s="1"/>
  <c r="AP522" i="5"/>
  <c r="AQ522" i="5" s="1"/>
  <c r="AP302" i="5"/>
  <c r="AR302" i="5" s="1"/>
  <c r="AP190" i="5"/>
  <c r="AR190" i="5" s="1"/>
  <c r="AP337" i="5"/>
  <c r="AQ337" i="5" s="1"/>
  <c r="AP22" i="5"/>
  <c r="AR22" i="5" s="1"/>
  <c r="AP257" i="5"/>
  <c r="AR257" i="5" s="1"/>
  <c r="AP558" i="5"/>
  <c r="AQ558" i="5" s="1"/>
  <c r="AP278" i="5"/>
  <c r="AQ278" i="5" s="1"/>
  <c r="AP438" i="5"/>
  <c r="AR438" i="5" s="1"/>
  <c r="AP477" i="5"/>
  <c r="AQ477" i="5" s="1"/>
  <c r="AP82" i="5"/>
  <c r="AQ82" i="5" s="1"/>
  <c r="AP20" i="5"/>
  <c r="AQ20" i="5" s="1"/>
  <c r="AP184" i="5"/>
  <c r="AR184" i="5" s="1"/>
  <c r="AP545" i="5"/>
  <c r="AR545" i="5" s="1"/>
  <c r="AP402" i="5"/>
  <c r="AR402" i="5" s="1"/>
  <c r="AP444" i="5"/>
  <c r="AR444" i="5" s="1"/>
  <c r="AP259" i="5"/>
  <c r="AR259" i="5" s="1"/>
  <c r="AP417" i="5"/>
  <c r="AQ417" i="5" s="1"/>
  <c r="AP460" i="5"/>
  <c r="AR460" i="5" s="1"/>
  <c r="AP144" i="5"/>
  <c r="AQ144" i="5" s="1"/>
  <c r="AP165" i="5"/>
  <c r="AQ165" i="5" s="1"/>
  <c r="AP542" i="5"/>
  <c r="AR542" i="5" s="1"/>
  <c r="AP262" i="5"/>
  <c r="AQ262" i="5" s="1"/>
  <c r="AP87" i="5"/>
  <c r="AR87" i="5" s="1"/>
  <c r="AP103" i="5"/>
  <c r="AQ103" i="5" s="1"/>
  <c r="AP211" i="5"/>
  <c r="AR211" i="5" s="1"/>
  <c r="AP378" i="5"/>
  <c r="AQ378" i="5" s="1"/>
  <c r="AP138" i="5"/>
  <c r="AQ138" i="5" s="1"/>
  <c r="AP493" i="5"/>
  <c r="AQ493" i="5" s="1"/>
  <c r="AP495" i="5"/>
  <c r="AQ495" i="5" s="1"/>
  <c r="AP104" i="5"/>
  <c r="AR104" i="5" s="1"/>
  <c r="AP384" i="5"/>
  <c r="AQ384" i="5" s="1"/>
  <c r="AP261" i="5"/>
  <c r="AQ261" i="5" s="1"/>
  <c r="AP70" i="5"/>
  <c r="AQ70" i="5" s="1"/>
  <c r="AP56" i="5"/>
  <c r="AQ56" i="5" s="1"/>
  <c r="AP397" i="5"/>
  <c r="AQ397" i="5" s="1"/>
  <c r="AP457" i="5"/>
  <c r="AR457" i="5" s="1"/>
  <c r="AP370" i="5"/>
  <c r="AR370" i="5" s="1"/>
  <c r="AP454" i="5"/>
  <c r="AR454" i="5" s="1"/>
  <c r="AP318" i="5"/>
  <c r="AR318" i="5" s="1"/>
  <c r="U312" i="5"/>
  <c r="V312" i="5"/>
  <c r="AN150" i="5"/>
  <c r="AO150" i="5"/>
  <c r="AO399" i="5"/>
  <c r="AN399" i="5"/>
  <c r="AO381" i="5"/>
  <c r="AN381" i="5"/>
  <c r="AO60" i="5"/>
  <c r="AN60" i="5"/>
  <c r="AO408" i="5"/>
  <c r="AN408" i="5"/>
  <c r="U427" i="5"/>
  <c r="V427" i="5"/>
  <c r="U409" i="5"/>
  <c r="V409" i="5"/>
  <c r="U271" i="5"/>
  <c r="V271" i="5"/>
  <c r="V557" i="5"/>
  <c r="U557" i="5"/>
  <c r="AN59" i="5"/>
  <c r="AO59" i="5"/>
  <c r="AP533" i="5"/>
  <c r="AQ533" i="5" s="1"/>
  <c r="AP404" i="5"/>
  <c r="AR404" i="5" s="1"/>
  <c r="AP488" i="5"/>
  <c r="AR488" i="5" s="1"/>
  <c r="AP291" i="5"/>
  <c r="AR291" i="5" s="1"/>
  <c r="AP260" i="5"/>
  <c r="AQ260" i="5" s="1"/>
  <c r="AP37" i="5"/>
  <c r="AR37" i="5" s="1"/>
  <c r="AP422" i="5"/>
  <c r="AQ422" i="5" s="1"/>
  <c r="AP226" i="5"/>
  <c r="AQ226" i="5" s="1"/>
  <c r="AP420" i="5"/>
  <c r="AR420" i="5" s="1"/>
  <c r="U384" i="5"/>
  <c r="V384" i="5"/>
  <c r="AN254" i="5"/>
  <c r="AO254" i="5"/>
  <c r="AO361" i="5"/>
  <c r="AN361" i="5"/>
  <c r="AO478" i="5"/>
  <c r="AN478" i="5"/>
  <c r="AN398" i="5"/>
  <c r="AO398" i="5"/>
  <c r="AN511" i="5"/>
  <c r="AO511" i="5"/>
  <c r="AO271" i="5"/>
  <c r="AN271" i="5"/>
  <c r="AN503" i="5"/>
  <c r="AO503" i="5"/>
  <c r="AN373" i="5"/>
  <c r="AO373" i="5"/>
  <c r="AO146" i="5"/>
  <c r="AN146" i="5"/>
  <c r="AO401" i="5"/>
  <c r="AN401" i="5"/>
  <c r="AN143" i="5"/>
  <c r="AO143" i="5"/>
  <c r="AN441" i="5"/>
  <c r="AO441" i="5"/>
  <c r="AN226" i="5"/>
  <c r="AO226" i="5"/>
  <c r="AO542" i="5"/>
  <c r="AN542" i="5"/>
  <c r="AN377" i="5"/>
  <c r="AO377" i="5"/>
  <c r="AO190" i="5"/>
  <c r="AN190" i="5"/>
  <c r="AO553" i="5"/>
  <c r="AN553" i="5"/>
  <c r="AN321" i="5"/>
  <c r="AO321" i="5"/>
  <c r="AN21" i="5"/>
  <c r="AO21" i="5"/>
  <c r="AN196" i="5"/>
  <c r="AO196" i="5"/>
  <c r="AN36" i="5"/>
  <c r="AO36" i="5"/>
  <c r="AM47" i="4"/>
  <c r="AN47" i="4" s="1"/>
  <c r="W47" i="4"/>
  <c r="AN257" i="5"/>
  <c r="AO257" i="5"/>
  <c r="AM111" i="4"/>
  <c r="AN111" i="4" s="1"/>
  <c r="W111" i="4"/>
  <c r="Y111" i="4" s="1"/>
  <c r="AN376" i="5"/>
  <c r="AO376" i="5"/>
  <c r="AM93" i="4"/>
  <c r="AN93" i="4" s="1"/>
  <c r="W93" i="4"/>
  <c r="U88" i="5"/>
  <c r="V88" i="5"/>
  <c r="AN248" i="5"/>
  <c r="AO248" i="5"/>
  <c r="AO57" i="5"/>
  <c r="AN57" i="5"/>
  <c r="U24" i="5"/>
  <c r="V24" i="5"/>
  <c r="AO280" i="5"/>
  <c r="AN280" i="5"/>
  <c r="U376" i="5"/>
  <c r="V376" i="5"/>
  <c r="AM40" i="4"/>
  <c r="AN40" i="4" s="1"/>
  <c r="W40" i="4"/>
  <c r="Y40" i="4" s="1"/>
  <c r="Z40" i="4" s="1"/>
  <c r="AF40" i="4" s="1"/>
  <c r="V309" i="5"/>
  <c r="U309" i="5"/>
  <c r="V497" i="5"/>
  <c r="U497" i="5"/>
  <c r="U490" i="5"/>
  <c r="V490" i="5"/>
  <c r="V556" i="5"/>
  <c r="U556" i="5"/>
  <c r="V541" i="5"/>
  <c r="U541" i="5"/>
  <c r="U421" i="5"/>
  <c r="V421" i="5"/>
  <c r="V370" i="5"/>
  <c r="U370" i="5"/>
  <c r="U404" i="5"/>
  <c r="V404" i="5"/>
  <c r="V551" i="5"/>
  <c r="U551" i="5"/>
  <c r="V483" i="5"/>
  <c r="U483" i="5"/>
  <c r="U365" i="5"/>
  <c r="V365" i="5"/>
  <c r="V343" i="5"/>
  <c r="U343" i="5"/>
  <c r="U241" i="5"/>
  <c r="V241" i="5"/>
  <c r="U137" i="5"/>
  <c r="V137" i="5"/>
  <c r="V543" i="5"/>
  <c r="U543" i="5"/>
  <c r="V358" i="5"/>
  <c r="U358" i="5"/>
  <c r="V294" i="5"/>
  <c r="U294" i="5"/>
  <c r="U335" i="5"/>
  <c r="V335" i="5"/>
  <c r="U265" i="5"/>
  <c r="V265" i="5"/>
  <c r="U130" i="5"/>
  <c r="V130" i="5"/>
  <c r="U527" i="5"/>
  <c r="V527" i="5"/>
  <c r="U333" i="5"/>
  <c r="V333" i="5"/>
  <c r="V361" i="5"/>
  <c r="U361" i="5"/>
  <c r="U330" i="5"/>
  <c r="V330" i="5"/>
  <c r="V263" i="5"/>
  <c r="U263" i="5"/>
  <c r="U119" i="5"/>
  <c r="V119" i="5"/>
  <c r="V545" i="5"/>
  <c r="U545" i="5"/>
  <c r="U501" i="5"/>
  <c r="V501" i="5"/>
  <c r="V355" i="5"/>
  <c r="U355" i="5"/>
  <c r="U326" i="5"/>
  <c r="V326" i="5"/>
  <c r="U260" i="5"/>
  <c r="V260" i="5"/>
  <c r="U115" i="5"/>
  <c r="V115" i="5"/>
  <c r="U505" i="5"/>
  <c r="V505" i="5"/>
  <c r="U369" i="5"/>
  <c r="V369" i="5"/>
  <c r="U258" i="5"/>
  <c r="V258" i="5"/>
  <c r="U206" i="5"/>
  <c r="V206" i="5"/>
  <c r="U36" i="5"/>
  <c r="V36" i="5"/>
  <c r="U463" i="5"/>
  <c r="V463" i="5"/>
  <c r="V499" i="5"/>
  <c r="U499" i="5"/>
  <c r="U341" i="5"/>
  <c r="V341" i="5"/>
  <c r="V299" i="5"/>
  <c r="U299" i="5"/>
  <c r="V215" i="5"/>
  <c r="U215" i="5"/>
  <c r="V63" i="5"/>
  <c r="U63" i="5"/>
  <c r="U517" i="5"/>
  <c r="V517" i="5"/>
  <c r="U385" i="5"/>
  <c r="V385" i="5"/>
  <c r="V292" i="5"/>
  <c r="U292" i="5"/>
  <c r="U211" i="5"/>
  <c r="V211" i="5"/>
  <c r="V39" i="5"/>
  <c r="U39" i="5"/>
  <c r="U94" i="5"/>
  <c r="V94" i="5"/>
  <c r="U66" i="5"/>
  <c r="V66" i="5"/>
  <c r="U70" i="5"/>
  <c r="V70" i="5"/>
  <c r="U448" i="5"/>
  <c r="V448" i="5"/>
  <c r="AP218" i="5"/>
  <c r="AR218" i="5" s="1"/>
  <c r="AO507" i="5"/>
  <c r="AN507" i="5"/>
  <c r="AO316" i="5"/>
  <c r="AN316" i="5"/>
  <c r="V456" i="5"/>
  <c r="U456" i="5"/>
  <c r="U248" i="5"/>
  <c r="V248" i="5"/>
  <c r="V297" i="5"/>
  <c r="U297" i="5"/>
  <c r="V548" i="5"/>
  <c r="U548" i="5"/>
  <c r="U396" i="5"/>
  <c r="V396" i="5"/>
  <c r="U430" i="5"/>
  <c r="V430" i="5"/>
  <c r="AP535" i="5"/>
  <c r="AQ535" i="5" s="1"/>
  <c r="AP551" i="5"/>
  <c r="AQ551" i="5" s="1"/>
  <c r="AP327" i="5"/>
  <c r="AQ327" i="5" s="1"/>
  <c r="AP134" i="5"/>
  <c r="AQ134" i="5" s="1"/>
  <c r="AP326" i="5"/>
  <c r="AR326" i="5" s="1"/>
  <c r="AP463" i="5"/>
  <c r="AQ463" i="5" s="1"/>
  <c r="AP77" i="5"/>
  <c r="AR77" i="5" s="1"/>
  <c r="AP126" i="5"/>
  <c r="AQ126" i="5" s="1"/>
  <c r="AP117" i="5"/>
  <c r="AQ117" i="5" s="1"/>
  <c r="AP530" i="5"/>
  <c r="AR530" i="5" s="1"/>
  <c r="AP321" i="5"/>
  <c r="AQ321" i="5" s="1"/>
  <c r="AN368" i="5"/>
  <c r="AO368" i="5"/>
  <c r="AO279" i="5"/>
  <c r="AN279" i="5"/>
  <c r="AN182" i="5"/>
  <c r="AO182" i="5"/>
  <c r="AO393" i="5"/>
  <c r="AN393" i="5"/>
  <c r="AO275" i="5"/>
  <c r="AN275" i="5"/>
  <c r="AN403" i="5"/>
  <c r="AO403" i="5"/>
  <c r="AN183" i="5"/>
  <c r="AO183" i="5"/>
  <c r="AO453" i="5"/>
  <c r="AN453" i="5"/>
  <c r="AN330" i="5"/>
  <c r="AO330" i="5"/>
  <c r="AO54" i="5"/>
  <c r="AN54" i="5"/>
  <c r="AO342" i="5"/>
  <c r="AN342" i="5"/>
  <c r="AN138" i="5"/>
  <c r="AO138" i="5"/>
  <c r="AN470" i="5"/>
  <c r="AO470" i="5"/>
  <c r="AN213" i="5"/>
  <c r="AO213" i="5"/>
  <c r="AO558" i="5"/>
  <c r="AN558" i="5"/>
  <c r="AN428" i="5"/>
  <c r="AO428" i="5"/>
  <c r="AN180" i="5"/>
  <c r="AO180" i="5"/>
  <c r="AN545" i="5"/>
  <c r="AO545" i="5"/>
  <c r="AO303" i="5"/>
  <c r="AN303" i="5"/>
  <c r="AO22" i="5"/>
  <c r="AN22" i="5"/>
  <c r="AN201" i="5"/>
  <c r="AO201" i="5"/>
  <c r="AM69" i="4"/>
  <c r="AN69" i="4" s="1"/>
  <c r="W69" i="4"/>
  <c r="U504" i="5"/>
  <c r="V504" i="5"/>
  <c r="AN337" i="5"/>
  <c r="AO337" i="5"/>
  <c r="V336" i="5"/>
  <c r="U336" i="5"/>
  <c r="AM71" i="4"/>
  <c r="AN71" i="4" s="1"/>
  <c r="W71" i="4"/>
  <c r="Y71" i="4" s="1"/>
  <c r="AN344" i="5"/>
  <c r="AO344" i="5"/>
  <c r="AO308" i="5"/>
  <c r="AN308" i="5"/>
  <c r="AN120" i="5"/>
  <c r="AO120" i="5"/>
  <c r="V224" i="5"/>
  <c r="U224" i="5"/>
  <c r="AO177" i="5"/>
  <c r="AN177" i="5"/>
  <c r="U264" i="5"/>
  <c r="V264" i="5"/>
  <c r="V480" i="5"/>
  <c r="U480" i="5"/>
  <c r="U314" i="5"/>
  <c r="V314" i="5"/>
  <c r="V444" i="5"/>
  <c r="U444" i="5"/>
  <c r="U422" i="5"/>
  <c r="V422" i="5"/>
  <c r="U395" i="5"/>
  <c r="V395" i="5"/>
  <c r="V491" i="5"/>
  <c r="U491" i="5"/>
  <c r="U325" i="5"/>
  <c r="V325" i="5"/>
  <c r="V390" i="5"/>
  <c r="U390" i="5"/>
  <c r="U359" i="5"/>
  <c r="V359" i="5"/>
  <c r="U450" i="5"/>
  <c r="V450" i="5"/>
  <c r="U459" i="5"/>
  <c r="V459" i="5"/>
  <c r="U319" i="5"/>
  <c r="V319" i="5"/>
  <c r="V305" i="5"/>
  <c r="U305" i="5"/>
  <c r="U210" i="5"/>
  <c r="V210" i="5"/>
  <c r="U126" i="5"/>
  <c r="V126" i="5"/>
  <c r="V426" i="5"/>
  <c r="U426" i="5"/>
  <c r="U347" i="5"/>
  <c r="V347" i="5"/>
  <c r="V407" i="5"/>
  <c r="U407" i="5"/>
  <c r="V303" i="5"/>
  <c r="U303" i="5"/>
  <c r="U207" i="5"/>
  <c r="V207" i="5"/>
  <c r="U131" i="5"/>
  <c r="V131" i="5"/>
  <c r="U412" i="5"/>
  <c r="V412" i="5"/>
  <c r="U503" i="5"/>
  <c r="V503" i="5"/>
  <c r="U275" i="5"/>
  <c r="V275" i="5"/>
  <c r="V300" i="5"/>
  <c r="U300" i="5"/>
  <c r="V236" i="5"/>
  <c r="U236" i="5"/>
  <c r="U123" i="5"/>
  <c r="V123" i="5"/>
  <c r="U465" i="5"/>
  <c r="V465" i="5"/>
  <c r="U474" i="5"/>
  <c r="V474" i="5"/>
  <c r="U391" i="5"/>
  <c r="V391" i="5"/>
  <c r="V298" i="5"/>
  <c r="U298" i="5"/>
  <c r="U235" i="5"/>
  <c r="V235" i="5"/>
  <c r="U101" i="5"/>
  <c r="V101" i="5"/>
  <c r="U460" i="5"/>
  <c r="V460" i="5"/>
  <c r="V433" i="5"/>
  <c r="U433" i="5"/>
  <c r="V327" i="5"/>
  <c r="U327" i="5"/>
  <c r="U172" i="5"/>
  <c r="V172" i="5"/>
  <c r="U479" i="5"/>
  <c r="V479" i="5"/>
  <c r="U434" i="5"/>
  <c r="V434" i="5"/>
  <c r="U458" i="5"/>
  <c r="V458" i="5"/>
  <c r="V429" i="5"/>
  <c r="U429" i="5"/>
  <c r="V251" i="5"/>
  <c r="U251" i="5"/>
  <c r="V204" i="5"/>
  <c r="U204" i="5"/>
  <c r="U22" i="5"/>
  <c r="V22" i="5"/>
  <c r="U431" i="5"/>
  <c r="V431" i="5"/>
  <c r="V317" i="5"/>
  <c r="U317" i="5"/>
  <c r="U250" i="5"/>
  <c r="V250" i="5"/>
  <c r="V201" i="5"/>
  <c r="U201" i="5"/>
  <c r="V139" i="5"/>
  <c r="U139" i="5"/>
  <c r="V41" i="5"/>
  <c r="U41" i="5"/>
  <c r="V33" i="5"/>
  <c r="U33" i="5"/>
  <c r="U34" i="5"/>
  <c r="V34" i="5"/>
  <c r="V296" i="5"/>
  <c r="U296" i="5"/>
  <c r="U432" i="5"/>
  <c r="V432" i="5"/>
  <c r="AO78" i="5"/>
  <c r="AN78" i="5"/>
  <c r="AO181" i="5"/>
  <c r="AN181" i="5"/>
  <c r="AO134" i="5"/>
  <c r="AN134" i="5"/>
  <c r="AO166" i="5"/>
  <c r="AN166" i="5"/>
  <c r="U440" i="5"/>
  <c r="V440" i="5"/>
  <c r="V476" i="5"/>
  <c r="U476" i="5"/>
  <c r="V291" i="5"/>
  <c r="U291" i="5"/>
  <c r="U281" i="5"/>
  <c r="V281" i="5"/>
  <c r="V229" i="5"/>
  <c r="U229" i="5"/>
  <c r="U269" i="5"/>
  <c r="V269" i="5"/>
  <c r="U268" i="5"/>
  <c r="V268" i="5"/>
  <c r="U133" i="5"/>
  <c r="V133" i="5"/>
  <c r="U346" i="5"/>
  <c r="V346" i="5"/>
  <c r="U154" i="5"/>
  <c r="V154" i="5"/>
  <c r="V38" i="5"/>
  <c r="U38" i="5"/>
  <c r="AM64" i="4"/>
  <c r="AN64" i="4" s="1"/>
  <c r="W64" i="4"/>
  <c r="X64" i="4" s="1"/>
  <c r="AJ64" i="4" s="1"/>
  <c r="AP78" i="5"/>
  <c r="AP448" i="5"/>
  <c r="AQ448" i="5" s="1"/>
  <c r="AP487" i="5"/>
  <c r="AR487" i="5" s="1"/>
  <c r="U8" i="5"/>
  <c r="V8" i="5"/>
  <c r="AN288" i="5"/>
  <c r="AO288" i="5"/>
  <c r="AN378" i="5"/>
  <c r="AO378" i="5"/>
  <c r="AO516" i="5"/>
  <c r="AN516" i="5"/>
  <c r="AO529" i="5"/>
  <c r="AN529" i="5"/>
  <c r="AN522" i="5"/>
  <c r="AO522" i="5"/>
  <c r="AN19" i="5"/>
  <c r="AO19" i="5"/>
  <c r="AO366" i="5"/>
  <c r="AN366" i="5"/>
  <c r="AN154" i="5"/>
  <c r="AO154" i="5"/>
  <c r="AO391" i="5"/>
  <c r="AN391" i="5"/>
  <c r="AO269" i="5"/>
  <c r="AN269" i="5"/>
  <c r="AN524" i="5"/>
  <c r="AO524" i="5"/>
  <c r="AO250" i="5"/>
  <c r="AN250" i="5"/>
  <c r="AN55" i="5"/>
  <c r="AO55" i="5"/>
  <c r="AN386" i="5"/>
  <c r="AO386" i="5"/>
  <c r="AO126" i="5"/>
  <c r="AN126" i="5"/>
  <c r="AO489" i="5"/>
  <c r="AN489" i="5"/>
  <c r="AN310" i="5"/>
  <c r="AO310" i="5"/>
  <c r="AO86" i="5"/>
  <c r="AN86" i="5"/>
  <c r="AO461" i="5"/>
  <c r="AN461" i="5"/>
  <c r="AN214" i="5"/>
  <c r="AO214" i="5"/>
  <c r="AO357" i="5"/>
  <c r="AN357" i="5"/>
  <c r="AN124" i="5"/>
  <c r="AO124" i="5"/>
  <c r="V80" i="5"/>
  <c r="U80" i="5"/>
  <c r="V288" i="5"/>
  <c r="U288" i="5"/>
  <c r="AM126" i="4"/>
  <c r="AN126" i="4" s="1"/>
  <c r="W126" i="4"/>
  <c r="X126" i="4" s="1"/>
  <c r="AJ126" i="4" s="1"/>
  <c r="AM19" i="4"/>
  <c r="AN19" i="4" s="1"/>
  <c r="W19" i="4"/>
  <c r="Y19" i="4" s="1"/>
  <c r="Z19" i="4" s="1"/>
  <c r="AF19" i="4" s="1"/>
  <c r="AN148" i="5"/>
  <c r="AO148" i="5"/>
  <c r="U56" i="5"/>
  <c r="V56" i="5"/>
  <c r="AN424" i="5"/>
  <c r="AO424" i="5"/>
  <c r="U496" i="5"/>
  <c r="V496" i="5"/>
  <c r="V344" i="5"/>
  <c r="U344" i="5"/>
  <c r="AO448" i="5"/>
  <c r="AN448" i="5"/>
  <c r="AM44" i="4"/>
  <c r="AN44" i="4" s="1"/>
  <c r="W44" i="4"/>
  <c r="Y44" i="4" s="1"/>
  <c r="Z44" i="4" s="1"/>
  <c r="U100" i="5"/>
  <c r="V100" i="5"/>
  <c r="U462" i="5"/>
  <c r="V462" i="5"/>
  <c r="V418" i="5"/>
  <c r="U418" i="5"/>
  <c r="V380" i="5"/>
  <c r="U380" i="5"/>
  <c r="U242" i="5"/>
  <c r="V242" i="5"/>
  <c r="V69" i="5"/>
  <c r="U69" i="5"/>
  <c r="V67" i="5"/>
  <c r="U67" i="5"/>
  <c r="U194" i="5"/>
  <c r="V194" i="5"/>
  <c r="V338" i="5"/>
  <c r="U338" i="5"/>
  <c r="U515" i="5"/>
  <c r="V515" i="5"/>
  <c r="U247" i="5"/>
  <c r="V247" i="5"/>
  <c r="U253" i="5"/>
  <c r="V253" i="5"/>
  <c r="U205" i="5"/>
  <c r="V205" i="5"/>
  <c r="U50" i="5"/>
  <c r="V50" i="5"/>
  <c r="U529" i="5"/>
  <c r="V529" i="5"/>
  <c r="U478" i="5"/>
  <c r="V478" i="5"/>
  <c r="V214" i="5"/>
  <c r="U214" i="5"/>
  <c r="U246" i="5"/>
  <c r="V246" i="5"/>
  <c r="V239" i="5"/>
  <c r="U239" i="5"/>
  <c r="U92" i="5"/>
  <c r="V92" i="5"/>
  <c r="V560" i="5"/>
  <c r="U560" i="5"/>
  <c r="U454" i="5"/>
  <c r="V454" i="5"/>
  <c r="U372" i="5"/>
  <c r="V372" i="5"/>
  <c r="U231" i="5"/>
  <c r="V231" i="5"/>
  <c r="V227" i="5"/>
  <c r="U227" i="5"/>
  <c r="V61" i="5"/>
  <c r="U61" i="5"/>
  <c r="U493" i="5"/>
  <c r="V493" i="5"/>
  <c r="U537" i="5"/>
  <c r="V537" i="5"/>
  <c r="U436" i="5"/>
  <c r="V436" i="5"/>
  <c r="U226" i="5"/>
  <c r="V226" i="5"/>
  <c r="U212" i="5"/>
  <c r="V212" i="5"/>
  <c r="U53" i="5"/>
  <c r="V53" i="5"/>
  <c r="U414" i="5"/>
  <c r="V414" i="5"/>
  <c r="U366" i="5"/>
  <c r="V366" i="5"/>
  <c r="U254" i="5"/>
  <c r="V254" i="5"/>
  <c r="U134" i="5"/>
  <c r="V134" i="5"/>
  <c r="V555" i="5"/>
  <c r="U555" i="5"/>
  <c r="U519" i="5"/>
  <c r="V519" i="5"/>
  <c r="U411" i="5"/>
  <c r="V411" i="5"/>
  <c r="V315" i="5"/>
  <c r="U315" i="5"/>
  <c r="U279" i="5"/>
  <c r="V279" i="5"/>
  <c r="U118" i="5"/>
  <c r="V118" i="5"/>
  <c r="V531" i="5"/>
  <c r="U531" i="5"/>
  <c r="V494" i="5"/>
  <c r="U494" i="5"/>
  <c r="V362" i="5"/>
  <c r="U362" i="5"/>
  <c r="V274" i="5"/>
  <c r="U274" i="5"/>
  <c r="U187" i="5"/>
  <c r="V187" i="5"/>
  <c r="U98" i="5"/>
  <c r="V98" i="5"/>
  <c r="V47" i="5"/>
  <c r="U47" i="5"/>
  <c r="U84" i="5"/>
  <c r="V84" i="5"/>
  <c r="AO20" i="5"/>
  <c r="AN20" i="5"/>
  <c r="AM27" i="4"/>
  <c r="AN27" i="4" s="1"/>
  <c r="W27" i="4"/>
  <c r="Y27" i="4" s="1"/>
  <c r="Z27" i="4" s="1"/>
  <c r="AF27" i="4" s="1"/>
  <c r="AN216" i="5"/>
  <c r="AO216" i="5"/>
  <c r="AN151" i="5"/>
  <c r="AO151" i="5"/>
  <c r="AO84" i="5"/>
  <c r="AN84" i="5"/>
  <c r="AN101" i="5"/>
  <c r="AO101" i="5"/>
  <c r="AM116" i="4"/>
  <c r="AN116" i="4" s="1"/>
  <c r="U512" i="5"/>
  <c r="V512" i="5"/>
  <c r="U435" i="5"/>
  <c r="V435" i="5"/>
  <c r="U244" i="5"/>
  <c r="V244" i="5"/>
  <c r="U82" i="5"/>
  <c r="V82" i="5"/>
  <c r="U484" i="5"/>
  <c r="V484" i="5"/>
  <c r="U453" i="5"/>
  <c r="V453" i="5"/>
  <c r="V57" i="5"/>
  <c r="U57" i="5"/>
  <c r="V549" i="5"/>
  <c r="U549" i="5"/>
  <c r="V428" i="5"/>
  <c r="U428" i="5"/>
  <c r="V322" i="5"/>
  <c r="U322" i="5"/>
  <c r="U393" i="5"/>
  <c r="V393" i="5"/>
  <c r="V27" i="5"/>
  <c r="U27" i="5"/>
  <c r="AP101" i="5"/>
  <c r="AR101" i="5" s="1"/>
  <c r="AP143" i="5"/>
  <c r="AR143" i="5" s="1"/>
  <c r="AP81" i="5"/>
  <c r="AQ81" i="5" s="1"/>
  <c r="U256" i="5"/>
  <c r="V256" i="5"/>
  <c r="V320" i="5"/>
  <c r="U320" i="5"/>
  <c r="AO290" i="5"/>
  <c r="AN290" i="5"/>
  <c r="AN245" i="5"/>
  <c r="AO245" i="5"/>
  <c r="AO429" i="5"/>
  <c r="AN429" i="5"/>
  <c r="AO471" i="5"/>
  <c r="AN471" i="5"/>
  <c r="AO407" i="5"/>
  <c r="AN407" i="5"/>
  <c r="AO417" i="5"/>
  <c r="AN417" i="5"/>
  <c r="AN90" i="5"/>
  <c r="AO90" i="5"/>
  <c r="AN452" i="5"/>
  <c r="AO452" i="5"/>
  <c r="AN266" i="5"/>
  <c r="AO266" i="5"/>
  <c r="AN425" i="5"/>
  <c r="AO425" i="5"/>
  <c r="AO329" i="5"/>
  <c r="AN329" i="5"/>
  <c r="AO44" i="5"/>
  <c r="AN44" i="5"/>
  <c r="AO319" i="5"/>
  <c r="AN319" i="5"/>
  <c r="AO94" i="5"/>
  <c r="AN94" i="5"/>
  <c r="AO405" i="5"/>
  <c r="AN405" i="5"/>
  <c r="AN188" i="5"/>
  <c r="AO188" i="5"/>
  <c r="AO76" i="5"/>
  <c r="AN76" i="5"/>
  <c r="AN375" i="5"/>
  <c r="AO375" i="5"/>
  <c r="AN165" i="5"/>
  <c r="AO165" i="5"/>
  <c r="AO295" i="5"/>
  <c r="AN295" i="5"/>
  <c r="AN100" i="5"/>
  <c r="AO100" i="5"/>
  <c r="V368" i="5"/>
  <c r="U368" i="5"/>
  <c r="AN236" i="5"/>
  <c r="AO236" i="5"/>
  <c r="AO208" i="5"/>
  <c r="AN208" i="5"/>
  <c r="U400" i="5"/>
  <c r="V400" i="5"/>
  <c r="V112" i="5"/>
  <c r="U112" i="5"/>
  <c r="AO144" i="5"/>
  <c r="AN144" i="5"/>
  <c r="U526" i="5"/>
  <c r="V526" i="5"/>
  <c r="AM137" i="4"/>
  <c r="AN137" i="4" s="1"/>
  <c r="W137" i="4"/>
  <c r="AO480" i="5"/>
  <c r="AN480" i="5"/>
  <c r="AO300" i="5"/>
  <c r="AN300" i="5"/>
  <c r="V328" i="5"/>
  <c r="U328" i="5"/>
  <c r="AO35" i="5"/>
  <c r="AN35" i="5"/>
  <c r="U518" i="5"/>
  <c r="V518" i="5"/>
  <c r="U349" i="5"/>
  <c r="V349" i="5"/>
  <c r="U307" i="5"/>
  <c r="V307" i="5"/>
  <c r="V285" i="5"/>
  <c r="U285" i="5"/>
  <c r="U141" i="5"/>
  <c r="V141" i="5"/>
  <c r="U19" i="5"/>
  <c r="V19" i="5"/>
  <c r="U552" i="5"/>
  <c r="V552" i="5"/>
  <c r="V44" i="5"/>
  <c r="U44" i="5"/>
  <c r="U510" i="5"/>
  <c r="V510" i="5"/>
  <c r="V481" i="5"/>
  <c r="U481" i="5"/>
  <c r="U420" i="5"/>
  <c r="V420" i="5"/>
  <c r="U323" i="5"/>
  <c r="V323" i="5"/>
  <c r="U190" i="5"/>
  <c r="V190" i="5"/>
  <c r="U28" i="5"/>
  <c r="V28" i="5"/>
  <c r="V506" i="5"/>
  <c r="U506" i="5"/>
  <c r="U443" i="5"/>
  <c r="V443" i="5"/>
  <c r="V415" i="5"/>
  <c r="U415" i="5"/>
  <c r="V316" i="5"/>
  <c r="U316" i="5"/>
  <c r="U203" i="5"/>
  <c r="V203" i="5"/>
  <c r="U30" i="5"/>
  <c r="V30" i="5"/>
  <c r="U495" i="5"/>
  <c r="V495" i="5"/>
  <c r="V339" i="5"/>
  <c r="U339" i="5"/>
  <c r="U437" i="5"/>
  <c r="V437" i="5"/>
  <c r="V313" i="5"/>
  <c r="U313" i="5"/>
  <c r="U196" i="5"/>
  <c r="V196" i="5"/>
  <c r="U502" i="5"/>
  <c r="V502" i="5"/>
  <c r="U470" i="5"/>
  <c r="V470" i="5"/>
  <c r="V507" i="5"/>
  <c r="U507" i="5"/>
  <c r="U405" i="5"/>
  <c r="V405" i="5"/>
  <c r="V311" i="5"/>
  <c r="U311" i="5"/>
  <c r="V188" i="5"/>
  <c r="U188" i="5"/>
  <c r="Q10" i="5"/>
  <c r="AG10" i="5"/>
  <c r="AP10" i="5" s="1"/>
  <c r="T10" i="5"/>
  <c r="AM10" i="5"/>
  <c r="W10" i="5"/>
  <c r="V383" i="5"/>
  <c r="U383" i="5"/>
  <c r="V329" i="5"/>
  <c r="U329" i="5"/>
  <c r="U233" i="5"/>
  <c r="V233" i="5"/>
  <c r="U114" i="5"/>
  <c r="V114" i="5"/>
  <c r="U514" i="5"/>
  <c r="V514" i="5"/>
  <c r="U498" i="5"/>
  <c r="V498" i="5"/>
  <c r="U382" i="5"/>
  <c r="V382" i="5"/>
  <c r="U356" i="5"/>
  <c r="V356" i="5"/>
  <c r="U252" i="5"/>
  <c r="V252" i="5"/>
  <c r="U125" i="5"/>
  <c r="V125" i="5"/>
  <c r="V487" i="5"/>
  <c r="U487" i="5"/>
  <c r="V451" i="5"/>
  <c r="U451" i="5"/>
  <c r="U354" i="5"/>
  <c r="V354" i="5"/>
  <c r="U249" i="5"/>
  <c r="V249" i="5"/>
  <c r="V151" i="5"/>
  <c r="U151" i="5"/>
  <c r="U74" i="5"/>
  <c r="V74" i="5"/>
  <c r="V26" i="5"/>
  <c r="U26" i="5"/>
  <c r="U87" i="5"/>
  <c r="V87" i="5"/>
  <c r="AN292" i="5"/>
  <c r="AO292" i="5"/>
  <c r="V546" i="5"/>
  <c r="U546" i="5"/>
  <c r="AO456" i="5"/>
  <c r="AN456" i="5"/>
  <c r="AO255" i="5"/>
  <c r="AN255" i="5"/>
  <c r="AO229" i="5"/>
  <c r="AN229" i="5"/>
  <c r="U472" i="5"/>
  <c r="V472" i="5"/>
  <c r="U464" i="5"/>
  <c r="V464" i="5"/>
  <c r="U550" i="5"/>
  <c r="V550" i="5"/>
  <c r="U375" i="5"/>
  <c r="V375" i="5"/>
  <c r="U37" i="5"/>
  <c r="V37" i="5"/>
  <c r="U403" i="5"/>
  <c r="V403" i="5"/>
  <c r="U377" i="5"/>
  <c r="V377" i="5"/>
  <c r="V161" i="5"/>
  <c r="U161" i="5"/>
  <c r="U91" i="5"/>
  <c r="V91" i="5"/>
  <c r="U280" i="5"/>
  <c r="V280" i="5"/>
  <c r="AP229" i="5"/>
  <c r="AR229" i="5" s="1"/>
  <c r="AP131" i="5"/>
  <c r="AQ131" i="5" s="1"/>
  <c r="AP94" i="5"/>
  <c r="AQ94" i="5" s="1"/>
  <c r="AP274" i="5"/>
  <c r="AQ274" i="5" s="1"/>
  <c r="AP79" i="5"/>
  <c r="AR79" i="5" s="1"/>
  <c r="AP127" i="5"/>
  <c r="AR127" i="5" s="1"/>
  <c r="AM68" i="4"/>
  <c r="AN68" i="4" s="1"/>
  <c r="W68" i="4"/>
  <c r="AO95" i="5"/>
  <c r="AN95" i="5"/>
  <c r="AN202" i="5"/>
  <c r="AO202" i="5"/>
  <c r="AO350" i="5"/>
  <c r="AN350" i="5"/>
  <c r="AN351" i="5"/>
  <c r="AO351" i="5"/>
  <c r="AO517" i="5"/>
  <c r="AN517" i="5"/>
  <c r="AN345" i="5"/>
  <c r="AO345" i="5"/>
  <c r="AO483" i="5"/>
  <c r="AN483" i="5"/>
  <c r="AN364" i="5"/>
  <c r="AO364" i="5"/>
  <c r="AN244" i="5"/>
  <c r="AO244" i="5"/>
  <c r="AN502" i="5"/>
  <c r="AO502" i="5"/>
  <c r="AO247" i="5"/>
  <c r="AN247" i="5"/>
  <c r="AN559" i="5"/>
  <c r="AO559" i="5"/>
  <c r="AN315" i="5"/>
  <c r="AO315" i="5"/>
  <c r="AN77" i="5"/>
  <c r="AO77" i="5"/>
  <c r="AN468" i="5"/>
  <c r="AO468" i="5"/>
  <c r="AN323" i="5"/>
  <c r="AO323" i="5"/>
  <c r="AN52" i="5"/>
  <c r="AO52" i="5"/>
  <c r="AO414" i="5"/>
  <c r="AN414" i="5"/>
  <c r="AN170" i="5"/>
  <c r="AO170" i="5"/>
  <c r="AN317" i="5"/>
  <c r="AO317" i="5"/>
  <c r="AO74" i="5"/>
  <c r="AN74" i="5"/>
  <c r="U352" i="5"/>
  <c r="V352" i="5"/>
  <c r="AN440" i="5"/>
  <c r="AO440" i="5"/>
  <c r="AN203" i="5"/>
  <c r="AO203" i="5"/>
  <c r="U272" i="5"/>
  <c r="V272" i="5"/>
  <c r="U424" i="5"/>
  <c r="V424" i="5"/>
  <c r="AM77" i="4"/>
  <c r="AN77" i="4" s="1"/>
  <c r="W77" i="4"/>
  <c r="X77" i="4" s="1"/>
  <c r="AM150" i="4"/>
  <c r="AN150" i="4" s="1"/>
  <c r="W150" i="4"/>
  <c r="X150" i="4" s="1"/>
  <c r="AJ150" i="4" s="1"/>
  <c r="V304" i="5"/>
  <c r="U304" i="5"/>
  <c r="V208" i="5"/>
  <c r="U208" i="5"/>
  <c r="AN464" i="5"/>
  <c r="AO464" i="5"/>
  <c r="AM23" i="4"/>
  <c r="AN23" i="4" s="1"/>
  <c r="W23" i="4"/>
  <c r="AO107" i="5"/>
  <c r="AN107" i="5"/>
  <c r="V160" i="5"/>
  <c r="U160" i="5"/>
  <c r="AO99" i="5"/>
  <c r="AN99" i="5"/>
  <c r="AM8" i="4"/>
  <c r="AN8" i="4" s="1"/>
  <c r="W8" i="4"/>
  <c r="U536" i="5"/>
  <c r="V536" i="5"/>
  <c r="V273" i="5"/>
  <c r="U273" i="5"/>
  <c r="U146" i="5"/>
  <c r="V146" i="5"/>
  <c r="U221" i="5"/>
  <c r="V221" i="5"/>
  <c r="U419" i="5"/>
  <c r="V419" i="5"/>
  <c r="V553" i="5"/>
  <c r="U553" i="5"/>
  <c r="V539" i="5"/>
  <c r="U539" i="5"/>
  <c r="V523" i="5"/>
  <c r="U523" i="5"/>
  <c r="V482" i="5"/>
  <c r="U482" i="5"/>
  <c r="U447" i="5"/>
  <c r="V447" i="5"/>
  <c r="U387" i="5"/>
  <c r="V387" i="5"/>
  <c r="V237" i="5"/>
  <c r="U237" i="5"/>
  <c r="U79" i="5"/>
  <c r="V79" i="5"/>
  <c r="V520" i="5"/>
  <c r="U520" i="5"/>
  <c r="U477" i="5"/>
  <c r="V477" i="5"/>
  <c r="U324" i="5"/>
  <c r="V324" i="5"/>
  <c r="V381" i="5"/>
  <c r="U381" i="5"/>
  <c r="V284" i="5"/>
  <c r="U284" i="5"/>
  <c r="V186" i="5"/>
  <c r="U186" i="5"/>
  <c r="U509" i="5"/>
  <c r="V509" i="5"/>
  <c r="U473" i="5"/>
  <c r="V473" i="5"/>
  <c r="U508" i="5"/>
  <c r="V508" i="5"/>
  <c r="V410" i="5"/>
  <c r="U410" i="5"/>
  <c r="U276" i="5"/>
  <c r="V276" i="5"/>
  <c r="V185" i="5"/>
  <c r="U185" i="5"/>
  <c r="U559" i="5"/>
  <c r="V559" i="5"/>
  <c r="U439" i="5"/>
  <c r="V439" i="5"/>
  <c r="U466" i="5"/>
  <c r="V466" i="5"/>
  <c r="V367" i="5"/>
  <c r="U367" i="5"/>
  <c r="U266" i="5"/>
  <c r="V266" i="5"/>
  <c r="V183" i="5"/>
  <c r="U183" i="5"/>
  <c r="U471" i="5"/>
  <c r="V471" i="5"/>
  <c r="V353" i="5"/>
  <c r="U353" i="5"/>
  <c r="V262" i="5"/>
  <c r="U262" i="5"/>
  <c r="U180" i="5"/>
  <c r="V180" i="5"/>
  <c r="U109" i="5"/>
  <c r="V109" i="5"/>
  <c r="V544" i="5"/>
  <c r="U544" i="5"/>
  <c r="V468" i="5"/>
  <c r="U468" i="5"/>
  <c r="V348" i="5"/>
  <c r="U348" i="5"/>
  <c r="U293" i="5"/>
  <c r="V293" i="5"/>
  <c r="V230" i="5"/>
  <c r="U230" i="5"/>
  <c r="V156" i="5"/>
  <c r="U156" i="5"/>
  <c r="U461" i="5"/>
  <c r="V461" i="5"/>
  <c r="V379" i="5"/>
  <c r="U379" i="5"/>
  <c r="V310" i="5"/>
  <c r="U310" i="5"/>
  <c r="U225" i="5"/>
  <c r="V225" i="5"/>
  <c r="U155" i="5"/>
  <c r="V155" i="5"/>
  <c r="V59" i="5"/>
  <c r="U59" i="5"/>
  <c r="U121" i="5"/>
  <c r="V121" i="5"/>
  <c r="V105" i="5"/>
  <c r="U105" i="5"/>
  <c r="AO91" i="5"/>
  <c r="AN91" i="5"/>
  <c r="V554" i="5"/>
  <c r="U554" i="5"/>
  <c r="AN34" i="5"/>
  <c r="AO34" i="5"/>
  <c r="AO46" i="5"/>
  <c r="AN46" i="5"/>
  <c r="AN411" i="5"/>
  <c r="AO411" i="5"/>
  <c r="AO535" i="5"/>
  <c r="AN535" i="5"/>
  <c r="AM63" i="4"/>
  <c r="AN63" i="4" s="1"/>
  <c r="W63" i="4"/>
  <c r="U150" i="5"/>
  <c r="V150" i="5"/>
  <c r="U245" i="5"/>
  <c r="V245" i="5"/>
  <c r="V93" i="5"/>
  <c r="U93" i="5"/>
  <c r="U222" i="5"/>
  <c r="V222" i="5"/>
  <c r="U191" i="5"/>
  <c r="V191" i="5"/>
  <c r="V282" i="5"/>
  <c r="U282" i="5"/>
  <c r="V364" i="5"/>
  <c r="U364" i="5"/>
  <c r="U525" i="5"/>
  <c r="V525" i="5"/>
  <c r="V318" i="5"/>
  <c r="U318" i="5"/>
  <c r="U43" i="5"/>
  <c r="V43" i="5"/>
  <c r="AP232" i="5"/>
  <c r="AQ232" i="5" s="1"/>
  <c r="AP381" i="5"/>
  <c r="AQ381" i="5" s="1"/>
  <c r="AP255" i="5"/>
  <c r="AQ255" i="5" s="1"/>
  <c r="AP531" i="5"/>
  <c r="AQ531" i="5" s="1"/>
  <c r="AP210" i="5"/>
  <c r="AQ210" i="5" s="1"/>
  <c r="AP360" i="5"/>
  <c r="AR360" i="5" s="1"/>
  <c r="AP216" i="5"/>
  <c r="AQ216" i="5" s="1"/>
  <c r="AP30" i="5"/>
  <c r="AR30" i="5" s="1"/>
  <c r="AP140" i="5"/>
  <c r="AR140" i="5" s="1"/>
  <c r="AO501" i="5"/>
  <c r="AN501" i="5"/>
  <c r="AN548" i="5"/>
  <c r="AO548" i="5"/>
  <c r="AO187" i="5"/>
  <c r="AN187" i="5"/>
  <c r="AN119" i="5"/>
  <c r="AO119" i="5"/>
  <c r="AN509" i="5"/>
  <c r="AO509" i="5"/>
  <c r="AN339" i="5"/>
  <c r="AO339" i="5"/>
  <c r="AO544" i="5"/>
  <c r="AN544" i="5"/>
  <c r="AO402" i="5"/>
  <c r="AN402" i="5"/>
  <c r="AO230" i="5"/>
  <c r="AN230" i="5"/>
  <c r="AN443" i="5"/>
  <c r="AO443" i="5"/>
  <c r="AN246" i="5"/>
  <c r="AO246" i="5"/>
  <c r="AN297" i="5"/>
  <c r="AO297" i="5"/>
  <c r="AO241" i="5"/>
  <c r="AN241" i="5"/>
  <c r="AN63" i="5"/>
  <c r="AO63" i="5"/>
  <c r="AN515" i="5"/>
  <c r="AO515" i="5"/>
  <c r="AN191" i="5"/>
  <c r="AO191" i="5"/>
  <c r="AN37" i="5"/>
  <c r="AO37" i="5"/>
  <c r="AO218" i="5"/>
  <c r="AN218" i="5"/>
  <c r="AN117" i="5"/>
  <c r="AO117" i="5"/>
  <c r="AO291" i="5"/>
  <c r="AN291" i="5"/>
  <c r="AO75" i="5"/>
  <c r="AN75" i="5"/>
  <c r="AM157" i="4"/>
  <c r="AN157" i="4" s="1"/>
  <c r="W157" i="4"/>
  <c r="X157" i="4" s="1"/>
  <c r="U192" i="5"/>
  <c r="V192" i="5"/>
  <c r="U232" i="5"/>
  <c r="V232" i="5"/>
  <c r="AN336" i="5"/>
  <c r="AO336" i="5"/>
  <c r="AN227" i="5"/>
  <c r="AO227" i="5"/>
  <c r="AN121" i="5"/>
  <c r="AO121" i="5"/>
  <c r="AN184" i="5"/>
  <c r="AO184" i="5"/>
  <c r="AN123" i="5"/>
  <c r="AO123" i="5"/>
  <c r="U485" i="5"/>
  <c r="V485" i="5"/>
  <c r="V457" i="5"/>
  <c r="U457" i="5"/>
  <c r="V181" i="5"/>
  <c r="U181" i="5"/>
  <c r="V547" i="5"/>
  <c r="U547" i="5"/>
  <c r="U142" i="5"/>
  <c r="V142" i="5"/>
  <c r="U492" i="5"/>
  <c r="V492" i="5"/>
  <c r="V542" i="5"/>
  <c r="U542" i="5"/>
  <c r="U467" i="5"/>
  <c r="V467" i="5"/>
  <c r="V445" i="5"/>
  <c r="U445" i="5"/>
  <c r="U455" i="5"/>
  <c r="V455" i="5"/>
  <c r="U357" i="5"/>
  <c r="V357" i="5"/>
  <c r="V350" i="5"/>
  <c r="U350" i="5"/>
  <c r="V306" i="5"/>
  <c r="U306" i="5"/>
  <c r="U177" i="5"/>
  <c r="V177" i="5"/>
  <c r="U423" i="5"/>
  <c r="V423" i="5"/>
  <c r="V452" i="5"/>
  <c r="U452" i="5"/>
  <c r="U399" i="5"/>
  <c r="V399" i="5"/>
  <c r="U345" i="5"/>
  <c r="V345" i="5"/>
  <c r="U135" i="5"/>
  <c r="V135" i="5"/>
  <c r="V170" i="5"/>
  <c r="U170" i="5"/>
  <c r="U397" i="5"/>
  <c r="V397" i="5"/>
  <c r="U446" i="5"/>
  <c r="V446" i="5"/>
  <c r="V441" i="5"/>
  <c r="U441" i="5"/>
  <c r="V378" i="5"/>
  <c r="U378" i="5"/>
  <c r="U334" i="5"/>
  <c r="V334" i="5"/>
  <c r="V169" i="5"/>
  <c r="U169" i="5"/>
  <c r="U524" i="5"/>
  <c r="V524" i="5"/>
  <c r="U398" i="5"/>
  <c r="V398" i="5"/>
  <c r="U417" i="5"/>
  <c r="V417" i="5"/>
  <c r="V337" i="5"/>
  <c r="U337" i="5"/>
  <c r="V332" i="5"/>
  <c r="U332" i="5"/>
  <c r="U140" i="5"/>
  <c r="V140" i="5"/>
  <c r="U442" i="5"/>
  <c r="V442" i="5"/>
  <c r="U228" i="5"/>
  <c r="V228" i="5"/>
  <c r="V321" i="5"/>
  <c r="U321" i="5"/>
  <c r="V199" i="5"/>
  <c r="U199" i="5"/>
  <c r="V85" i="5"/>
  <c r="U85" i="5"/>
  <c r="U540" i="5"/>
  <c r="V540" i="5"/>
  <c r="U438" i="5"/>
  <c r="V438" i="5"/>
  <c r="U195" i="5"/>
  <c r="V195" i="5"/>
  <c r="U261" i="5"/>
  <c r="V261" i="5"/>
  <c r="V174" i="5"/>
  <c r="U174" i="5"/>
  <c r="V106" i="5"/>
  <c r="U106" i="5"/>
  <c r="U425" i="5"/>
  <c r="V425" i="5"/>
  <c r="V340" i="5"/>
  <c r="U340" i="5"/>
  <c r="V290" i="5"/>
  <c r="U290" i="5"/>
  <c r="U243" i="5"/>
  <c r="V243" i="5"/>
  <c r="U95" i="5"/>
  <c r="V95" i="5"/>
  <c r="U52" i="5"/>
  <c r="V52" i="5"/>
  <c r="U83" i="5"/>
  <c r="V83" i="5"/>
  <c r="V89" i="5"/>
  <c r="U89" i="5"/>
  <c r="AO307" i="5"/>
  <c r="AN307" i="5"/>
  <c r="AO104" i="5"/>
  <c r="AN104" i="5"/>
  <c r="AM108" i="4"/>
  <c r="AN108" i="4" s="1"/>
  <c r="W108" i="4"/>
  <c r="Y108" i="4" s="1"/>
  <c r="Z108" i="4" s="1"/>
  <c r="AO469" i="5"/>
  <c r="AN469" i="5"/>
  <c r="AN460" i="5"/>
  <c r="AO460" i="5"/>
  <c r="AO531" i="5"/>
  <c r="AN531" i="5"/>
  <c r="AO237" i="5"/>
  <c r="AN237" i="5"/>
  <c r="V538" i="5"/>
  <c r="U538" i="5"/>
  <c r="U516" i="5"/>
  <c r="V516" i="5"/>
  <c r="U351" i="5"/>
  <c r="V351" i="5"/>
  <c r="V513" i="5"/>
  <c r="U513" i="5"/>
  <c r="U475" i="5"/>
  <c r="V475" i="5"/>
  <c r="V371" i="5"/>
  <c r="U371" i="5"/>
  <c r="AP447" i="5"/>
  <c r="AQ447" i="5" s="1"/>
  <c r="AP181" i="5"/>
  <c r="AR181" i="5" s="1"/>
  <c r="AP517" i="5"/>
  <c r="AQ517" i="5" s="1"/>
  <c r="AP426" i="5"/>
  <c r="AQ426" i="5" s="1"/>
  <c r="AP312" i="5"/>
  <c r="AQ312" i="5" s="1"/>
  <c r="AP239" i="5"/>
  <c r="AR239" i="5" s="1"/>
  <c r="AP474" i="5"/>
  <c r="AQ474" i="5" s="1"/>
  <c r="AP296" i="5"/>
  <c r="AQ296" i="5" s="1"/>
  <c r="V152" i="5"/>
  <c r="U152" i="5"/>
  <c r="AO400" i="5"/>
  <c r="AN400" i="5"/>
  <c r="U488" i="5"/>
  <c r="V488" i="5"/>
  <c r="AO353" i="5"/>
  <c r="AN353" i="5"/>
  <c r="AN439" i="5"/>
  <c r="AO439" i="5"/>
  <c r="AO523" i="5"/>
  <c r="AN523" i="5"/>
  <c r="AN479" i="5"/>
  <c r="AO479" i="5"/>
  <c r="AN466" i="5"/>
  <c r="AO466" i="5"/>
  <c r="AN268" i="5"/>
  <c r="AO268" i="5"/>
  <c r="AO513" i="5"/>
  <c r="AN513" i="5"/>
  <c r="AO277" i="5"/>
  <c r="AN277" i="5"/>
  <c r="AN158" i="5"/>
  <c r="AO158" i="5"/>
  <c r="AO382" i="5"/>
  <c r="AN382" i="5"/>
  <c r="AO242" i="5"/>
  <c r="AN242" i="5"/>
  <c r="AO494" i="5"/>
  <c r="AN494" i="5"/>
  <c r="AO327" i="5"/>
  <c r="AN327" i="5"/>
  <c r="AO30" i="5"/>
  <c r="AN30" i="5"/>
  <c r="AN333" i="5"/>
  <c r="AO333" i="5"/>
  <c r="AN217" i="5"/>
  <c r="AO217" i="5"/>
  <c r="AN541" i="5"/>
  <c r="AO541" i="5"/>
  <c r="AN309" i="5"/>
  <c r="AO309" i="5"/>
  <c r="AO102" i="5"/>
  <c r="AN102" i="5"/>
  <c r="AN215" i="5"/>
  <c r="AO215" i="5"/>
  <c r="AO67" i="5"/>
  <c r="AN67" i="5"/>
  <c r="AM103" i="4"/>
  <c r="AN103" i="4" s="1"/>
  <c r="W103" i="4"/>
  <c r="V416" i="5"/>
  <c r="U416" i="5"/>
  <c r="AN153" i="5"/>
  <c r="AO153" i="5"/>
  <c r="V32" i="5"/>
  <c r="U32" i="5"/>
  <c r="W45" i="4"/>
  <c r="AM45" i="4"/>
  <c r="AN45" i="4" s="1"/>
  <c r="U360" i="5"/>
  <c r="V360" i="5"/>
  <c r="AO387" i="5"/>
  <c r="AN387" i="5"/>
  <c r="U392" i="5"/>
  <c r="V392" i="5"/>
  <c r="V373" i="5"/>
  <c r="U373" i="5"/>
  <c r="U469" i="5"/>
  <c r="V469" i="5"/>
  <c r="V558" i="5"/>
  <c r="U558" i="5"/>
  <c r="U394" i="5"/>
  <c r="V394" i="5"/>
  <c r="V535" i="5"/>
  <c r="U535" i="5"/>
  <c r="U521" i="5"/>
  <c r="V521" i="5"/>
  <c r="U486" i="5"/>
  <c r="V486" i="5"/>
  <c r="U500" i="5"/>
  <c r="V500" i="5"/>
  <c r="U530" i="5"/>
  <c r="V530" i="5"/>
  <c r="V511" i="5"/>
  <c r="U511" i="5"/>
  <c r="V402" i="5"/>
  <c r="U402" i="5"/>
  <c r="U286" i="5"/>
  <c r="V286" i="5"/>
  <c r="U270" i="5"/>
  <c r="V270" i="5"/>
  <c r="U138" i="5"/>
  <c r="V138" i="5"/>
  <c r="V528" i="5"/>
  <c r="U528" i="5"/>
  <c r="U413" i="5"/>
  <c r="V413" i="5"/>
  <c r="U363" i="5"/>
  <c r="V363" i="5"/>
  <c r="V283" i="5"/>
  <c r="U283" i="5"/>
  <c r="V301" i="5"/>
  <c r="U301" i="5"/>
  <c r="V173" i="5"/>
  <c r="U173" i="5"/>
  <c r="U449" i="5"/>
  <c r="V449" i="5"/>
  <c r="U401" i="5"/>
  <c r="V401" i="5"/>
  <c r="V287" i="5"/>
  <c r="U287" i="5"/>
  <c r="V342" i="5"/>
  <c r="U342" i="5"/>
  <c r="U295" i="5"/>
  <c r="V295" i="5"/>
  <c r="V171" i="5"/>
  <c r="U171" i="5"/>
  <c r="V406" i="5"/>
  <c r="U406" i="5"/>
  <c r="U522" i="5"/>
  <c r="V522" i="5"/>
  <c r="U388" i="5"/>
  <c r="V388" i="5"/>
  <c r="U267" i="5"/>
  <c r="V267" i="5"/>
  <c r="V289" i="5"/>
  <c r="U289" i="5"/>
  <c r="V149" i="5"/>
  <c r="U149" i="5"/>
  <c r="U533" i="5"/>
  <c r="V533" i="5"/>
  <c r="V389" i="5"/>
  <c r="U389" i="5"/>
  <c r="U302" i="5"/>
  <c r="V302" i="5"/>
  <c r="U223" i="5"/>
  <c r="V223" i="5"/>
  <c r="U76" i="5"/>
  <c r="V76" i="5"/>
  <c r="V489" i="5"/>
  <c r="U489" i="5"/>
  <c r="U532" i="5"/>
  <c r="V532" i="5"/>
  <c r="V386" i="5"/>
  <c r="U386" i="5"/>
  <c r="V331" i="5"/>
  <c r="U331" i="5"/>
  <c r="U166" i="5"/>
  <c r="V166" i="5"/>
  <c r="U107" i="5"/>
  <c r="V107" i="5"/>
  <c r="V374" i="5"/>
  <c r="U374" i="5"/>
  <c r="U162" i="5"/>
  <c r="V162" i="5"/>
  <c r="U259" i="5"/>
  <c r="V259" i="5"/>
  <c r="V159" i="5"/>
  <c r="U159" i="5"/>
  <c r="V35" i="5"/>
  <c r="U35" i="5"/>
  <c r="U117" i="5"/>
  <c r="V117" i="5"/>
  <c r="U25" i="5"/>
  <c r="V25" i="5"/>
  <c r="U55" i="5"/>
  <c r="V55" i="5"/>
  <c r="AN379" i="5"/>
  <c r="AO379" i="5"/>
  <c r="V408" i="5"/>
  <c r="U408" i="5"/>
  <c r="AM54" i="4"/>
  <c r="AN54" i="4" s="1"/>
  <c r="W54" i="4"/>
  <c r="X54" i="4" s="1"/>
  <c r="AJ54" i="4" s="1"/>
  <c r="AO193" i="5"/>
  <c r="AN193" i="5"/>
  <c r="B102" i="2"/>
  <c r="B103" i="2" s="1"/>
  <c r="B73" i="2"/>
  <c r="B157" i="2"/>
  <c r="B92" i="2"/>
  <c r="B142" i="2"/>
  <c r="AE98" i="4"/>
  <c r="AH139" i="4"/>
  <c r="AH83" i="4"/>
  <c r="AH110" i="4"/>
  <c r="AH130" i="4"/>
  <c r="AH131" i="4"/>
  <c r="AH118" i="4"/>
  <c r="AH44" i="4"/>
  <c r="AH45" i="4"/>
  <c r="AH108" i="4"/>
  <c r="AH19" i="4"/>
  <c r="AH81" i="4"/>
  <c r="AH113" i="4"/>
  <c r="AH17" i="4"/>
  <c r="AH26" i="4"/>
  <c r="AH48" i="4"/>
  <c r="AH80" i="4"/>
  <c r="AH31" i="4"/>
  <c r="AH41" i="4"/>
  <c r="AH13" i="4"/>
  <c r="AH62" i="4"/>
  <c r="AH82" i="4"/>
  <c r="AH32" i="4"/>
  <c r="AH9" i="4"/>
  <c r="AH124" i="4"/>
  <c r="AH58" i="4"/>
  <c r="AH146" i="4"/>
  <c r="AH156" i="4"/>
  <c r="AH33" i="4"/>
  <c r="AH154" i="4"/>
  <c r="AH84" i="4"/>
  <c r="AH27" i="4"/>
  <c r="AH68" i="4"/>
  <c r="AH123" i="4"/>
  <c r="AH150" i="4"/>
  <c r="AH72" i="4"/>
  <c r="AH147" i="4"/>
  <c r="AH136" i="4"/>
  <c r="AH55" i="4"/>
  <c r="AH78" i="4"/>
  <c r="AH121" i="4"/>
  <c r="AH151" i="4"/>
  <c r="AH30" i="4"/>
  <c r="AH95" i="4"/>
  <c r="AH64" i="4"/>
  <c r="AH137" i="4"/>
  <c r="AH54" i="4"/>
  <c r="AH135" i="4"/>
  <c r="AH76" i="4"/>
  <c r="AH85" i="4"/>
  <c r="AH152" i="4"/>
  <c r="AH104" i="4"/>
  <c r="AH114" i="4"/>
  <c r="AH98" i="4"/>
  <c r="AH112" i="4"/>
  <c r="AH56" i="4"/>
  <c r="AH88" i="4"/>
  <c r="AH86" i="4"/>
  <c r="AH47" i="4"/>
  <c r="AH143" i="4"/>
  <c r="AH126" i="4"/>
  <c r="AH52" i="4"/>
  <c r="AH93" i="4"/>
  <c r="AH92" i="4"/>
  <c r="AH51" i="4"/>
  <c r="AH89" i="4"/>
  <c r="AH119" i="4"/>
  <c r="AH50" i="4"/>
  <c r="AH60" i="4"/>
  <c r="AH120" i="4"/>
  <c r="AH40" i="4"/>
  <c r="AH116" i="4"/>
  <c r="AH69" i="4"/>
  <c r="AR527" i="5"/>
  <c r="AQ494" i="5"/>
  <c r="AR494" i="5"/>
  <c r="AQ24" i="5"/>
  <c r="AQ516" i="5"/>
  <c r="AR516" i="5"/>
  <c r="AQ539" i="5"/>
  <c r="AR539" i="5"/>
  <c r="AQ69" i="5"/>
  <c r="AR69" i="5"/>
  <c r="AQ371" i="5"/>
  <c r="AR371" i="5"/>
  <c r="AQ465" i="5"/>
  <c r="AR465" i="5"/>
  <c r="AQ383" i="5"/>
  <c r="AR383" i="5"/>
  <c r="AR244" i="5"/>
  <c r="AQ354" i="5"/>
  <c r="AR354" i="5"/>
  <c r="AQ105" i="5"/>
  <c r="AQ222" i="5"/>
  <c r="AR222" i="5"/>
  <c r="AR133" i="5"/>
  <c r="AQ133" i="5"/>
  <c r="AR26" i="5"/>
  <c r="AQ26" i="5"/>
  <c r="AQ556" i="5"/>
  <c r="AR556" i="5"/>
  <c r="AR356" i="5"/>
  <c r="AQ356" i="5"/>
  <c r="AQ386" i="5"/>
  <c r="AR386" i="5"/>
  <c r="AQ437" i="5"/>
  <c r="AR437" i="5"/>
  <c r="AR227" i="5"/>
  <c r="AQ227" i="5"/>
  <c r="AQ512" i="5"/>
  <c r="AR512" i="5"/>
  <c r="AR234" i="5"/>
  <c r="AQ234" i="5"/>
  <c r="AR307" i="5"/>
  <c r="AQ307" i="5"/>
  <c r="AR355" i="5"/>
  <c r="AQ355" i="5"/>
  <c r="AQ345" i="5"/>
  <c r="AR187" i="5"/>
  <c r="AQ187" i="5"/>
  <c r="AR324" i="5"/>
  <c r="AR64" i="5"/>
  <c r="AQ372" i="5"/>
  <c r="AR178" i="5"/>
  <c r="AQ178" i="5"/>
  <c r="AQ520" i="5"/>
  <c r="AR520" i="5"/>
  <c r="AQ118" i="5"/>
  <c r="AQ238" i="5"/>
  <c r="AR238" i="5"/>
  <c r="AR365" i="5"/>
  <c r="AQ169" i="5"/>
  <c r="AR169" i="5"/>
  <c r="AR396" i="5"/>
  <c r="AQ396" i="5"/>
  <c r="AQ314" i="5"/>
  <c r="AR314" i="5"/>
  <c r="AR301" i="5"/>
  <c r="AQ301" i="5"/>
  <c r="AQ506" i="5"/>
  <c r="AR506" i="5"/>
  <c r="AQ173" i="5"/>
  <c r="AQ119" i="5"/>
  <c r="AR119" i="5"/>
  <c r="AR214" i="5"/>
  <c r="AQ214" i="5"/>
  <c r="AQ432" i="5"/>
  <c r="AR432" i="5"/>
  <c r="AQ379" i="5"/>
  <c r="AR379" i="5"/>
  <c r="AQ497" i="5"/>
  <c r="AQ557" i="5"/>
  <c r="AR557" i="5"/>
  <c r="AQ147" i="5"/>
  <c r="AQ332" i="5"/>
  <c r="AR332" i="5"/>
  <c r="AR146" i="5"/>
  <c r="AQ451" i="5"/>
  <c r="AR451" i="5"/>
  <c r="AQ157" i="5"/>
  <c r="AR157" i="5"/>
  <c r="AQ304" i="5"/>
  <c r="AR304" i="5"/>
  <c r="AR346" i="5"/>
  <c r="AQ521" i="5"/>
  <c r="AR521" i="5"/>
  <c r="AQ166" i="5"/>
  <c r="AR410" i="5"/>
  <c r="AQ410" i="5"/>
  <c r="AR135" i="5"/>
  <c r="AQ135" i="5"/>
  <c r="AR153" i="5"/>
  <c r="AQ153" i="5"/>
  <c r="AQ461" i="5"/>
  <c r="AR461" i="5"/>
  <c r="AQ450" i="5"/>
  <c r="AR450" i="5"/>
  <c r="AQ189" i="5"/>
  <c r="AQ470" i="5"/>
  <c r="AQ245" i="5"/>
  <c r="AR245" i="5"/>
  <c r="AQ270" i="5"/>
  <c r="AR270" i="5"/>
  <c r="AQ382" i="5"/>
  <c r="AR382" i="5"/>
  <c r="AQ148" i="5"/>
  <c r="AR148" i="5"/>
  <c r="AQ202" i="5"/>
  <c r="AR202" i="5"/>
  <c r="AQ510" i="5"/>
  <c r="AR510" i="5"/>
  <c r="AQ398" i="5"/>
  <c r="AR398" i="5"/>
  <c r="AK55" i="5"/>
  <c r="AL55" i="5"/>
  <c r="AM51" i="4"/>
  <c r="AN51" i="4" s="1"/>
  <c r="W51" i="4"/>
  <c r="Y51" i="4" s="1"/>
  <c r="Z51" i="4" s="1"/>
  <c r="AL99" i="5"/>
  <c r="AK99" i="5"/>
  <c r="V7" i="5"/>
  <c r="U7" i="5"/>
  <c r="AM28" i="4"/>
  <c r="AN28" i="4" s="1"/>
  <c r="W28" i="4"/>
  <c r="Y28" i="4" s="1"/>
  <c r="Z28" i="4" s="1"/>
  <c r="AK240" i="5"/>
  <c r="AL240" i="5"/>
  <c r="AR192" i="5"/>
  <c r="AQ192" i="5"/>
  <c r="AK455" i="5"/>
  <c r="AL455" i="5"/>
  <c r="AK411" i="5"/>
  <c r="AL411" i="5"/>
  <c r="AP411" i="5"/>
  <c r="AK464" i="5"/>
  <c r="AL464" i="5"/>
  <c r="AL71" i="5"/>
  <c r="AK71" i="5"/>
  <c r="AP71" i="5"/>
  <c r="AP167" i="5"/>
  <c r="AK167" i="5"/>
  <c r="AL167" i="5"/>
  <c r="AK435" i="5"/>
  <c r="AL435" i="5"/>
  <c r="AP435" i="5"/>
  <c r="AL233" i="5"/>
  <c r="AK233" i="5"/>
  <c r="AK276" i="5"/>
  <c r="AL276" i="5"/>
  <c r="AL386" i="5"/>
  <c r="AK386" i="5"/>
  <c r="AK375" i="5"/>
  <c r="AL375" i="5"/>
  <c r="AP375" i="5"/>
  <c r="AK285" i="5"/>
  <c r="AL285" i="5"/>
  <c r="AL362" i="5"/>
  <c r="AP362" i="5"/>
  <c r="AK362" i="5"/>
  <c r="AK229" i="5"/>
  <c r="AL229" i="5"/>
  <c r="AK49" i="5"/>
  <c r="AP49" i="5"/>
  <c r="AL49" i="5"/>
  <c r="AP518" i="5"/>
  <c r="AL518" i="5"/>
  <c r="AK518" i="5"/>
  <c r="AK363" i="5"/>
  <c r="AL363" i="5"/>
  <c r="AK185" i="5"/>
  <c r="AP185" i="5"/>
  <c r="AL185" i="5"/>
  <c r="AK471" i="5"/>
  <c r="AL471" i="5"/>
  <c r="AP471" i="5"/>
  <c r="AL470" i="5"/>
  <c r="AK470" i="5"/>
  <c r="AK255" i="5"/>
  <c r="AL255" i="5"/>
  <c r="AL92" i="5"/>
  <c r="AK92" i="5"/>
  <c r="AK472" i="5"/>
  <c r="AL472" i="5"/>
  <c r="AP472" i="5"/>
  <c r="AK348" i="5"/>
  <c r="AL348" i="5"/>
  <c r="AL238" i="5"/>
  <c r="AK238" i="5"/>
  <c r="AK29" i="5"/>
  <c r="AL29" i="5"/>
  <c r="AK443" i="5"/>
  <c r="AL443" i="5"/>
  <c r="AP443" i="5"/>
  <c r="AP292" i="5"/>
  <c r="AL292" i="5"/>
  <c r="AK292" i="5"/>
  <c r="AK80" i="5"/>
  <c r="AP80" i="5"/>
  <c r="AL80" i="5"/>
  <c r="AK532" i="5"/>
  <c r="AP532" i="5"/>
  <c r="AL532" i="5"/>
  <c r="AL387" i="5"/>
  <c r="AK387" i="5"/>
  <c r="AK243" i="5"/>
  <c r="AL243" i="5"/>
  <c r="AP243" i="5"/>
  <c r="AK75" i="5"/>
  <c r="AL75" i="5"/>
  <c r="AP75" i="5"/>
  <c r="AK62" i="5"/>
  <c r="AP62" i="5"/>
  <c r="AL62" i="5"/>
  <c r="AL526" i="5"/>
  <c r="AK526" i="5"/>
  <c r="AP526" i="5"/>
  <c r="AK388" i="5"/>
  <c r="AL388" i="5"/>
  <c r="AP388" i="5"/>
  <c r="AK237" i="5"/>
  <c r="AL237" i="5"/>
  <c r="AL28" i="5"/>
  <c r="AK28" i="5"/>
  <c r="AP28" i="5"/>
  <c r="AK523" i="5"/>
  <c r="AL523" i="5"/>
  <c r="AK316" i="5"/>
  <c r="AL316" i="5"/>
  <c r="AK236" i="5"/>
  <c r="AL236" i="5"/>
  <c r="AP236" i="5"/>
  <c r="AL125" i="5"/>
  <c r="AK125" i="5"/>
  <c r="AP125" i="5"/>
  <c r="AK452" i="5"/>
  <c r="AL452" i="5"/>
  <c r="AK428" i="5"/>
  <c r="AL428" i="5"/>
  <c r="AL252" i="5"/>
  <c r="AK252" i="5"/>
  <c r="AK156" i="5"/>
  <c r="AP156" i="5"/>
  <c r="AL156" i="5"/>
  <c r="AL46" i="5"/>
  <c r="AK46" i="5"/>
  <c r="AP46" i="5"/>
  <c r="AL508" i="5"/>
  <c r="AK508" i="5"/>
  <c r="AP508" i="5"/>
  <c r="AL412" i="5"/>
  <c r="AK412" i="5"/>
  <c r="AK177" i="5"/>
  <c r="AL177" i="5"/>
  <c r="AP177" i="5"/>
  <c r="AK110" i="5"/>
  <c r="AL110" i="5"/>
  <c r="AL42" i="5"/>
  <c r="AK42" i="5"/>
  <c r="AL502" i="5"/>
  <c r="AK502" i="5"/>
  <c r="AP502" i="5"/>
  <c r="AK346" i="5"/>
  <c r="AL346" i="5"/>
  <c r="AK189" i="5"/>
  <c r="AL189" i="5"/>
  <c r="AK68" i="5"/>
  <c r="AL68" i="5"/>
  <c r="AP68" i="5"/>
  <c r="AL251" i="5"/>
  <c r="AK251" i="5"/>
  <c r="AP251" i="5"/>
  <c r="AK102" i="5"/>
  <c r="AL102" i="5"/>
  <c r="AP102" i="5"/>
  <c r="AK26" i="5"/>
  <c r="AL26" i="5"/>
  <c r="AK479" i="5"/>
  <c r="AL479" i="5"/>
  <c r="AP479" i="5"/>
  <c r="AM53" i="4"/>
  <c r="AN53" i="4" s="1"/>
  <c r="W53" i="4"/>
  <c r="Y53" i="4" s="1"/>
  <c r="Z53" i="4" s="1"/>
  <c r="AF53" i="4" s="1"/>
  <c r="W120" i="4"/>
  <c r="Y120" i="4" s="1"/>
  <c r="AM120" i="4"/>
  <c r="AN120" i="4" s="1"/>
  <c r="AL369" i="5"/>
  <c r="AK369" i="5"/>
  <c r="AP369" i="5"/>
  <c r="AK376" i="5"/>
  <c r="AP376" i="5"/>
  <c r="AL376" i="5"/>
  <c r="AL95" i="5"/>
  <c r="AK95" i="5"/>
  <c r="AP95" i="5"/>
  <c r="AK351" i="5"/>
  <c r="AL351" i="5"/>
  <c r="Y12" i="5"/>
  <c r="X12" i="5"/>
  <c r="AK152" i="5"/>
  <c r="AP152" i="5"/>
  <c r="AL152" i="5"/>
  <c r="AR237" i="5"/>
  <c r="AN7" i="5"/>
  <c r="AO7" i="5"/>
  <c r="AM90" i="4"/>
  <c r="AN90" i="4" s="1"/>
  <c r="W90" i="4"/>
  <c r="Y90" i="4" s="1"/>
  <c r="AQ252" i="5"/>
  <c r="AR252" i="5"/>
  <c r="AM114" i="4"/>
  <c r="AN114" i="4" s="1"/>
  <c r="W114" i="4"/>
  <c r="Y114" i="4" s="1"/>
  <c r="Z114" i="4" s="1"/>
  <c r="AM113" i="4"/>
  <c r="AN113" i="4" s="1"/>
  <c r="W113" i="4"/>
  <c r="Y113" i="4" s="1"/>
  <c r="AQ405" i="5"/>
  <c r="AR405" i="5"/>
  <c r="AR483" i="5"/>
  <c r="AK416" i="5"/>
  <c r="AL416" i="5"/>
  <c r="AP416" i="5"/>
  <c r="AI7" i="5"/>
  <c r="AH7" i="5"/>
  <c r="AP7" i="5"/>
  <c r="AP431" i="5"/>
  <c r="AL431" i="5"/>
  <c r="AK431" i="5"/>
  <c r="AL353" i="5"/>
  <c r="AK353" i="5"/>
  <c r="AP353" i="5"/>
  <c r="AK113" i="5"/>
  <c r="AL113" i="5"/>
  <c r="AK534" i="5"/>
  <c r="AL534" i="5"/>
  <c r="AP534" i="5"/>
  <c r="AL31" i="5"/>
  <c r="AK31" i="5"/>
  <c r="AH99" i="4"/>
  <c r="AH65" i="4"/>
  <c r="Z98" i="4"/>
  <c r="AF98" i="4" s="1"/>
  <c r="AL81" i="5"/>
  <c r="AK81" i="5"/>
  <c r="AK160" i="5"/>
  <c r="AL160" i="5"/>
  <c r="AK135" i="5"/>
  <c r="AL135" i="5"/>
  <c r="AH153" i="4"/>
  <c r="AP452" i="5"/>
  <c r="AK531" i="5"/>
  <c r="AL531" i="5"/>
  <c r="AP208" i="5"/>
  <c r="AK208" i="5"/>
  <c r="AL208" i="5"/>
  <c r="AK389" i="5"/>
  <c r="AL389" i="5"/>
  <c r="AK501" i="5"/>
  <c r="AP501" i="5"/>
  <c r="AL501" i="5"/>
  <c r="AL374" i="5"/>
  <c r="AK374" i="5"/>
  <c r="AP374" i="5"/>
  <c r="AL215" i="5"/>
  <c r="AK215" i="5"/>
  <c r="AP215" i="5"/>
  <c r="AL24" i="5"/>
  <c r="AK24" i="5"/>
  <c r="AK466" i="5"/>
  <c r="AL466" i="5"/>
  <c r="AL325" i="5"/>
  <c r="AP325" i="5"/>
  <c r="AK325" i="5"/>
  <c r="AK123" i="5"/>
  <c r="AL123" i="5"/>
  <c r="AP123" i="5"/>
  <c r="AP468" i="5"/>
  <c r="AK468" i="5"/>
  <c r="AL468" i="5"/>
  <c r="AK407" i="5"/>
  <c r="AL407" i="5"/>
  <c r="AP407" i="5"/>
  <c r="AK284" i="5"/>
  <c r="AL284" i="5"/>
  <c r="AK73" i="5"/>
  <c r="AL73" i="5"/>
  <c r="AP73" i="5"/>
  <c r="AL414" i="5"/>
  <c r="AK414" i="5"/>
  <c r="AP414" i="5"/>
  <c r="AL408" i="5"/>
  <c r="AK408" i="5"/>
  <c r="AP408" i="5"/>
  <c r="AK196" i="5"/>
  <c r="AL196" i="5"/>
  <c r="AP196" i="5"/>
  <c r="AK557" i="5"/>
  <c r="AL557" i="5"/>
  <c r="AK505" i="5"/>
  <c r="AL505" i="5"/>
  <c r="AP505" i="5"/>
  <c r="AL315" i="5"/>
  <c r="AK315" i="5"/>
  <c r="AP315" i="5"/>
  <c r="AL128" i="5"/>
  <c r="AK128" i="5"/>
  <c r="AK538" i="5"/>
  <c r="AL538" i="5"/>
  <c r="AP538" i="5"/>
  <c r="AL406" i="5"/>
  <c r="AK406" i="5"/>
  <c r="AK181" i="5"/>
  <c r="AL181" i="5"/>
  <c r="AL63" i="5"/>
  <c r="AK63" i="5"/>
  <c r="AP63" i="5"/>
  <c r="AK39" i="5"/>
  <c r="AL39" i="5"/>
  <c r="AP39" i="5"/>
  <c r="AK437" i="5"/>
  <c r="AL437" i="5"/>
  <c r="AK434" i="5"/>
  <c r="AL434" i="5"/>
  <c r="AK204" i="5"/>
  <c r="AL204" i="5"/>
  <c r="AP204" i="5"/>
  <c r="AK514" i="5"/>
  <c r="AL514" i="5"/>
  <c r="AP514" i="5"/>
  <c r="AK492" i="5"/>
  <c r="AL492" i="5"/>
  <c r="AL286" i="5"/>
  <c r="AK286" i="5"/>
  <c r="AL172" i="5"/>
  <c r="AK172" i="5"/>
  <c r="AP172" i="5"/>
  <c r="AK85" i="5"/>
  <c r="AL85" i="5"/>
  <c r="AP85" i="5"/>
  <c r="AK552" i="5"/>
  <c r="AL552" i="5"/>
  <c r="AL381" i="5"/>
  <c r="AK381" i="5"/>
  <c r="AL322" i="5"/>
  <c r="AP322" i="5"/>
  <c r="AK322" i="5"/>
  <c r="AK164" i="5"/>
  <c r="AL164" i="5"/>
  <c r="AK497" i="5"/>
  <c r="AL497" i="5"/>
  <c r="AL418" i="5"/>
  <c r="AK418" i="5"/>
  <c r="AL356" i="5"/>
  <c r="AK356" i="5"/>
  <c r="AK305" i="5"/>
  <c r="AL305" i="5"/>
  <c r="AK149" i="5"/>
  <c r="AL149" i="5"/>
  <c r="AP44" i="5"/>
  <c r="AK44" i="5"/>
  <c r="AL44" i="5"/>
  <c r="AL506" i="5"/>
  <c r="AK506" i="5"/>
  <c r="AK333" i="5"/>
  <c r="AL333" i="5"/>
  <c r="AL234" i="5"/>
  <c r="AK234" i="5"/>
  <c r="AL38" i="5"/>
  <c r="AK38" i="5"/>
  <c r="AL329" i="5"/>
  <c r="AK329" i="5"/>
  <c r="AP329" i="5"/>
  <c r="AL141" i="5"/>
  <c r="AK141" i="5"/>
  <c r="AK256" i="5"/>
  <c r="AL256" i="5"/>
  <c r="AK447" i="5"/>
  <c r="AL447" i="5"/>
  <c r="W49" i="4"/>
  <c r="Y49" i="4" s="1"/>
  <c r="AM49" i="4"/>
  <c r="AN49" i="4" s="1"/>
  <c r="AL112" i="5"/>
  <c r="AK112" i="5"/>
  <c r="AM92" i="4"/>
  <c r="AN92" i="4" s="1"/>
  <c r="W92" i="4"/>
  <c r="Y92" i="4" s="1"/>
  <c r="Z92" i="4" s="1"/>
  <c r="AP12" i="5"/>
  <c r="AI12" i="5"/>
  <c r="AH12" i="5"/>
  <c r="AP164" i="5"/>
  <c r="AP305" i="5"/>
  <c r="AK459" i="5"/>
  <c r="AL459" i="5"/>
  <c r="AP459" i="5"/>
  <c r="AK88" i="5"/>
  <c r="AL88" i="5"/>
  <c r="AP88" i="5"/>
  <c r="AL541" i="5"/>
  <c r="AK541" i="5"/>
  <c r="AP541" i="5"/>
  <c r="AR129" i="5"/>
  <c r="AQ129" i="5"/>
  <c r="AM50" i="4"/>
  <c r="AN50" i="4" s="1"/>
  <c r="W50" i="4"/>
  <c r="Y50" i="4" s="1"/>
  <c r="Z50" i="4" s="1"/>
  <c r="AL56" i="5"/>
  <c r="AK56" i="5"/>
  <c r="AL144" i="5"/>
  <c r="AK144" i="5"/>
  <c r="AK368" i="5"/>
  <c r="AL368" i="5"/>
  <c r="AK7" i="5"/>
  <c r="AL7" i="5"/>
  <c r="AQ175" i="5"/>
  <c r="AR175" i="5"/>
  <c r="AR335" i="5"/>
  <c r="AQ335" i="5"/>
  <c r="AQ380" i="5"/>
  <c r="AQ51" i="5"/>
  <c r="AR51" i="5"/>
  <c r="AM122" i="4"/>
  <c r="AN122" i="4" s="1"/>
  <c r="W122" i="4"/>
  <c r="Y122" i="4" s="1"/>
  <c r="Z122" i="4" s="1"/>
  <c r="AK525" i="5"/>
  <c r="AL525" i="5"/>
  <c r="W48" i="4"/>
  <c r="Y48" i="4" s="1"/>
  <c r="AK489" i="5"/>
  <c r="AL489" i="5"/>
  <c r="AP489" i="5"/>
  <c r="AM89" i="4"/>
  <c r="AN89" i="4" s="1"/>
  <c r="W89" i="4"/>
  <c r="Y89" i="4" s="1"/>
  <c r="Z89" i="4" s="1"/>
  <c r="AF89" i="4" s="1"/>
  <c r="AM78" i="4"/>
  <c r="AN78" i="4" s="1"/>
  <c r="W78" i="4"/>
  <c r="Y78" i="4" s="1"/>
  <c r="Z78" i="4" s="1"/>
  <c r="AF78" i="4" s="1"/>
  <c r="AK89" i="5"/>
  <c r="AL89" i="5"/>
  <c r="AP399" i="5"/>
  <c r="AK399" i="5"/>
  <c r="AL399" i="5"/>
  <c r="AM119" i="4"/>
  <c r="AN119" i="4" s="1"/>
  <c r="W119" i="4"/>
  <c r="Y119" i="4" s="1"/>
  <c r="Z119" i="4" s="1"/>
  <c r="AK449" i="5"/>
  <c r="AL449" i="5"/>
  <c r="AK359" i="5"/>
  <c r="AL359" i="5"/>
  <c r="AM138" i="4"/>
  <c r="AN138" i="4" s="1"/>
  <c r="W138" i="4"/>
  <c r="Y138" i="4" s="1"/>
  <c r="Z138" i="4" s="1"/>
  <c r="AM36" i="4"/>
  <c r="AN36" i="4" s="1"/>
  <c r="W36" i="4"/>
  <c r="Y36" i="4" s="1"/>
  <c r="Z36" i="4" s="1"/>
  <c r="AF36" i="4" s="1"/>
  <c r="AP412" i="5"/>
  <c r="AK495" i="5"/>
  <c r="AL495" i="5"/>
  <c r="AK536" i="5"/>
  <c r="AL536" i="5"/>
  <c r="AL493" i="5"/>
  <c r="AK493" i="5"/>
  <c r="AL433" i="5"/>
  <c r="AP433" i="5"/>
  <c r="AK433" i="5"/>
  <c r="AL427" i="5"/>
  <c r="AP427" i="5"/>
  <c r="AK427" i="5"/>
  <c r="AK162" i="5"/>
  <c r="AL162" i="5"/>
  <c r="AL543" i="5"/>
  <c r="AK543" i="5"/>
  <c r="AP543" i="5"/>
  <c r="AP288" i="5"/>
  <c r="AL288" i="5"/>
  <c r="AK288" i="5"/>
  <c r="AK245" i="5"/>
  <c r="AL245" i="5"/>
  <c r="AK87" i="5"/>
  <c r="AL87" i="5"/>
  <c r="AL261" i="5"/>
  <c r="AK261" i="5"/>
  <c r="AK323" i="5"/>
  <c r="AL323" i="5"/>
  <c r="AP323" i="5"/>
  <c r="AL209" i="5"/>
  <c r="AK209" i="5"/>
  <c r="AP209" i="5"/>
  <c r="AK66" i="5"/>
  <c r="AL66" i="5"/>
  <c r="AK503" i="5"/>
  <c r="AL503" i="5"/>
  <c r="AP503" i="5"/>
  <c r="AL344" i="5"/>
  <c r="AP344" i="5"/>
  <c r="AK344" i="5"/>
  <c r="AL168" i="5"/>
  <c r="AK168" i="5"/>
  <c r="AP168" i="5"/>
  <c r="AL554" i="5"/>
  <c r="AK554" i="5"/>
  <c r="AP554" i="5"/>
  <c r="AK444" i="5"/>
  <c r="AL444" i="5"/>
  <c r="AK248" i="5"/>
  <c r="AL248" i="5"/>
  <c r="AP248" i="5"/>
  <c r="AL104" i="5"/>
  <c r="AK104" i="5"/>
  <c r="AK458" i="5"/>
  <c r="AL458" i="5"/>
  <c r="AL336" i="5"/>
  <c r="AK336" i="5"/>
  <c r="AP336" i="5"/>
  <c r="AK219" i="5"/>
  <c r="AL219" i="5"/>
  <c r="AL25" i="5"/>
  <c r="AK25" i="5"/>
  <c r="AK23" i="5"/>
  <c r="AL23" i="5"/>
  <c r="AL266" i="5"/>
  <c r="AK266" i="5"/>
  <c r="AP266" i="5"/>
  <c r="AK377" i="5"/>
  <c r="AL377" i="5"/>
  <c r="AP377" i="5"/>
  <c r="AP179" i="5"/>
  <c r="AK179" i="5"/>
  <c r="AL179" i="5"/>
  <c r="AL462" i="5"/>
  <c r="AK462" i="5"/>
  <c r="AK429" i="5"/>
  <c r="AL429" i="5"/>
  <c r="AP429" i="5"/>
  <c r="AL258" i="5"/>
  <c r="AK258" i="5"/>
  <c r="AK228" i="5"/>
  <c r="AL228" i="5"/>
  <c r="AP228" i="5"/>
  <c r="AL60" i="5"/>
  <c r="AK60" i="5"/>
  <c r="AP60" i="5"/>
  <c r="AK485" i="5"/>
  <c r="AL485" i="5"/>
  <c r="AK300" i="5"/>
  <c r="AL300" i="5"/>
  <c r="AK310" i="5"/>
  <c r="AL310" i="5"/>
  <c r="AP310" i="5"/>
  <c r="AL114" i="5"/>
  <c r="AP114" i="5"/>
  <c r="AK114" i="5"/>
  <c r="AK535" i="5"/>
  <c r="AL535" i="5"/>
  <c r="AK482" i="5"/>
  <c r="AL482" i="5"/>
  <c r="AP482" i="5"/>
  <c r="AL340" i="5"/>
  <c r="AK340" i="5"/>
  <c r="AP269" i="5"/>
  <c r="AK269" i="5"/>
  <c r="AL269" i="5"/>
  <c r="AL118" i="5"/>
  <c r="AK118" i="5"/>
  <c r="AK486" i="5"/>
  <c r="AL486" i="5"/>
  <c r="AL446" i="5"/>
  <c r="AK446" i="5"/>
  <c r="AP446" i="5"/>
  <c r="AK221" i="5"/>
  <c r="AL221" i="5"/>
  <c r="AP242" i="5"/>
  <c r="AK242" i="5"/>
  <c r="AL242" i="5"/>
  <c r="AL370" i="5"/>
  <c r="AK370" i="5"/>
  <c r="AL294" i="5"/>
  <c r="AK294" i="5"/>
  <c r="AK70" i="5"/>
  <c r="AL70" i="5"/>
  <c r="AK199" i="5"/>
  <c r="AL199" i="5"/>
  <c r="AP351" i="5"/>
  <c r="AM13" i="4"/>
  <c r="AN13" i="4" s="1"/>
  <c r="W13" i="4"/>
  <c r="Y13" i="4" s="1"/>
  <c r="Z13" i="4" s="1"/>
  <c r="AP286" i="5"/>
  <c r="AP523" i="5"/>
  <c r="AK155" i="5"/>
  <c r="AL155" i="5"/>
  <c r="AP155" i="5"/>
  <c r="B80" i="2"/>
  <c r="B143" i="2"/>
  <c r="B75" i="2"/>
  <c r="B108" i="2"/>
  <c r="B109" i="2" s="1"/>
  <c r="B98" i="2"/>
  <c r="AP55" i="5"/>
  <c r="AM82" i="4"/>
  <c r="AN82" i="4" s="1"/>
  <c r="W82" i="4"/>
  <c r="Y82" i="4" s="1"/>
  <c r="Z82" i="4" s="1"/>
  <c r="AF82" i="4" s="1"/>
  <c r="AK12" i="5"/>
  <c r="AL12" i="5"/>
  <c r="AP221" i="5"/>
  <c r="AK224" i="5"/>
  <c r="AL224" i="5"/>
  <c r="AP224" i="5"/>
  <c r="AR109" i="5"/>
  <c r="AQ109" i="5"/>
  <c r="AQ176" i="5"/>
  <c r="AR176" i="5"/>
  <c r="AK223" i="5"/>
  <c r="AL223" i="5"/>
  <c r="AL35" i="5"/>
  <c r="AK35" i="5"/>
  <c r="AP35" i="5"/>
  <c r="AK97" i="5"/>
  <c r="AL97" i="5"/>
  <c r="AK367" i="5"/>
  <c r="AL367" i="5"/>
  <c r="AP367" i="5"/>
  <c r="AM149" i="4"/>
  <c r="AN149" i="4" s="1"/>
  <c r="W149" i="4"/>
  <c r="Y149" i="4" s="1"/>
  <c r="AQ418" i="5"/>
  <c r="AR418" i="5"/>
  <c r="AL107" i="5"/>
  <c r="AK107" i="5"/>
  <c r="AP107" i="5"/>
  <c r="AL328" i="5"/>
  <c r="AK328" i="5"/>
  <c r="AK183" i="5"/>
  <c r="AP183" i="5"/>
  <c r="AL183" i="5"/>
  <c r="AK439" i="5"/>
  <c r="AL439" i="5"/>
  <c r="AR212" i="5"/>
  <c r="AQ212" i="5"/>
  <c r="AR387" i="5"/>
  <c r="AL32" i="5"/>
  <c r="AK32" i="5"/>
  <c r="AP32" i="5"/>
  <c r="AL303" i="5"/>
  <c r="AP303" i="5"/>
  <c r="AK303" i="5"/>
  <c r="AM136" i="4"/>
  <c r="AN136" i="4" s="1"/>
  <c r="W136" i="4"/>
  <c r="Y136" i="4" s="1"/>
  <c r="Z136" i="4" s="1"/>
  <c r="AF136" i="4" s="1"/>
  <c r="AM146" i="4"/>
  <c r="AN146" i="4" s="1"/>
  <c r="W146" i="4"/>
  <c r="Y146" i="4" s="1"/>
  <c r="Z146" i="4" s="1"/>
  <c r="W17" i="4"/>
  <c r="Y17" i="4" s="1"/>
  <c r="Z17" i="4" s="1"/>
  <c r="AM17" i="4"/>
  <c r="AN17" i="4" s="1"/>
  <c r="AK335" i="5"/>
  <c r="AL335" i="5"/>
  <c r="AL96" i="5"/>
  <c r="AK96" i="5"/>
  <c r="AL47" i="5"/>
  <c r="AK47" i="5"/>
  <c r="AM74" i="4"/>
  <c r="AN74" i="4" s="1"/>
  <c r="W74" i="4"/>
  <c r="Y74" i="4" s="1"/>
  <c r="Z74" i="4" s="1"/>
  <c r="AF74" i="4" s="1"/>
  <c r="AM154" i="4"/>
  <c r="AN154" i="4" s="1"/>
  <c r="W154" i="4"/>
  <c r="Y154" i="4" s="1"/>
  <c r="Z154" i="4" s="1"/>
  <c r="AL265" i="5"/>
  <c r="AK265" i="5"/>
  <c r="AP265" i="5"/>
  <c r="AL121" i="5"/>
  <c r="AK121" i="5"/>
  <c r="AP423" i="5"/>
  <c r="AK423" i="5"/>
  <c r="AL423" i="5"/>
  <c r="W25" i="4"/>
  <c r="Y25" i="4" s="1"/>
  <c r="Z25" i="4" s="1"/>
  <c r="AF25" i="4" s="1"/>
  <c r="AM99" i="4"/>
  <c r="AN99" i="4" s="1"/>
  <c r="W99" i="4"/>
  <c r="Y99" i="4" s="1"/>
  <c r="Z99" i="4" s="1"/>
  <c r="AM112" i="4"/>
  <c r="AN112" i="4" s="1"/>
  <c r="W112" i="4"/>
  <c r="Y112" i="4" s="1"/>
  <c r="Z112" i="4" s="1"/>
  <c r="AF112" i="4" s="1"/>
  <c r="AM65" i="4"/>
  <c r="AN65" i="4" s="1"/>
  <c r="W65" i="4"/>
  <c r="Y65" i="4" s="1"/>
  <c r="Z65" i="4" s="1"/>
  <c r="AM153" i="4"/>
  <c r="AN153" i="4" s="1"/>
  <c r="W153" i="4"/>
  <c r="Y153" i="4" s="1"/>
  <c r="Z153" i="4" s="1"/>
  <c r="AL201" i="5"/>
  <c r="AP201" i="5"/>
  <c r="AK201" i="5"/>
  <c r="AL306" i="5"/>
  <c r="AK306" i="5"/>
  <c r="AK400" i="5"/>
  <c r="AL400" i="5"/>
  <c r="AP400" i="5"/>
  <c r="AK212" i="5"/>
  <c r="AL212" i="5"/>
  <c r="AK520" i="5"/>
  <c r="AL520" i="5"/>
  <c r="AK365" i="5"/>
  <c r="AL365" i="5"/>
  <c r="AL178" i="5"/>
  <c r="AK178" i="5"/>
  <c r="AL475" i="5"/>
  <c r="AK475" i="5"/>
  <c r="AP475" i="5"/>
  <c r="AK476" i="5"/>
  <c r="AL476" i="5"/>
  <c r="AK268" i="5"/>
  <c r="AL268" i="5"/>
  <c r="AP268" i="5"/>
  <c r="AK98" i="5"/>
  <c r="AP98" i="5"/>
  <c r="AL98" i="5"/>
  <c r="AK491" i="5"/>
  <c r="AL491" i="5"/>
  <c r="AK364" i="5"/>
  <c r="AL364" i="5"/>
  <c r="AL244" i="5"/>
  <c r="AK244" i="5"/>
  <c r="AL30" i="5"/>
  <c r="AK30" i="5"/>
  <c r="AK450" i="5"/>
  <c r="AL450" i="5"/>
  <c r="AL304" i="5"/>
  <c r="AK304" i="5"/>
  <c r="AK86" i="5"/>
  <c r="AL86" i="5"/>
  <c r="AP86" i="5"/>
  <c r="AL549" i="5"/>
  <c r="AK549" i="5"/>
  <c r="AP549" i="5"/>
  <c r="AK391" i="5"/>
  <c r="AL391" i="5"/>
  <c r="AP391" i="5"/>
  <c r="AL247" i="5"/>
  <c r="AP247" i="5"/>
  <c r="AK247" i="5"/>
  <c r="AL76" i="5"/>
  <c r="AK76" i="5"/>
  <c r="AP76" i="5"/>
  <c r="AL393" i="5"/>
  <c r="AP393" i="5"/>
  <c r="AK393" i="5"/>
  <c r="AL390" i="5"/>
  <c r="AK390" i="5"/>
  <c r="AL182" i="5"/>
  <c r="AK182" i="5"/>
  <c r="AK137" i="5"/>
  <c r="AL137" i="5"/>
  <c r="AP137" i="5"/>
  <c r="AM13" i="5"/>
  <c r="T13" i="5"/>
  <c r="AG13" i="5"/>
  <c r="Q13" i="5"/>
  <c r="AJ13" i="5"/>
  <c r="W13" i="5"/>
  <c r="AK481" i="5"/>
  <c r="AL481" i="5"/>
  <c r="AP481" i="5"/>
  <c r="AK355" i="5"/>
  <c r="AL355" i="5"/>
  <c r="AK140" i="5"/>
  <c r="AL140" i="5"/>
  <c r="AL558" i="5"/>
  <c r="AK558" i="5"/>
  <c r="AK405" i="5"/>
  <c r="AL405" i="5"/>
  <c r="AL324" i="5"/>
  <c r="AK324" i="5"/>
  <c r="AK173" i="5"/>
  <c r="AL173" i="5"/>
  <c r="AK61" i="5"/>
  <c r="AL61" i="5"/>
  <c r="AP61" i="5"/>
  <c r="AK445" i="5"/>
  <c r="AL445" i="5"/>
  <c r="AP445" i="5"/>
  <c r="AL354" i="5"/>
  <c r="AK354" i="5"/>
  <c r="AK198" i="5"/>
  <c r="AL198" i="5"/>
  <c r="AP198" i="5"/>
  <c r="AL157" i="5"/>
  <c r="AK157" i="5"/>
  <c r="AL556" i="5"/>
  <c r="AK556" i="5"/>
  <c r="AL461" i="5"/>
  <c r="AK461" i="5"/>
  <c r="AK308" i="5"/>
  <c r="AP308" i="5"/>
  <c r="AL308" i="5"/>
  <c r="AK193" i="5"/>
  <c r="AP193" i="5"/>
  <c r="AL193" i="5"/>
  <c r="AP100" i="5"/>
  <c r="AK100" i="5"/>
  <c r="AL100" i="5"/>
  <c r="AL548" i="5"/>
  <c r="AK548" i="5"/>
  <c r="AL338" i="5"/>
  <c r="AK338" i="5"/>
  <c r="AL314" i="5"/>
  <c r="AK314" i="5"/>
  <c r="AL180" i="5"/>
  <c r="AK180" i="5"/>
  <c r="AP180" i="5"/>
  <c r="AK345" i="5"/>
  <c r="AL345" i="5"/>
  <c r="AL253" i="5"/>
  <c r="AK253" i="5"/>
  <c r="AP253" i="5"/>
  <c r="AK58" i="5"/>
  <c r="AL58" i="5"/>
  <c r="AP160" i="5"/>
  <c r="AP466" i="5"/>
  <c r="AL395" i="5"/>
  <c r="AP395" i="5"/>
  <c r="AK395" i="5"/>
  <c r="AP363" i="5"/>
  <c r="AK504" i="5"/>
  <c r="AL504" i="5"/>
  <c r="AP504" i="5"/>
  <c r="V12" i="5"/>
  <c r="U12" i="5"/>
  <c r="AR333" i="5"/>
  <c r="AK311" i="5"/>
  <c r="AP311" i="5"/>
  <c r="AL311" i="5"/>
  <c r="AM131" i="4"/>
  <c r="AN131" i="4" s="1"/>
  <c r="W131" i="4"/>
  <c r="Y131" i="4" s="1"/>
  <c r="AK111" i="5"/>
  <c r="AL111" i="5"/>
  <c r="AP111" i="5"/>
  <c r="AR78" i="5"/>
  <c r="AQ78" i="5"/>
  <c r="AR72" i="5"/>
  <c r="AL40" i="5"/>
  <c r="AK40" i="5"/>
  <c r="AP40" i="5"/>
  <c r="AL280" i="5"/>
  <c r="AK280" i="5"/>
  <c r="AM124" i="4"/>
  <c r="AN124" i="4" s="1"/>
  <c r="W124" i="4"/>
  <c r="Y124" i="4" s="1"/>
  <c r="Z124" i="4" s="1"/>
  <c r="AQ283" i="5"/>
  <c r="AR283" i="5"/>
  <c r="AP328" i="5"/>
  <c r="X7" i="5"/>
  <c r="Y7" i="5"/>
  <c r="AQ348" i="5"/>
  <c r="AR348" i="5"/>
  <c r="AL119" i="5"/>
  <c r="AK119" i="5"/>
  <c r="AM42" i="4"/>
  <c r="AN42" i="4" s="1"/>
  <c r="W42" i="4"/>
  <c r="Y42" i="4" s="1"/>
  <c r="AK79" i="5"/>
  <c r="AL79" i="5"/>
  <c r="AL143" i="5"/>
  <c r="AK143" i="5"/>
  <c r="AK313" i="5"/>
  <c r="AL313" i="5"/>
  <c r="AK72" i="5"/>
  <c r="AL72" i="5"/>
  <c r="AL264" i="5"/>
  <c r="AK264" i="5"/>
  <c r="AK320" i="5"/>
  <c r="AP320" i="5"/>
  <c r="AL320" i="5"/>
  <c r="AL207" i="5"/>
  <c r="AK207" i="5"/>
  <c r="AP207" i="5"/>
  <c r="W87" i="4"/>
  <c r="Y87" i="4" s="1"/>
  <c r="AM87" i="4"/>
  <c r="AN87" i="4" s="1"/>
  <c r="AL473" i="5"/>
  <c r="AK473" i="5"/>
  <c r="AP464" i="5"/>
  <c r="AL553" i="5"/>
  <c r="AK553" i="5"/>
  <c r="AH144" i="4"/>
  <c r="B105" i="2"/>
  <c r="B106" i="2" s="1"/>
  <c r="B74" i="2"/>
  <c r="B95" i="2"/>
  <c r="AL546" i="5"/>
  <c r="AK546" i="5"/>
  <c r="AP546" i="5"/>
  <c r="AK175" i="5"/>
  <c r="AL175" i="5"/>
  <c r="AK10" i="5"/>
  <c r="AL10" i="5"/>
  <c r="AL469" i="5"/>
  <c r="AP469" i="5"/>
  <c r="AK469" i="5"/>
  <c r="AK334" i="5"/>
  <c r="AP334" i="5"/>
  <c r="AL334" i="5"/>
  <c r="AL129" i="5"/>
  <c r="AK129" i="5"/>
  <c r="AK516" i="5"/>
  <c r="AL516" i="5"/>
  <c r="AK409" i="5"/>
  <c r="AL409" i="5"/>
  <c r="AP409" i="5"/>
  <c r="AK290" i="5"/>
  <c r="AL290" i="5"/>
  <c r="AK91" i="5"/>
  <c r="AL91" i="5"/>
  <c r="AL424" i="5"/>
  <c r="AK424" i="5"/>
  <c r="AP424" i="5"/>
  <c r="AK419" i="5"/>
  <c r="AL419" i="5"/>
  <c r="AK124" i="5"/>
  <c r="AL124" i="5"/>
  <c r="AP124" i="5"/>
  <c r="AK474" i="5"/>
  <c r="AL474" i="5"/>
  <c r="AK511" i="5"/>
  <c r="AL511" i="5"/>
  <c r="AP511" i="5"/>
  <c r="AK332" i="5"/>
  <c r="AL332" i="5"/>
  <c r="AL146" i="5"/>
  <c r="AK146" i="5"/>
  <c r="AL540" i="5"/>
  <c r="AK540" i="5"/>
  <c r="AK415" i="5"/>
  <c r="AL415" i="5"/>
  <c r="AP415" i="5"/>
  <c r="AK192" i="5"/>
  <c r="AL192" i="5"/>
  <c r="AL69" i="5"/>
  <c r="AK69" i="5"/>
  <c r="AL494" i="5"/>
  <c r="AK494" i="5"/>
  <c r="AL296" i="5"/>
  <c r="AK296" i="5"/>
  <c r="AL154" i="5"/>
  <c r="AK154" i="5"/>
  <c r="AK151" i="5"/>
  <c r="AL151" i="5"/>
  <c r="AP151" i="5"/>
  <c r="AP19" i="5"/>
  <c r="AL19" i="5"/>
  <c r="AK19" i="5"/>
  <c r="AK373" i="5"/>
  <c r="AL373" i="5"/>
  <c r="AP373" i="5"/>
  <c r="AL267" i="5"/>
  <c r="AK267" i="5"/>
  <c r="AK134" i="5"/>
  <c r="AL134" i="5"/>
  <c r="AK490" i="5"/>
  <c r="AP490" i="5"/>
  <c r="AL490" i="5"/>
  <c r="AK382" i="5"/>
  <c r="AL382" i="5"/>
  <c r="AL301" i="5"/>
  <c r="AK301" i="5"/>
  <c r="AK166" i="5"/>
  <c r="AL166" i="5"/>
  <c r="AK52" i="5"/>
  <c r="AL52" i="5"/>
  <c r="AP52" i="5"/>
  <c r="AK421" i="5"/>
  <c r="AL421" i="5"/>
  <c r="AK413" i="5"/>
  <c r="AP413" i="5"/>
  <c r="AL413" i="5"/>
  <c r="AL197" i="5"/>
  <c r="AK197" i="5"/>
  <c r="AP197" i="5"/>
  <c r="AL130" i="5"/>
  <c r="AK130" i="5"/>
  <c r="AK547" i="5"/>
  <c r="AP547" i="5"/>
  <c r="AL547" i="5"/>
  <c r="AP385" i="5"/>
  <c r="AK385" i="5"/>
  <c r="AL385" i="5"/>
  <c r="AL277" i="5"/>
  <c r="AK277" i="5"/>
  <c r="AP277" i="5"/>
  <c r="AK222" i="5"/>
  <c r="AL222" i="5"/>
  <c r="AL109" i="5"/>
  <c r="AK109" i="5"/>
  <c r="AL528" i="5"/>
  <c r="AK528" i="5"/>
  <c r="AK396" i="5"/>
  <c r="AL396" i="5"/>
  <c r="AP254" i="5"/>
  <c r="AK254" i="5"/>
  <c r="AL254" i="5"/>
  <c r="AK133" i="5"/>
  <c r="AL133" i="5"/>
  <c r="AL246" i="5"/>
  <c r="AK246" i="5"/>
  <c r="AP246" i="5"/>
  <c r="AK241" i="5"/>
  <c r="AL241" i="5"/>
  <c r="AP241" i="5"/>
  <c r="AK65" i="5"/>
  <c r="AL65" i="5"/>
  <c r="AP128" i="5"/>
  <c r="AK384" i="5"/>
  <c r="AL384" i="5"/>
  <c r="AP553" i="5"/>
  <c r="AP121" i="5"/>
  <c r="AP154" i="5"/>
  <c r="AP149" i="5"/>
  <c r="AL203" i="5"/>
  <c r="AP203" i="5"/>
  <c r="AK203" i="5"/>
  <c r="AL176" i="5"/>
  <c r="AK176" i="5"/>
  <c r="AP256" i="5"/>
  <c r="AK448" i="5"/>
  <c r="AL448" i="5"/>
  <c r="AL263" i="5"/>
  <c r="AK263" i="5"/>
  <c r="AP263" i="5"/>
  <c r="AP316" i="5"/>
  <c r="AP285" i="5"/>
  <c r="AP294" i="5"/>
  <c r="AP115" i="5"/>
  <c r="AK115" i="5"/>
  <c r="AL115" i="5"/>
  <c r="AL339" i="5"/>
  <c r="AP339" i="5"/>
  <c r="AK339" i="5"/>
  <c r="AL360" i="5"/>
  <c r="AK360" i="5"/>
  <c r="AK127" i="5"/>
  <c r="AL127" i="5"/>
  <c r="AR225" i="5"/>
  <c r="AQ225" i="5"/>
  <c r="AR141" i="5"/>
  <c r="AQ141" i="5"/>
  <c r="AK83" i="5"/>
  <c r="AL83" i="5"/>
  <c r="AP83" i="5"/>
  <c r="AK48" i="5"/>
  <c r="AL48" i="5"/>
  <c r="AP240" i="5"/>
  <c r="AK488" i="5"/>
  <c r="AL488" i="5"/>
  <c r="AM147" i="4"/>
  <c r="AN147" i="4" s="1"/>
  <c r="W147" i="4"/>
  <c r="Y147" i="4" s="1"/>
  <c r="Z147" i="4" s="1"/>
  <c r="AP113" i="5"/>
  <c r="AP96" i="5"/>
  <c r="AK216" i="5"/>
  <c r="AL216" i="5"/>
  <c r="AK271" i="5"/>
  <c r="AL271" i="5"/>
  <c r="AP271" i="5"/>
  <c r="AK430" i="5"/>
  <c r="AL430" i="5"/>
  <c r="AP430" i="5"/>
  <c r="AL456" i="5"/>
  <c r="AK456" i="5"/>
  <c r="AP456" i="5"/>
  <c r="AL545" i="5"/>
  <c r="AK545" i="5"/>
  <c r="AL361" i="5"/>
  <c r="AK361" i="5"/>
  <c r="AP361" i="5"/>
  <c r="AK260" i="5"/>
  <c r="AL260" i="5"/>
  <c r="AK122" i="5"/>
  <c r="AL122" i="5"/>
  <c r="AP122" i="5"/>
  <c r="AP279" i="5"/>
  <c r="AL279" i="5"/>
  <c r="AK279" i="5"/>
  <c r="AL343" i="5"/>
  <c r="AK343" i="5"/>
  <c r="AP343" i="5"/>
  <c r="AK220" i="5"/>
  <c r="AL220" i="5"/>
  <c r="AP220" i="5"/>
  <c r="AK27" i="5"/>
  <c r="AL27" i="5"/>
  <c r="AP27" i="5"/>
  <c r="AK513" i="5"/>
  <c r="AL513" i="5"/>
  <c r="AP513" i="5"/>
  <c r="AK350" i="5"/>
  <c r="AL350" i="5"/>
  <c r="AP174" i="5"/>
  <c r="AK174" i="5"/>
  <c r="AL174" i="5"/>
  <c r="AL560" i="5"/>
  <c r="AK560" i="5"/>
  <c r="AK453" i="5"/>
  <c r="AL453" i="5"/>
  <c r="AP453" i="5"/>
  <c r="AK249" i="5"/>
  <c r="AL249" i="5"/>
  <c r="AP249" i="5"/>
  <c r="AK90" i="5"/>
  <c r="AL90" i="5"/>
  <c r="AP90" i="5"/>
  <c r="AL460" i="5"/>
  <c r="AK460" i="5"/>
  <c r="AL341" i="5"/>
  <c r="AK341" i="5"/>
  <c r="AK235" i="5"/>
  <c r="AL235" i="5"/>
  <c r="AP235" i="5"/>
  <c r="AL37" i="5"/>
  <c r="AK37" i="5"/>
  <c r="AL441" i="5"/>
  <c r="AK441" i="5"/>
  <c r="AP441" i="5"/>
  <c r="AK289" i="5"/>
  <c r="AL289" i="5"/>
  <c r="AP289" i="5"/>
  <c r="AK145" i="5"/>
  <c r="AL145" i="5"/>
  <c r="AP145" i="5"/>
  <c r="AL136" i="5"/>
  <c r="AP136" i="5"/>
  <c r="AK136" i="5"/>
  <c r="AK498" i="5"/>
  <c r="AL498" i="5"/>
  <c r="AP480" i="5"/>
  <c r="AL480" i="5"/>
  <c r="AK480" i="5"/>
  <c r="AL287" i="5"/>
  <c r="AK287" i="5"/>
  <c r="AK106" i="5"/>
  <c r="AL106" i="5"/>
  <c r="AP106" i="5"/>
  <c r="AK422" i="5"/>
  <c r="AL422" i="5"/>
  <c r="AL398" i="5"/>
  <c r="AK398" i="5"/>
  <c r="AK230" i="5"/>
  <c r="AL230" i="5"/>
  <c r="AP230" i="5"/>
  <c r="AK150" i="5"/>
  <c r="AL150" i="5"/>
  <c r="AP150" i="5"/>
  <c r="AK21" i="5"/>
  <c r="AL21" i="5"/>
  <c r="AK509" i="5"/>
  <c r="AL509" i="5"/>
  <c r="AP509" i="5"/>
  <c r="AL380" i="5"/>
  <c r="AK380" i="5"/>
  <c r="AK226" i="5"/>
  <c r="AL226" i="5"/>
  <c r="AK84" i="5"/>
  <c r="AL84" i="5"/>
  <c r="AP84" i="5"/>
  <c r="AK527" i="5"/>
  <c r="AL527" i="5"/>
  <c r="AL401" i="5"/>
  <c r="AP401" i="5"/>
  <c r="AK401" i="5"/>
  <c r="AK250" i="5"/>
  <c r="AL250" i="5"/>
  <c r="AK194" i="5"/>
  <c r="AL194" i="5"/>
  <c r="AK78" i="5"/>
  <c r="AL78" i="5"/>
  <c r="AP550" i="5"/>
  <c r="AK550" i="5"/>
  <c r="AL550" i="5"/>
  <c r="AK420" i="5"/>
  <c r="AL420" i="5"/>
  <c r="AK330" i="5"/>
  <c r="AL330" i="5"/>
  <c r="AL116" i="5"/>
  <c r="AK116" i="5"/>
  <c r="AP116" i="5"/>
  <c r="AK297" i="5"/>
  <c r="AL297" i="5"/>
  <c r="AP297" i="5"/>
  <c r="AK214" i="5"/>
  <c r="AL214" i="5"/>
  <c r="AK36" i="5"/>
  <c r="AP36" i="5"/>
  <c r="AL36" i="5"/>
  <c r="AK512" i="5"/>
  <c r="AL512" i="5"/>
  <c r="AP473" i="5"/>
  <c r="AP439" i="5"/>
  <c r="AM85" i="4"/>
  <c r="AN85" i="4" s="1"/>
  <c r="W85" i="4"/>
  <c r="Y85" i="4" s="1"/>
  <c r="Z85" i="4" s="1"/>
  <c r="S12" i="5"/>
  <c r="R12" i="5"/>
  <c r="AP89" i="5"/>
  <c r="AP449" i="5"/>
  <c r="AP458" i="5"/>
  <c r="AL59" i="5"/>
  <c r="AK59" i="5"/>
  <c r="AP59" i="5"/>
  <c r="AK457" i="5"/>
  <c r="AL457" i="5"/>
  <c r="AL519" i="5"/>
  <c r="AK519" i="5"/>
  <c r="AP519" i="5"/>
  <c r="AK217" i="5"/>
  <c r="AL217" i="5"/>
  <c r="AK200" i="5"/>
  <c r="AL200" i="5"/>
  <c r="AP200" i="5"/>
  <c r="AM104" i="4"/>
  <c r="AN104" i="4" s="1"/>
  <c r="W104" i="4"/>
  <c r="Y104" i="4" s="1"/>
  <c r="Z104" i="4" s="1"/>
  <c r="AH107" i="4"/>
  <c r="AR548" i="5"/>
  <c r="AQ548" i="5"/>
  <c r="AM156" i="4"/>
  <c r="AN156" i="4" s="1"/>
  <c r="W156" i="4"/>
  <c r="Y156" i="4" s="1"/>
  <c r="Z156" i="4" s="1"/>
  <c r="AR524" i="5"/>
  <c r="AK432" i="5"/>
  <c r="AL432" i="5"/>
  <c r="AP223" i="5"/>
  <c r="W107" i="4"/>
  <c r="Y107" i="4" s="1"/>
  <c r="Z107" i="4" s="1"/>
  <c r="AM107" i="4"/>
  <c r="AN107" i="4" s="1"/>
  <c r="AL8" i="5"/>
  <c r="AK8" i="5"/>
  <c r="AP280" i="5"/>
  <c r="S7" i="5"/>
  <c r="R7" i="5"/>
  <c r="AH28" i="4"/>
  <c r="W139" i="4"/>
  <c r="Y139" i="4" s="1"/>
  <c r="Z139" i="4" s="1"/>
  <c r="AM139" i="4"/>
  <c r="AN139" i="4" s="1"/>
  <c r="AH90" i="4"/>
  <c r="AQ130" i="5"/>
  <c r="AR130" i="5"/>
  <c r="AQ340" i="5"/>
  <c r="AL312" i="5"/>
  <c r="AK312" i="5"/>
  <c r="AK295" i="5"/>
  <c r="AL295" i="5"/>
  <c r="AP295" i="5"/>
  <c r="AP455" i="5"/>
  <c r="AL211" i="5"/>
  <c r="AK211" i="5"/>
  <c r="AL347" i="5"/>
  <c r="AK347" i="5"/>
  <c r="AP347" i="5"/>
  <c r="AM88" i="4"/>
  <c r="AN88" i="4" s="1"/>
  <c r="W88" i="4"/>
  <c r="Y88" i="4" s="1"/>
  <c r="Z88" i="4" s="1"/>
  <c r="AP8" i="5"/>
  <c r="AK327" i="5"/>
  <c r="AL327" i="5"/>
  <c r="AM151" i="4"/>
  <c r="AN151" i="4" s="1"/>
  <c r="W151" i="4"/>
  <c r="Y151" i="4" s="1"/>
  <c r="Z151" i="4" s="1"/>
  <c r="AF151" i="4" s="1"/>
  <c r="AP341" i="5"/>
  <c r="AL438" i="5"/>
  <c r="AK438" i="5"/>
  <c r="AK326" i="5"/>
  <c r="AL326" i="5"/>
  <c r="AL318" i="5"/>
  <c r="AK318" i="5"/>
  <c r="AL478" i="5"/>
  <c r="AK478" i="5"/>
  <c r="AP478" i="5"/>
  <c r="AL477" i="5"/>
  <c r="AK477" i="5"/>
  <c r="AK275" i="5"/>
  <c r="AL275" i="5"/>
  <c r="AP275" i="5"/>
  <c r="AK103" i="5"/>
  <c r="AL103" i="5"/>
  <c r="AL496" i="5"/>
  <c r="AK496" i="5"/>
  <c r="AP366" i="5"/>
  <c r="AK366" i="5"/>
  <c r="AL366" i="5"/>
  <c r="AK202" i="5"/>
  <c r="AL202" i="5"/>
  <c r="AK41" i="5"/>
  <c r="AL41" i="5"/>
  <c r="AP41" i="5"/>
  <c r="AK463" i="5"/>
  <c r="AL463" i="5"/>
  <c r="AL319" i="5"/>
  <c r="AK319" i="5"/>
  <c r="AP319" i="5"/>
  <c r="AL108" i="5"/>
  <c r="AK108" i="5"/>
  <c r="AP108" i="5"/>
  <c r="AL559" i="5"/>
  <c r="AK559" i="5"/>
  <c r="AP559" i="5"/>
  <c r="AK397" i="5"/>
  <c r="AL397" i="5"/>
  <c r="AL262" i="5"/>
  <c r="AK262" i="5"/>
  <c r="AK77" i="5"/>
  <c r="AL77" i="5"/>
  <c r="AK402" i="5"/>
  <c r="AL402" i="5"/>
  <c r="AK392" i="5"/>
  <c r="AL392" i="5"/>
  <c r="AK184" i="5"/>
  <c r="AL184" i="5"/>
  <c r="AL555" i="5"/>
  <c r="AP555" i="5"/>
  <c r="AK555" i="5"/>
  <c r="AL500" i="5"/>
  <c r="AP500" i="5"/>
  <c r="AK500" i="5"/>
  <c r="AK309" i="5"/>
  <c r="AP309" i="5"/>
  <c r="AL309" i="5"/>
  <c r="AL126" i="5"/>
  <c r="AK126" i="5"/>
  <c r="AK117" i="5"/>
  <c r="AL117" i="5"/>
  <c r="AK530" i="5"/>
  <c r="AL530" i="5"/>
  <c r="AK352" i="5"/>
  <c r="AL352" i="5"/>
  <c r="AP352" i="5"/>
  <c r="AK321" i="5"/>
  <c r="AL321" i="5"/>
  <c r="AK82" i="5"/>
  <c r="AL82" i="5"/>
  <c r="AL510" i="5"/>
  <c r="AK510" i="5"/>
  <c r="AK358" i="5"/>
  <c r="AL358" i="5"/>
  <c r="AP358" i="5"/>
  <c r="AL317" i="5"/>
  <c r="AK317" i="5"/>
  <c r="AP317" i="5"/>
  <c r="AL132" i="5"/>
  <c r="AP132" i="5"/>
  <c r="AK132" i="5"/>
  <c r="AL20" i="5"/>
  <c r="AK20" i="5"/>
  <c r="AL454" i="5"/>
  <c r="AK454" i="5"/>
  <c r="AK357" i="5"/>
  <c r="AL357" i="5"/>
  <c r="AP357" i="5"/>
  <c r="AL205" i="5"/>
  <c r="AK205" i="5"/>
  <c r="AK54" i="5"/>
  <c r="AL54" i="5"/>
  <c r="AP442" i="5"/>
  <c r="AK442" i="5"/>
  <c r="AL442" i="5"/>
  <c r="AK394" i="5"/>
  <c r="AL394" i="5"/>
  <c r="AL293" i="5"/>
  <c r="AK293" i="5"/>
  <c r="AP293" i="5"/>
  <c r="AK165" i="5"/>
  <c r="AL165" i="5"/>
  <c r="AL74" i="5"/>
  <c r="AP74" i="5"/>
  <c r="AK74" i="5"/>
  <c r="AL542" i="5"/>
  <c r="AK542" i="5"/>
  <c r="AK378" i="5"/>
  <c r="AL378" i="5"/>
  <c r="AL298" i="5"/>
  <c r="AK298" i="5"/>
  <c r="AP298" i="5"/>
  <c r="AK138" i="5"/>
  <c r="AL138" i="5"/>
  <c r="AK270" i="5"/>
  <c r="AL270" i="5"/>
  <c r="AL148" i="5"/>
  <c r="AK148" i="5"/>
  <c r="AK34" i="5"/>
  <c r="AL34" i="5"/>
  <c r="AP91" i="5"/>
  <c r="AK231" i="5"/>
  <c r="AL231" i="5"/>
  <c r="AP231" i="5"/>
  <c r="AP419" i="5"/>
  <c r="AP29" i="5"/>
  <c r="AP389" i="5"/>
  <c r="AP99" i="5"/>
  <c r="AK191" i="5"/>
  <c r="AL191" i="5"/>
  <c r="AP191" i="5"/>
  <c r="AO12" i="5"/>
  <c r="AN12" i="5"/>
  <c r="AP421" i="5"/>
  <c r="AP162" i="5"/>
  <c r="AK131" i="5"/>
  <c r="AL131" i="5"/>
  <c r="AK171" i="5"/>
  <c r="AP171" i="5"/>
  <c r="AL171" i="5"/>
  <c r="AL195" i="5"/>
  <c r="AK195" i="5"/>
  <c r="AP195" i="5"/>
  <c r="AK467" i="5"/>
  <c r="AL467" i="5"/>
  <c r="AP467" i="5"/>
  <c r="AK403" i="5"/>
  <c r="AL403" i="5"/>
  <c r="AP403" i="5"/>
  <c r="AL272" i="5"/>
  <c r="AK272" i="5"/>
  <c r="AP272" i="5"/>
  <c r="AL299" i="5"/>
  <c r="AK299" i="5"/>
  <c r="AK239" i="5"/>
  <c r="AL239" i="5"/>
  <c r="AM80" i="4"/>
  <c r="AN80" i="4" s="1"/>
  <c r="W80" i="4"/>
  <c r="Y80" i="4" s="1"/>
  <c r="Z80" i="4" s="1"/>
  <c r="AR306" i="5"/>
  <c r="AQ306" i="5"/>
  <c r="AL291" i="5"/>
  <c r="AK291" i="5"/>
  <c r="AK487" i="5"/>
  <c r="AL487" i="5"/>
  <c r="AK515" i="5"/>
  <c r="AL515" i="5"/>
  <c r="AP515" i="5"/>
  <c r="X98" i="4"/>
  <c r="AP264" i="5"/>
  <c r="AM41" i="4"/>
  <c r="AN41" i="4" s="1"/>
  <c r="W41" i="4"/>
  <c r="Y41" i="4" s="1"/>
  <c r="Z41" i="4" s="1"/>
  <c r="AF41" i="4" s="1"/>
  <c r="AH36" i="4"/>
  <c r="AL163" i="5"/>
  <c r="AK163" i="5"/>
  <c r="AP163" i="5"/>
  <c r="AP97" i="5"/>
  <c r="AK507" i="5"/>
  <c r="AL507" i="5"/>
  <c r="AP507" i="5"/>
  <c r="AL524" i="5"/>
  <c r="AK524" i="5"/>
  <c r="AL210" i="5"/>
  <c r="AK210" i="5"/>
  <c r="AL522" i="5"/>
  <c r="AK522" i="5"/>
  <c r="AK410" i="5"/>
  <c r="AL410" i="5"/>
  <c r="AL302" i="5"/>
  <c r="AK302" i="5"/>
  <c r="AL67" i="5"/>
  <c r="AK67" i="5"/>
  <c r="AP67" i="5"/>
  <c r="AP425" i="5"/>
  <c r="AK425" i="5"/>
  <c r="AL425" i="5"/>
  <c r="AK426" i="5"/>
  <c r="AL426" i="5"/>
  <c r="AK142" i="5"/>
  <c r="AL142" i="5"/>
  <c r="AK529" i="5"/>
  <c r="AL529" i="5"/>
  <c r="AP529" i="5"/>
  <c r="AP537" i="5"/>
  <c r="AL537" i="5"/>
  <c r="AK537" i="5"/>
  <c r="AL190" i="5"/>
  <c r="AK190" i="5"/>
  <c r="AK161" i="5"/>
  <c r="AL161" i="5"/>
  <c r="AP161" i="5"/>
  <c r="AL544" i="5"/>
  <c r="AK544" i="5"/>
  <c r="AL259" i="5"/>
  <c r="AK259" i="5"/>
  <c r="AK206" i="5"/>
  <c r="AL206" i="5"/>
  <c r="AP206" i="5"/>
  <c r="AL53" i="5"/>
  <c r="AK53" i="5"/>
  <c r="AP53" i="5"/>
  <c r="AK499" i="5"/>
  <c r="AL499" i="5"/>
  <c r="AL337" i="5"/>
  <c r="AK337" i="5"/>
  <c r="AL139" i="5"/>
  <c r="AK139" i="5"/>
  <c r="AP139" i="5"/>
  <c r="AL551" i="5"/>
  <c r="AK551" i="5"/>
  <c r="AL440" i="5"/>
  <c r="AP440" i="5"/>
  <c r="AK440" i="5"/>
  <c r="AK331" i="5"/>
  <c r="AL331" i="5"/>
  <c r="AP331" i="5"/>
  <c r="AK94" i="5"/>
  <c r="AL94" i="5"/>
  <c r="AK93" i="5"/>
  <c r="AL93" i="5"/>
  <c r="AK404" i="5"/>
  <c r="AL404" i="5"/>
  <c r="AL372" i="5"/>
  <c r="AK372" i="5"/>
  <c r="AL232" i="5"/>
  <c r="AK232" i="5"/>
  <c r="AL57" i="5"/>
  <c r="AP57" i="5"/>
  <c r="AK57" i="5"/>
  <c r="AK436" i="5"/>
  <c r="AL436" i="5"/>
  <c r="AK274" i="5"/>
  <c r="AL274" i="5"/>
  <c r="AK278" i="5"/>
  <c r="AL278" i="5"/>
  <c r="AK158" i="5"/>
  <c r="AL158" i="5"/>
  <c r="AK22" i="5"/>
  <c r="AL22" i="5"/>
  <c r="AK484" i="5"/>
  <c r="AL484" i="5"/>
  <c r="AP484" i="5"/>
  <c r="AK282" i="5"/>
  <c r="AP282" i="5"/>
  <c r="AL282" i="5"/>
  <c r="AK170" i="5"/>
  <c r="AL170" i="5"/>
  <c r="AP170" i="5"/>
  <c r="AK45" i="5"/>
  <c r="AL45" i="5"/>
  <c r="AL417" i="5"/>
  <c r="AK417" i="5"/>
  <c r="AK349" i="5"/>
  <c r="AP349" i="5"/>
  <c r="AL349" i="5"/>
  <c r="AK257" i="5"/>
  <c r="AL257" i="5"/>
  <c r="AL186" i="5"/>
  <c r="AK186" i="5"/>
  <c r="AP186" i="5"/>
  <c r="AP50" i="5"/>
  <c r="AL50" i="5"/>
  <c r="AK50" i="5"/>
  <c r="AK517" i="5"/>
  <c r="AL517" i="5"/>
  <c r="AK342" i="5"/>
  <c r="AL342" i="5"/>
  <c r="AP342" i="5"/>
  <c r="AL218" i="5"/>
  <c r="AK218" i="5"/>
  <c r="AK101" i="5"/>
  <c r="AL101" i="5"/>
  <c r="AK213" i="5"/>
  <c r="AP213" i="5"/>
  <c r="AL213" i="5"/>
  <c r="AL188" i="5"/>
  <c r="AP188" i="5"/>
  <c r="AK188" i="5"/>
  <c r="AL33" i="5"/>
  <c r="AP33" i="5"/>
  <c r="AK33" i="5"/>
  <c r="AP31" i="5"/>
  <c r="AM32" i="4"/>
  <c r="AN32" i="4" s="1"/>
  <c r="W32" i="4"/>
  <c r="Y32" i="4" s="1"/>
  <c r="AP499" i="5"/>
  <c r="AK281" i="5"/>
  <c r="AL281" i="5"/>
  <c r="AK120" i="5"/>
  <c r="AL120" i="5"/>
  <c r="AP120" i="5"/>
  <c r="AK159" i="5"/>
  <c r="AL159" i="5"/>
  <c r="AK383" i="5"/>
  <c r="AL383" i="5"/>
  <c r="AK533" i="5"/>
  <c r="AL533" i="5"/>
  <c r="AM81" i="4"/>
  <c r="AN81" i="4" s="1"/>
  <c r="W81" i="4"/>
  <c r="Y81" i="4" s="1"/>
  <c r="Z81" i="4" s="1"/>
  <c r="AP299" i="5"/>
  <c r="AQ350" i="5" l="1"/>
  <c r="AR290" i="5"/>
  <c r="AR65" i="5"/>
  <c r="AQ182" i="5"/>
  <c r="AR359" i="5"/>
  <c r="AR477" i="5"/>
  <c r="AR267" i="5"/>
  <c r="AR199" i="5"/>
  <c r="AQ544" i="5"/>
  <c r="AQ540" i="5"/>
  <c r="AQ58" i="5"/>
  <c r="AR390" i="5"/>
  <c r="AQ43" i="5"/>
  <c r="AQ218" i="5"/>
  <c r="AQ250" i="5"/>
  <c r="AR338" i="5"/>
  <c r="AR134" i="5"/>
  <c r="AQ491" i="5"/>
  <c r="AR394" i="5"/>
  <c r="AQ402" i="5"/>
  <c r="AQ38" i="5"/>
  <c r="AQ528" i="5"/>
  <c r="AQ281" i="5"/>
  <c r="AR313" i="5"/>
  <c r="AQ159" i="5"/>
  <c r="AQ454" i="5"/>
  <c r="AR558" i="5"/>
  <c r="AR536" i="5"/>
  <c r="AR262" i="5"/>
  <c r="AQ93" i="5"/>
  <c r="AR312" i="5"/>
  <c r="AQ127" i="5"/>
  <c r="AR92" i="5"/>
  <c r="AR496" i="5"/>
  <c r="AR560" i="5"/>
  <c r="AQ428" i="5"/>
  <c r="AQ404" i="5"/>
  <c r="AQ25" i="5"/>
  <c r="AR434" i="5"/>
  <c r="AQ552" i="5"/>
  <c r="AR205" i="5"/>
  <c r="AQ110" i="5"/>
  <c r="AQ486" i="5"/>
  <c r="AQ485" i="5"/>
  <c r="AQ287" i="5"/>
  <c r="AQ326" i="5"/>
  <c r="AR492" i="5"/>
  <c r="AQ460" i="5"/>
  <c r="AQ48" i="5"/>
  <c r="AQ112" i="5"/>
  <c r="AR217" i="5"/>
  <c r="AR81" i="5"/>
  <c r="AR216" i="5"/>
  <c r="AQ47" i="5"/>
  <c r="AR300" i="5"/>
  <c r="AQ273" i="5"/>
  <c r="AR522" i="5"/>
  <c r="W38" i="4"/>
  <c r="W91" i="4"/>
  <c r="X91" i="4" s="1"/>
  <c r="AM95" i="4"/>
  <c r="AN95" i="4" s="1"/>
  <c r="AM86" i="4"/>
  <c r="AN86" i="4" s="1"/>
  <c r="Z110" i="4"/>
  <c r="AM97" i="4"/>
  <c r="AN97" i="4" s="1"/>
  <c r="Z123" i="4"/>
  <c r="AM123" i="4"/>
  <c r="AN123" i="4" s="1"/>
  <c r="Z31" i="4"/>
  <c r="AF31" i="4" s="1"/>
  <c r="AM11" i="4"/>
  <c r="AN11" i="4" s="1"/>
  <c r="Z71" i="4"/>
  <c r="AF71" i="4" s="1"/>
  <c r="AM110" i="4"/>
  <c r="AN110" i="4" s="1"/>
  <c r="W100" i="4"/>
  <c r="AM31" i="4"/>
  <c r="AN31" i="4" s="1"/>
  <c r="W75" i="4"/>
  <c r="Y75" i="4" s="1"/>
  <c r="Z75" i="4" s="1"/>
  <c r="AF75" i="4" s="1"/>
  <c r="AO75" i="4" s="1"/>
  <c r="Z111" i="4"/>
  <c r="AF111" i="4" s="1"/>
  <c r="W118" i="4"/>
  <c r="Y118" i="4" s="1"/>
  <c r="Z118" i="4" s="1"/>
  <c r="Z70" i="4"/>
  <c r="AF70" i="4" s="1"/>
  <c r="AN118" i="4"/>
  <c r="W55" i="4"/>
  <c r="Y55" i="4" s="1"/>
  <c r="Z55" i="4" s="1"/>
  <c r="W30" i="4"/>
  <c r="Y30" i="4" s="1"/>
  <c r="Z30" i="4" s="1"/>
  <c r="AF30" i="4" s="1"/>
  <c r="Z106" i="4"/>
  <c r="AF106" i="4" s="1"/>
  <c r="AG106" i="4" s="1"/>
  <c r="AI106" i="4" s="1"/>
  <c r="AM102" i="4"/>
  <c r="AN102" i="4" s="1"/>
  <c r="W29" i="4"/>
  <c r="Y29" i="4" s="1"/>
  <c r="Z29" i="4" s="1"/>
  <c r="AM106" i="4"/>
  <c r="AN106" i="4" s="1"/>
  <c r="W60" i="4"/>
  <c r="Y60" i="4" s="1"/>
  <c r="Z60" i="4" s="1"/>
  <c r="AF60" i="4" s="1"/>
  <c r="W9" i="4"/>
  <c r="Y9" i="4" s="1"/>
  <c r="Z9" i="4" s="1"/>
  <c r="AF9" i="4" s="1"/>
  <c r="Z16" i="4"/>
  <c r="Z102" i="4"/>
  <c r="AF102" i="4" s="1"/>
  <c r="W7" i="4"/>
  <c r="AE7" i="4" s="1"/>
  <c r="W76" i="4"/>
  <c r="X76" i="4" s="1"/>
  <c r="AJ76" i="4" s="1"/>
  <c r="W127" i="4"/>
  <c r="Y127" i="4" s="1"/>
  <c r="Z127" i="4" s="1"/>
  <c r="Z49" i="4"/>
  <c r="AF49" i="4" s="1"/>
  <c r="AO49" i="4" s="1"/>
  <c r="AM52" i="4"/>
  <c r="AN52" i="4" s="1"/>
  <c r="W18" i="4"/>
  <c r="Y18" i="4" s="1"/>
  <c r="Z18" i="4" s="1"/>
  <c r="AF18" i="4" s="1"/>
  <c r="Z97" i="4"/>
  <c r="AF97" i="4" s="1"/>
  <c r="AO97" i="4" s="1"/>
  <c r="AM70" i="4"/>
  <c r="AN70" i="4" s="1"/>
  <c r="W35" i="4"/>
  <c r="X35" i="4" s="1"/>
  <c r="AJ35" i="4" s="1"/>
  <c r="AR535" i="5"/>
  <c r="AQ476" i="5"/>
  <c r="AR517" i="5"/>
  <c r="AR406" i="5"/>
  <c r="AR498" i="5"/>
  <c r="AQ104" i="5"/>
  <c r="AR330" i="5"/>
  <c r="AQ79" i="5"/>
  <c r="AQ184" i="5"/>
  <c r="AR384" i="5"/>
  <c r="AR426" i="5"/>
  <c r="AQ30" i="5"/>
  <c r="AR165" i="5"/>
  <c r="AR34" i="5"/>
  <c r="AQ318" i="5"/>
  <c r="AQ87" i="5"/>
  <c r="AR260" i="5"/>
  <c r="AQ23" i="5"/>
  <c r="AR551" i="5"/>
  <c r="AQ444" i="5"/>
  <c r="AQ530" i="5"/>
  <c r="AR321" i="5"/>
  <c r="AQ158" i="5"/>
  <c r="AR417" i="5"/>
  <c r="AQ302" i="5"/>
  <c r="AR70" i="5"/>
  <c r="AQ211" i="5"/>
  <c r="AN105" i="4"/>
  <c r="AC546" i="5"/>
  <c r="AD546" i="5" s="1"/>
  <c r="AC523" i="5"/>
  <c r="AE523" i="5" s="1"/>
  <c r="AC459" i="5"/>
  <c r="AD459" i="5" s="1"/>
  <c r="AC206" i="5"/>
  <c r="AE206" i="5" s="1"/>
  <c r="AL9" i="5"/>
  <c r="Z87" i="4"/>
  <c r="AF87" i="4" s="1"/>
  <c r="AO87" i="4" s="1"/>
  <c r="AC379" i="5"/>
  <c r="AE379" i="5" s="1"/>
  <c r="AC392" i="5"/>
  <c r="AS392" i="5" s="1"/>
  <c r="AC371" i="5"/>
  <c r="AE371" i="5" s="1"/>
  <c r="AC522" i="5"/>
  <c r="AC512" i="5"/>
  <c r="AC429" i="5"/>
  <c r="AS429" i="5" s="1"/>
  <c r="Z117" i="4"/>
  <c r="AC160" i="5"/>
  <c r="AS160" i="5" s="1"/>
  <c r="AB288" i="5"/>
  <c r="AC234" i="5"/>
  <c r="AD234" i="5" s="1"/>
  <c r="AC525" i="5"/>
  <c r="AE525" i="5" s="1"/>
  <c r="AC426" i="5"/>
  <c r="AD426" i="5" s="1"/>
  <c r="AC534" i="5"/>
  <c r="AD534" i="5" s="1"/>
  <c r="AC432" i="5"/>
  <c r="AS432" i="5" s="1"/>
  <c r="AC221" i="5"/>
  <c r="AS221" i="5" s="1"/>
  <c r="AC121" i="5"/>
  <c r="AS121" i="5" s="1"/>
  <c r="AC537" i="5"/>
  <c r="AE537" i="5" s="1"/>
  <c r="V11" i="5"/>
  <c r="AC80" i="5"/>
  <c r="AS80" i="5" s="1"/>
  <c r="AC23" i="5"/>
  <c r="AD23" i="5" s="1"/>
  <c r="AC530" i="5"/>
  <c r="AD530" i="5" s="1"/>
  <c r="AC289" i="5"/>
  <c r="AD289" i="5" s="1"/>
  <c r="AC264" i="5"/>
  <c r="AE264" i="5" s="1"/>
  <c r="AC446" i="5"/>
  <c r="AD446" i="5" s="1"/>
  <c r="AC117" i="5"/>
  <c r="AS117" i="5" s="1"/>
  <c r="AC97" i="5"/>
  <c r="AD97" i="5" s="1"/>
  <c r="AC105" i="5"/>
  <c r="AE105" i="5" s="1"/>
  <c r="B35" i="2"/>
  <c r="AC376" i="5"/>
  <c r="AD376" i="5" s="1"/>
  <c r="AC508" i="5"/>
  <c r="AE508" i="5" s="1"/>
  <c r="AC184" i="5"/>
  <c r="AD184" i="5" s="1"/>
  <c r="AQ77" i="5"/>
  <c r="AQ457" i="5"/>
  <c r="AR493" i="5"/>
  <c r="AR117" i="5"/>
  <c r="AQ22" i="5"/>
  <c r="AR422" i="5"/>
  <c r="AR20" i="5"/>
  <c r="AR284" i="5"/>
  <c r="AQ360" i="5"/>
  <c r="AR138" i="5"/>
  <c r="AR447" i="5"/>
  <c r="AQ37" i="5"/>
  <c r="AQ142" i="5"/>
  <c r="AQ229" i="5"/>
  <c r="AR233" i="5"/>
  <c r="AR258" i="5"/>
  <c r="AQ525" i="5"/>
  <c r="AQ239" i="5"/>
  <c r="AQ276" i="5"/>
  <c r="AQ42" i="5"/>
  <c r="AQ54" i="5"/>
  <c r="AR144" i="5"/>
  <c r="AR364" i="5"/>
  <c r="AQ219" i="5"/>
  <c r="AR463" i="5"/>
  <c r="K29" i="2"/>
  <c r="K30" i="2" s="1"/>
  <c r="AC463" i="5"/>
  <c r="AE463" i="5" s="1"/>
  <c r="AA445" i="5"/>
  <c r="W37" i="4"/>
  <c r="X37" i="4" s="1"/>
  <c r="AJ37" i="4" s="1"/>
  <c r="AR462" i="5"/>
  <c r="AQ21" i="5"/>
  <c r="AR448" i="5"/>
  <c r="AQ488" i="5"/>
  <c r="AR126" i="5"/>
  <c r="AR495" i="5"/>
  <c r="AR131" i="5"/>
  <c r="R31" i="2"/>
  <c r="S31" i="2" s="1"/>
  <c r="Q31" i="2"/>
  <c r="P31" i="2" s="1"/>
  <c r="AR378" i="5"/>
  <c r="AR255" i="5"/>
  <c r="AQ542" i="5"/>
  <c r="AR194" i="5"/>
  <c r="AQ190" i="5"/>
  <c r="AQ370" i="5"/>
  <c r="AN98" i="4"/>
  <c r="AQ257" i="5"/>
  <c r="AA97" i="5"/>
  <c r="AR368" i="5"/>
  <c r="AR45" i="5"/>
  <c r="AR232" i="5"/>
  <c r="AQ545" i="5"/>
  <c r="AR82" i="5"/>
  <c r="AR56" i="5"/>
  <c r="AM117" i="4"/>
  <c r="AN117" i="4" s="1"/>
  <c r="W46" i="4"/>
  <c r="Y46" i="4" s="1"/>
  <c r="Z46" i="4" s="1"/>
  <c r="AF46" i="4" s="1"/>
  <c r="AG46" i="4" s="1"/>
  <c r="AI46" i="4" s="1"/>
  <c r="W145" i="4"/>
  <c r="Y145" i="4" s="1"/>
  <c r="Z145" i="4" s="1"/>
  <c r="AF145" i="4" s="1"/>
  <c r="AA297" i="5"/>
  <c r="AB261" i="5"/>
  <c r="AA363" i="5"/>
  <c r="AC520" i="5"/>
  <c r="AS520" i="5" s="1"/>
  <c r="AC359" i="5"/>
  <c r="AD359" i="5" s="1"/>
  <c r="AB80" i="5"/>
  <c r="AC386" i="5"/>
  <c r="AS386" i="5" s="1"/>
  <c r="AA265" i="5"/>
  <c r="AB447" i="5"/>
  <c r="AB19" i="5"/>
  <c r="AB247" i="5"/>
  <c r="AB208" i="5"/>
  <c r="AB532" i="5"/>
  <c r="AB217" i="5"/>
  <c r="AA27" i="5"/>
  <c r="W20" i="4"/>
  <c r="X20" i="4" s="1"/>
  <c r="AJ20" i="4" s="1"/>
  <c r="AA7" i="5"/>
  <c r="AC265" i="5"/>
  <c r="AE265" i="5" s="1"/>
  <c r="AC540" i="5"/>
  <c r="AE540" i="5" s="1"/>
  <c r="AB529" i="5"/>
  <c r="AA540" i="5"/>
  <c r="AB560" i="5"/>
  <c r="AC470" i="5"/>
  <c r="AE470" i="5" s="1"/>
  <c r="AC460" i="5"/>
  <c r="AS460" i="5" s="1"/>
  <c r="AC138" i="5"/>
  <c r="AE138" i="5" s="1"/>
  <c r="AA550" i="5"/>
  <c r="AB293" i="5"/>
  <c r="AA551" i="5"/>
  <c r="Z115" i="4"/>
  <c r="AF115" i="4" s="1"/>
  <c r="AC31" i="5"/>
  <c r="AE31" i="5" s="1"/>
  <c r="AA26" i="5"/>
  <c r="AM16" i="4"/>
  <c r="AN16" i="4" s="1"/>
  <c r="AB301" i="5"/>
  <c r="AA283" i="5"/>
  <c r="AB254" i="5"/>
  <c r="AA116" i="5"/>
  <c r="AA405" i="5"/>
  <c r="AA142" i="5"/>
  <c r="AB150" i="5"/>
  <c r="AJ157" i="4"/>
  <c r="AM128" i="4"/>
  <c r="AN128" i="4" s="1"/>
  <c r="Z43" i="4"/>
  <c r="AF43" i="4" s="1"/>
  <c r="AO43" i="4" s="1"/>
  <c r="AB169" i="5"/>
  <c r="AB379" i="5"/>
  <c r="AB42" i="5"/>
  <c r="AB196" i="5"/>
  <c r="AB403" i="5"/>
  <c r="AB487" i="5"/>
  <c r="AB189" i="5"/>
  <c r="AA36" i="5"/>
  <c r="AA502" i="5"/>
  <c r="AB537" i="5"/>
  <c r="AA514" i="5"/>
  <c r="AB121" i="5"/>
  <c r="AB151" i="5"/>
  <c r="AA106" i="5"/>
  <c r="AA48" i="5"/>
  <c r="AA53" i="5"/>
  <c r="AM134" i="4"/>
  <c r="AN134" i="4" s="1"/>
  <c r="AA523" i="5"/>
  <c r="AB335" i="5"/>
  <c r="AB390" i="5"/>
  <c r="AA63" i="5"/>
  <c r="AB93" i="5"/>
  <c r="W61" i="4"/>
  <c r="Y61" i="4" s="1"/>
  <c r="Z61" i="4" s="1"/>
  <c r="AF61" i="4" s="1"/>
  <c r="AG61" i="4" s="1"/>
  <c r="AI61" i="4" s="1"/>
  <c r="AB262" i="5"/>
  <c r="AA90" i="5"/>
  <c r="AC277" i="5"/>
  <c r="AE277" i="5" s="1"/>
  <c r="AC306" i="5"/>
  <c r="AE306" i="5" s="1"/>
  <c r="AC38" i="5"/>
  <c r="AS38" i="5" s="1"/>
  <c r="AA263" i="5"/>
  <c r="AB235" i="5"/>
  <c r="AA343" i="5"/>
  <c r="AM56" i="4"/>
  <c r="AN56" i="4" s="1"/>
  <c r="AB331" i="5"/>
  <c r="W15" i="4"/>
  <c r="Y15" i="4" s="1"/>
  <c r="Z15" i="4" s="1"/>
  <c r="AF15" i="4" s="1"/>
  <c r="AA256" i="5"/>
  <c r="AB498" i="5"/>
  <c r="AB298" i="5"/>
  <c r="AC208" i="5"/>
  <c r="AS208" i="5" s="1"/>
  <c r="AC365" i="5"/>
  <c r="AS365" i="5" s="1"/>
  <c r="AC280" i="5"/>
  <c r="AS280" i="5" s="1"/>
  <c r="AC353" i="5"/>
  <c r="AE353" i="5" s="1"/>
  <c r="AC213" i="5"/>
  <c r="AD213" i="5" s="1"/>
  <c r="AC194" i="5"/>
  <c r="AE194" i="5" s="1"/>
  <c r="AA289" i="5"/>
  <c r="AA462" i="5"/>
  <c r="AB202" i="5"/>
  <c r="AA213" i="5"/>
  <c r="AC42" i="5"/>
  <c r="AD42" i="5" s="1"/>
  <c r="AC216" i="5"/>
  <c r="AS216" i="5" s="1"/>
  <c r="AC325" i="5"/>
  <c r="AE325" i="5" s="1"/>
  <c r="AB179" i="5"/>
  <c r="AA495" i="5"/>
  <c r="AC417" i="5"/>
  <c r="AS417" i="5" s="1"/>
  <c r="AC451" i="5"/>
  <c r="AE451" i="5" s="1"/>
  <c r="AC332" i="5"/>
  <c r="AS332" i="5" s="1"/>
  <c r="AB356" i="5"/>
  <c r="AB371" i="5"/>
  <c r="AB359" i="5"/>
  <c r="AB522" i="5"/>
  <c r="AB161" i="5"/>
  <c r="AB309" i="5"/>
  <c r="AA424" i="5"/>
  <c r="AA244" i="5"/>
  <c r="AC361" i="5"/>
  <c r="AE361" i="5" s="1"/>
  <c r="AC425" i="5"/>
  <c r="AD425" i="5" s="1"/>
  <c r="AC297" i="5"/>
  <c r="AD297" i="5" s="1"/>
  <c r="AC333" i="5"/>
  <c r="AS333" i="5" s="1"/>
  <c r="AC244" i="5"/>
  <c r="AE244" i="5" s="1"/>
  <c r="AC532" i="5"/>
  <c r="AD532" i="5" s="1"/>
  <c r="AC552" i="5"/>
  <c r="AD552" i="5" s="1"/>
  <c r="AC294" i="5"/>
  <c r="AS294" i="5" s="1"/>
  <c r="AA442" i="5"/>
  <c r="AA194" i="5"/>
  <c r="AA428" i="5"/>
  <c r="AA333" i="5"/>
  <c r="AC76" i="5"/>
  <c r="AD76" i="5" s="1"/>
  <c r="AC500" i="5"/>
  <c r="AS500" i="5" s="1"/>
  <c r="AC298" i="5"/>
  <c r="AS298" i="5" s="1"/>
  <c r="AC197" i="5"/>
  <c r="AE197" i="5" s="1"/>
  <c r="AC261" i="5"/>
  <c r="AS261" i="5" s="1"/>
  <c r="AA494" i="5"/>
  <c r="AA251" i="5"/>
  <c r="AB25" i="5"/>
  <c r="AB417" i="5"/>
  <c r="AC483" i="5"/>
  <c r="AD483" i="5" s="1"/>
  <c r="AC517" i="5"/>
  <c r="AD517" i="5" s="1"/>
  <c r="AC148" i="5"/>
  <c r="AD148" i="5" s="1"/>
  <c r="AC363" i="5"/>
  <c r="AE363" i="5" s="1"/>
  <c r="AC462" i="5"/>
  <c r="AD462" i="5" s="1"/>
  <c r="AC46" i="5"/>
  <c r="AE46" i="5" s="1"/>
  <c r="AC54" i="5"/>
  <c r="AS54" i="5" s="1"/>
  <c r="AU54" i="5" s="1"/>
  <c r="AC356" i="5"/>
  <c r="AS356" i="5" s="1"/>
  <c r="AC279" i="5"/>
  <c r="AS279" i="5" s="1"/>
  <c r="AC25" i="5"/>
  <c r="AD25" i="5" s="1"/>
  <c r="AB332" i="5"/>
  <c r="AA276" i="5"/>
  <c r="AC495" i="5"/>
  <c r="AS495" i="5" s="1"/>
  <c r="AC309" i="5"/>
  <c r="AD309" i="5" s="1"/>
  <c r="AC494" i="5"/>
  <c r="AD494" i="5" s="1"/>
  <c r="AC314" i="5"/>
  <c r="AD314" i="5" s="1"/>
  <c r="AC422" i="5"/>
  <c r="AS422" i="5" s="1"/>
  <c r="AC202" i="5"/>
  <c r="AS202" i="5" s="1"/>
  <c r="AU202" i="5" s="1"/>
  <c r="AC518" i="5"/>
  <c r="AE518" i="5" s="1"/>
  <c r="AC248" i="5"/>
  <c r="AD248" i="5" s="1"/>
  <c r="AB469" i="5"/>
  <c r="AA221" i="5"/>
  <c r="AB421" i="5"/>
  <c r="AB327" i="5"/>
  <c r="AA475" i="5"/>
  <c r="AB220" i="5"/>
  <c r="AB463" i="5"/>
  <c r="AC478" i="5"/>
  <c r="AE478" i="5" s="1"/>
  <c r="AC366" i="5"/>
  <c r="AE366" i="5" s="1"/>
  <c r="AC327" i="5"/>
  <c r="AE327" i="5" s="1"/>
  <c r="AM43" i="4"/>
  <c r="AN43" i="4" s="1"/>
  <c r="AC180" i="5"/>
  <c r="AS180" i="5" s="1"/>
  <c r="AA149" i="5"/>
  <c r="AB426" i="5"/>
  <c r="AB274" i="5"/>
  <c r="W142" i="4"/>
  <c r="Y142" i="4" s="1"/>
  <c r="Z142" i="4" s="1"/>
  <c r="AB366" i="5"/>
  <c r="AA304" i="5"/>
  <c r="AB94" i="5"/>
  <c r="W57" i="4"/>
  <c r="Y57" i="4" s="1"/>
  <c r="Z57" i="4" s="1"/>
  <c r="AF57" i="4" s="1"/>
  <c r="AC469" i="5"/>
  <c r="AE469" i="5" s="1"/>
  <c r="AC241" i="5"/>
  <c r="AS241" i="5" s="1"/>
  <c r="AC142" i="5"/>
  <c r="AS142" i="5" s="1"/>
  <c r="AC237" i="5"/>
  <c r="AS237" i="5" s="1"/>
  <c r="AC283" i="5"/>
  <c r="AE283" i="5" s="1"/>
  <c r="AC304" i="5"/>
  <c r="AS304" i="5" s="1"/>
  <c r="AC477" i="5"/>
  <c r="AD477" i="5" s="1"/>
  <c r="AB416" i="5"/>
  <c r="AA539" i="5"/>
  <c r="AC267" i="5"/>
  <c r="AE267" i="5" s="1"/>
  <c r="AC220" i="5"/>
  <c r="AD220" i="5" s="1"/>
  <c r="AC482" i="5"/>
  <c r="AS482" i="5" s="1"/>
  <c r="AC122" i="5"/>
  <c r="AD122" i="5" s="1"/>
  <c r="AC22" i="5"/>
  <c r="AD22" i="5" s="1"/>
  <c r="AB133" i="5"/>
  <c r="AA59" i="5"/>
  <c r="AB429" i="5"/>
  <c r="AC341" i="5"/>
  <c r="AS341" i="5" s="1"/>
  <c r="AC101" i="5"/>
  <c r="AS101" i="5" s="1"/>
  <c r="AC374" i="5"/>
  <c r="AE374" i="5" s="1"/>
  <c r="AC165" i="5"/>
  <c r="AS165" i="5" s="1"/>
  <c r="AC504" i="5"/>
  <c r="AE504" i="5" s="1"/>
  <c r="AB351" i="5"/>
  <c r="AC405" i="5"/>
  <c r="AD405" i="5" s="1"/>
  <c r="AC26" i="5"/>
  <c r="AE26" i="5" s="1"/>
  <c r="AC416" i="5"/>
  <c r="AD416" i="5" s="1"/>
  <c r="AC150" i="5"/>
  <c r="AE150" i="5" s="1"/>
  <c r="AA241" i="5"/>
  <c r="AC351" i="5"/>
  <c r="AD351" i="5" s="1"/>
  <c r="AC551" i="5"/>
  <c r="AD551" i="5" s="1"/>
  <c r="AC94" i="5"/>
  <c r="AE94" i="5" s="1"/>
  <c r="AC476" i="5"/>
  <c r="AD476" i="5" s="1"/>
  <c r="AC254" i="5"/>
  <c r="AS254" i="5" s="1"/>
  <c r="AC133" i="5"/>
  <c r="AS133" i="5" s="1"/>
  <c r="AC274" i="5"/>
  <c r="AS274" i="5" s="1"/>
  <c r="AC301" i="5"/>
  <c r="AE301" i="5" s="1"/>
  <c r="AC421" i="5"/>
  <c r="AE421" i="5" s="1"/>
  <c r="AC116" i="5"/>
  <c r="AE116" i="5" s="1"/>
  <c r="AC475" i="5"/>
  <c r="AE475" i="5" s="1"/>
  <c r="AC438" i="5"/>
  <c r="AE438" i="5" s="1"/>
  <c r="AA260" i="5"/>
  <c r="AB546" i="5"/>
  <c r="AB545" i="5"/>
  <c r="AC222" i="5"/>
  <c r="AD222" i="5" s="1"/>
  <c r="AC434" i="5"/>
  <c r="AS434" i="5" s="1"/>
  <c r="AC158" i="5"/>
  <c r="AE158" i="5" s="1"/>
  <c r="AC360" i="5"/>
  <c r="AE360" i="5" s="1"/>
  <c r="AC496" i="5"/>
  <c r="AD496" i="5" s="1"/>
  <c r="AC232" i="5"/>
  <c r="AS232" i="5" s="1"/>
  <c r="AA222" i="5"/>
  <c r="AB132" i="5"/>
  <c r="AB360" i="5"/>
  <c r="AA137" i="5"/>
  <c r="AB368" i="5"/>
  <c r="AB174" i="5"/>
  <c r="AC50" i="5"/>
  <c r="AE50" i="5" s="1"/>
  <c r="AC200" i="5"/>
  <c r="AD200" i="5" s="1"/>
  <c r="AC132" i="5"/>
  <c r="AE132" i="5" s="1"/>
  <c r="AB278" i="5"/>
  <c r="AC59" i="5"/>
  <c r="AS59" i="5" s="1"/>
  <c r="AA376" i="5"/>
  <c r="AB31" i="5"/>
  <c r="AA499" i="5"/>
  <c r="W125" i="4"/>
  <c r="Y125" i="4" s="1"/>
  <c r="Z125" i="4" s="1"/>
  <c r="W14" i="4"/>
  <c r="Y14" i="4" s="1"/>
  <c r="Z14" i="4" s="1"/>
  <c r="AC174" i="5"/>
  <c r="AE174" i="5" s="1"/>
  <c r="AC238" i="5"/>
  <c r="AE238" i="5" s="1"/>
  <c r="AC137" i="5"/>
  <c r="AD137" i="5" s="1"/>
  <c r="AC114" i="5"/>
  <c r="AE114" i="5" s="1"/>
  <c r="AC354" i="5"/>
  <c r="AD354" i="5" s="1"/>
  <c r="AC168" i="5"/>
  <c r="AE168" i="5" s="1"/>
  <c r="AA168" i="5"/>
  <c r="AA50" i="5"/>
  <c r="AA114" i="5"/>
  <c r="AA438" i="5"/>
  <c r="AC58" i="5"/>
  <c r="AD58" i="5" s="1"/>
  <c r="AC120" i="5"/>
  <c r="AD120" i="5" s="1"/>
  <c r="AC140" i="5"/>
  <c r="AD140" i="5" s="1"/>
  <c r="AA543" i="5"/>
  <c r="AB354" i="5"/>
  <c r="AA160" i="5"/>
  <c r="AB452" i="5"/>
  <c r="AB259" i="5"/>
  <c r="AA140" i="5"/>
  <c r="AC278" i="5"/>
  <c r="AS278" i="5" s="1"/>
  <c r="AU278" i="5" s="1"/>
  <c r="AC556" i="5"/>
  <c r="AE556" i="5" s="1"/>
  <c r="AC259" i="5"/>
  <c r="AE259" i="5" s="1"/>
  <c r="AC295" i="5"/>
  <c r="AE295" i="5" s="1"/>
  <c r="AC479" i="5"/>
  <c r="AS479" i="5" s="1"/>
  <c r="AC68" i="5"/>
  <c r="AD68" i="5" s="1"/>
  <c r="AC262" i="5"/>
  <c r="AS262" i="5" s="1"/>
  <c r="AC21" i="5"/>
  <c r="AE21" i="5" s="1"/>
  <c r="AC260" i="5"/>
  <c r="AS260" i="5" s="1"/>
  <c r="AC511" i="5"/>
  <c r="AE511" i="5" s="1"/>
  <c r="AC65" i="5"/>
  <c r="AD65" i="5" s="1"/>
  <c r="AC343" i="5"/>
  <c r="AS343" i="5" s="1"/>
  <c r="AC243" i="5"/>
  <c r="AD243" i="5" s="1"/>
  <c r="AC73" i="5"/>
  <c r="AE73" i="5" s="1"/>
  <c r="AC502" i="5"/>
  <c r="AD502" i="5" s="1"/>
  <c r="AC543" i="5"/>
  <c r="AS543" i="5" s="1"/>
  <c r="AC440" i="5"/>
  <c r="AE440" i="5" s="1"/>
  <c r="AC452" i="5"/>
  <c r="AE452" i="5" s="1"/>
  <c r="AC499" i="5"/>
  <c r="AS499" i="5" s="1"/>
  <c r="AC36" i="5"/>
  <c r="AD36" i="5" s="1"/>
  <c r="AB49" i="5"/>
  <c r="AC155" i="5"/>
  <c r="AE155" i="5" s="1"/>
  <c r="AC217" i="5"/>
  <c r="AE217" i="5" s="1"/>
  <c r="AC188" i="5"/>
  <c r="AD188" i="5" s="1"/>
  <c r="AC390" i="5"/>
  <c r="AD390" i="5" s="1"/>
  <c r="AC226" i="5"/>
  <c r="AE226" i="5" s="1"/>
  <c r="AC173" i="5"/>
  <c r="AS173" i="5" s="1"/>
  <c r="AC106" i="5"/>
  <c r="AD106" i="5" s="1"/>
  <c r="AC514" i="5"/>
  <c r="AE514" i="5" s="1"/>
  <c r="AC27" i="5"/>
  <c r="AE27" i="5" s="1"/>
  <c r="AC40" i="5"/>
  <c r="AS40" i="5" s="1"/>
  <c r="AC223" i="5"/>
  <c r="AS223" i="5" s="1"/>
  <c r="AC181" i="5"/>
  <c r="AS181" i="5" s="1"/>
  <c r="AC151" i="5"/>
  <c r="AS151" i="5" s="1"/>
  <c r="AC399" i="5"/>
  <c r="AS399" i="5" s="1"/>
  <c r="AC310" i="5"/>
  <c r="AE310" i="5" s="1"/>
  <c r="AC345" i="5"/>
  <c r="AE345" i="5" s="1"/>
  <c r="AC505" i="5"/>
  <c r="AD505" i="5" s="1"/>
  <c r="AA223" i="5"/>
  <c r="AA188" i="5"/>
  <c r="AB431" i="5"/>
  <c r="AB181" i="5"/>
  <c r="AA275" i="5"/>
  <c r="AC127" i="5"/>
  <c r="AS127" i="5" s="1"/>
  <c r="AU127" i="5" s="1"/>
  <c r="AC136" i="5"/>
  <c r="AS136" i="5" s="1"/>
  <c r="AC126" i="5"/>
  <c r="AE126" i="5" s="1"/>
  <c r="AC544" i="5"/>
  <c r="AS544" i="5" s="1"/>
  <c r="AC48" i="5"/>
  <c r="AE48" i="5" s="1"/>
  <c r="AC275" i="5"/>
  <c r="AS275" i="5" s="1"/>
  <c r="AC112" i="5"/>
  <c r="AS112" i="5" s="1"/>
  <c r="AC473" i="5"/>
  <c r="AD473" i="5" s="1"/>
  <c r="AC143" i="5"/>
  <c r="AD143" i="5" s="1"/>
  <c r="AC104" i="5"/>
  <c r="AE104" i="5" s="1"/>
  <c r="AA544" i="5"/>
  <c r="AA119" i="5"/>
  <c r="AB166" i="5"/>
  <c r="AC335" i="5"/>
  <c r="AE335" i="5" s="1"/>
  <c r="AC245" i="5"/>
  <c r="AE245" i="5" s="1"/>
  <c r="AC214" i="5"/>
  <c r="AD214" i="5" s="1"/>
  <c r="AC342" i="5"/>
  <c r="AS342" i="5" s="1"/>
  <c r="AB226" i="5"/>
  <c r="AB112" i="5"/>
  <c r="AB430" i="5"/>
  <c r="AC349" i="5"/>
  <c r="AD349" i="5" s="1"/>
  <c r="AC383" i="5"/>
  <c r="AE383" i="5" s="1"/>
  <c r="AC466" i="5"/>
  <c r="AE466" i="5" s="1"/>
  <c r="AC119" i="5"/>
  <c r="AE119" i="5" s="1"/>
  <c r="AC12" i="5"/>
  <c r="AD12" i="5" s="1"/>
  <c r="AB103" i="5"/>
  <c r="AC350" i="5"/>
  <c r="AE350" i="5" s="1"/>
  <c r="AC24" i="5"/>
  <c r="AD24" i="5" s="1"/>
  <c r="AC378" i="5"/>
  <c r="AD378" i="5" s="1"/>
  <c r="AC492" i="5"/>
  <c r="AE492" i="5" s="1"/>
  <c r="AC210" i="5"/>
  <c r="AD210" i="5" s="1"/>
  <c r="AA303" i="5"/>
  <c r="AB91" i="5"/>
  <c r="W66" i="4"/>
  <c r="Y66" i="4" s="1"/>
  <c r="Z66" i="4" s="1"/>
  <c r="AC111" i="5"/>
  <c r="AD111" i="5" s="1"/>
  <c r="AC239" i="5"/>
  <c r="AE239" i="5" s="1"/>
  <c r="AC32" i="5"/>
  <c r="AE32" i="5" s="1"/>
  <c r="AA64" i="5"/>
  <c r="AA387" i="5"/>
  <c r="AC55" i="5"/>
  <c r="AE55" i="5" s="1"/>
  <c r="AC77" i="5"/>
  <c r="AE77" i="5" s="1"/>
  <c r="AC113" i="5"/>
  <c r="AD113" i="5" s="1"/>
  <c r="AC369" i="5"/>
  <c r="AE369" i="5" s="1"/>
  <c r="AA404" i="5"/>
  <c r="AB86" i="5"/>
  <c r="AA55" i="5"/>
  <c r="AB203" i="5"/>
  <c r="AC269" i="5"/>
  <c r="AS269" i="5" s="1"/>
  <c r="AC468" i="5"/>
  <c r="AD468" i="5" s="1"/>
  <c r="AB436" i="5"/>
  <c r="AA32" i="5"/>
  <c r="AA111" i="5"/>
  <c r="AC303" i="5"/>
  <c r="AS303" i="5" s="1"/>
  <c r="AC49" i="5"/>
  <c r="AD49" i="5" s="1"/>
  <c r="AC103" i="5"/>
  <c r="AD103" i="5" s="1"/>
  <c r="AC404" i="5"/>
  <c r="AD404" i="5" s="1"/>
  <c r="AA321" i="5"/>
  <c r="AC166" i="5"/>
  <c r="AD166" i="5" s="1"/>
  <c r="AB105" i="5"/>
  <c r="AA296" i="5"/>
  <c r="AA175" i="5"/>
  <c r="AC441" i="5"/>
  <c r="AE441" i="5" s="1"/>
  <c r="AC62" i="5"/>
  <c r="AD62" i="5" s="1"/>
  <c r="AC536" i="5"/>
  <c r="AS536" i="5" s="1"/>
  <c r="AC83" i="5"/>
  <c r="AS83" i="5" s="1"/>
  <c r="AC75" i="5"/>
  <c r="AD75" i="5" s="1"/>
  <c r="AC385" i="5"/>
  <c r="AE385" i="5" s="1"/>
  <c r="AA375" i="5"/>
  <c r="AA329" i="5"/>
  <c r="AA336" i="5"/>
  <c r="AA402" i="5"/>
  <c r="AB401" i="5"/>
  <c r="AA441" i="5"/>
  <c r="AB525" i="5"/>
  <c r="AC515" i="5"/>
  <c r="AS515" i="5" s="1"/>
  <c r="AC189" i="5"/>
  <c r="AS189" i="5" s="1"/>
  <c r="AC313" i="5"/>
  <c r="AD313" i="5" s="1"/>
  <c r="AC203" i="5"/>
  <c r="AS203" i="5" s="1"/>
  <c r="AC472" i="5"/>
  <c r="AE472" i="5" s="1"/>
  <c r="AC186" i="5"/>
  <c r="AD186" i="5" s="1"/>
  <c r="AC134" i="5"/>
  <c r="AE134" i="5" s="1"/>
  <c r="AB396" i="5"/>
  <c r="AA236" i="5"/>
  <c r="AA313" i="5"/>
  <c r="AA205" i="5"/>
  <c r="AB472" i="5"/>
  <c r="AB453" i="5"/>
  <c r="AC403" i="5"/>
  <c r="AD403" i="5" s="1"/>
  <c r="AC541" i="5"/>
  <c r="AD541" i="5" s="1"/>
  <c r="AC300" i="5"/>
  <c r="AD300" i="5" s="1"/>
  <c r="AC34" i="5"/>
  <c r="AS34" i="5" s="1"/>
  <c r="AC44" i="5"/>
  <c r="AD44" i="5" s="1"/>
  <c r="AA62" i="5"/>
  <c r="AA392" i="5"/>
  <c r="AC401" i="5"/>
  <c r="AE401" i="5" s="1"/>
  <c r="AC229" i="5"/>
  <c r="AD229" i="5" s="1"/>
  <c r="AC427" i="5"/>
  <c r="AS427" i="5" s="1"/>
  <c r="AB456" i="5"/>
  <c r="AB171" i="5"/>
  <c r="Y73" i="4"/>
  <c r="Z73" i="4" s="1"/>
  <c r="AA73" i="4" s="1"/>
  <c r="AC73" i="4" s="1"/>
  <c r="AD73" i="4" s="1"/>
  <c r="AC455" i="5"/>
  <c r="AD455" i="5" s="1"/>
  <c r="AC456" i="5"/>
  <c r="AS456" i="5" s="1"/>
  <c r="AC205" i="5"/>
  <c r="AD205" i="5" s="1"/>
  <c r="AC218" i="5"/>
  <c r="AE218" i="5" s="1"/>
  <c r="AC395" i="5"/>
  <c r="AS395" i="5" s="1"/>
  <c r="AC128" i="5"/>
  <c r="AD128" i="5" s="1"/>
  <c r="AC375" i="5"/>
  <c r="AD375" i="5" s="1"/>
  <c r="AE73" i="4"/>
  <c r="AA455" i="5"/>
  <c r="AA60" i="5"/>
  <c r="AB8" i="5"/>
  <c r="AA382" i="5"/>
  <c r="AC329" i="5"/>
  <c r="AS329" i="5" s="1"/>
  <c r="AC302" i="5"/>
  <c r="AE302" i="5" s="1"/>
  <c r="AC171" i="5"/>
  <c r="AS171" i="5" s="1"/>
  <c r="AC450" i="5"/>
  <c r="AS450" i="5" s="1"/>
  <c r="AC336" i="5"/>
  <c r="AD336" i="5" s="1"/>
  <c r="AC60" i="5"/>
  <c r="AD60" i="5" s="1"/>
  <c r="AC381" i="5"/>
  <c r="AS381" i="5" s="1"/>
  <c r="AC236" i="5"/>
  <c r="AE236" i="5" s="1"/>
  <c r="AC402" i="5"/>
  <c r="AD402" i="5" s="1"/>
  <c r="AC145" i="5"/>
  <c r="AD145" i="5" s="1"/>
  <c r="AC433" i="5"/>
  <c r="AS433" i="5" s="1"/>
  <c r="AC453" i="5"/>
  <c r="AE453" i="5" s="1"/>
  <c r="AC382" i="5"/>
  <c r="AD382" i="5" s="1"/>
  <c r="W135" i="4"/>
  <c r="Y135" i="4" s="1"/>
  <c r="Z135" i="4" s="1"/>
  <c r="AN11" i="5"/>
  <c r="AC125" i="5"/>
  <c r="AS125" i="5" s="1"/>
  <c r="AC513" i="5"/>
  <c r="AE513" i="5" s="1"/>
  <c r="AC377" i="5"/>
  <c r="AD377" i="5" s="1"/>
  <c r="AC29" i="5"/>
  <c r="AE29" i="5" s="1"/>
  <c r="AC129" i="5"/>
  <c r="AD129" i="5" s="1"/>
  <c r="AC69" i="5"/>
  <c r="AS69" i="5" s="1"/>
  <c r="AC193" i="5"/>
  <c r="AE193" i="5" s="1"/>
  <c r="AC486" i="5"/>
  <c r="AE486" i="5" s="1"/>
  <c r="AC398" i="5"/>
  <c r="AE398" i="5" s="1"/>
  <c r="AA294" i="5"/>
  <c r="AA69" i="5"/>
  <c r="AA486" i="5"/>
  <c r="AA70" i="5"/>
  <c r="AA548" i="5"/>
  <c r="AC70" i="5"/>
  <c r="AS70" i="5" s="1"/>
  <c r="AC251" i="5"/>
  <c r="AS251" i="5" s="1"/>
  <c r="AC228" i="5"/>
  <c r="AE228" i="5" s="1"/>
  <c r="AC285" i="5"/>
  <c r="AD285" i="5" s="1"/>
  <c r="AC110" i="5"/>
  <c r="AE110" i="5" s="1"/>
  <c r="AC43" i="5"/>
  <c r="AS43" i="5" s="1"/>
  <c r="AB400" i="5"/>
  <c r="AB533" i="5"/>
  <c r="AB513" i="5"/>
  <c r="AB509" i="5"/>
  <c r="AB228" i="5"/>
  <c r="AA29" i="5"/>
  <c r="AM33" i="4"/>
  <c r="AN33" i="4" s="1"/>
  <c r="AC179" i="5"/>
  <c r="AE179" i="5" s="1"/>
  <c r="AC394" i="5"/>
  <c r="AD394" i="5" s="1"/>
  <c r="AC481" i="5"/>
  <c r="AS481" i="5" s="1"/>
  <c r="AC533" i="5"/>
  <c r="AD533" i="5" s="1"/>
  <c r="AC424" i="5"/>
  <c r="AS424" i="5" s="1"/>
  <c r="AC268" i="5"/>
  <c r="AS268" i="5" s="1"/>
  <c r="AC270" i="5"/>
  <c r="AE270" i="5" s="1"/>
  <c r="AB255" i="5"/>
  <c r="AA129" i="5"/>
  <c r="AA394" i="5"/>
  <c r="AB270" i="5"/>
  <c r="AB425" i="5"/>
  <c r="AB491" i="5"/>
  <c r="AH18" i="4"/>
  <c r="AC444" i="5"/>
  <c r="AE444" i="5" s="1"/>
  <c r="AC555" i="5"/>
  <c r="AD555" i="5" s="1"/>
  <c r="AC338" i="5"/>
  <c r="AS338" i="5" s="1"/>
  <c r="AC163" i="5"/>
  <c r="AD163" i="5" s="1"/>
  <c r="AB163" i="5"/>
  <c r="AA157" i="5"/>
  <c r="AC99" i="5"/>
  <c r="AD99" i="5" s="1"/>
  <c r="AC255" i="5"/>
  <c r="AE255" i="5" s="1"/>
  <c r="AC553" i="5"/>
  <c r="AS553" i="5" s="1"/>
  <c r="AC388" i="5"/>
  <c r="AE388" i="5" s="1"/>
  <c r="AC247" i="5"/>
  <c r="AD247" i="5" s="1"/>
  <c r="AC93" i="5"/>
  <c r="AE93" i="5" s="1"/>
  <c r="W12" i="4"/>
  <c r="AE12" i="4" s="1"/>
  <c r="AC509" i="5"/>
  <c r="AD509" i="5" s="1"/>
  <c r="AC157" i="5"/>
  <c r="AD157" i="5" s="1"/>
  <c r="AC90" i="5"/>
  <c r="AE90" i="5" s="1"/>
  <c r="AC153" i="5"/>
  <c r="AD153" i="5" s="1"/>
  <c r="AC35" i="5"/>
  <c r="AD35" i="5" s="1"/>
  <c r="AC548" i="5"/>
  <c r="AE548" i="5" s="1"/>
  <c r="AC53" i="5"/>
  <c r="AE53" i="5" s="1"/>
  <c r="AA43" i="5"/>
  <c r="AA125" i="5"/>
  <c r="AC257" i="5"/>
  <c r="AS257" i="5" s="1"/>
  <c r="AT257" i="5" s="1"/>
  <c r="AC331" i="5"/>
  <c r="AS331" i="5" s="1"/>
  <c r="AC178" i="5"/>
  <c r="AD178" i="5" s="1"/>
  <c r="AC498" i="5"/>
  <c r="AS498" i="5" s="1"/>
  <c r="AC491" i="5"/>
  <c r="AS491" i="5" s="1"/>
  <c r="AC362" i="5"/>
  <c r="AS362" i="5" s="1"/>
  <c r="AC400" i="5"/>
  <c r="AE400" i="5" s="1"/>
  <c r="AC67" i="5"/>
  <c r="AE67" i="5" s="1"/>
  <c r="AC33" i="5"/>
  <c r="AS33" i="5" s="1"/>
  <c r="AC428" i="5"/>
  <c r="AE428" i="5" s="1"/>
  <c r="AC263" i="5"/>
  <c r="AD263" i="5" s="1"/>
  <c r="AB380" i="5"/>
  <c r="AA501" i="5"/>
  <c r="AB471" i="5"/>
  <c r="AB320" i="5"/>
  <c r="AA306" i="5"/>
  <c r="AC141" i="5"/>
  <c r="AD141" i="5" s="1"/>
  <c r="AC198" i="5"/>
  <c r="AD198" i="5" s="1"/>
  <c r="AC183" i="5"/>
  <c r="AS183" i="5" s="1"/>
  <c r="AC465" i="5"/>
  <c r="AS465" i="5" s="1"/>
  <c r="AA118" i="5"/>
  <c r="AB209" i="5"/>
  <c r="AA435" i="5"/>
  <c r="AC82" i="5"/>
  <c r="AE82" i="5" s="1"/>
  <c r="AC253" i="5"/>
  <c r="AS253" i="5" s="1"/>
  <c r="AC380" i="5"/>
  <c r="AS380" i="5" s="1"/>
  <c r="AC291" i="5"/>
  <c r="AE291" i="5" s="1"/>
  <c r="AC209" i="5"/>
  <c r="AD209" i="5" s="1"/>
  <c r="AC293" i="5"/>
  <c r="AE293" i="5" s="1"/>
  <c r="AC560" i="5"/>
  <c r="AE560" i="5" s="1"/>
  <c r="AC384" i="5"/>
  <c r="AD384" i="5" s="1"/>
  <c r="AC175" i="5"/>
  <c r="AS175" i="5" s="1"/>
  <c r="AT175" i="5" s="1"/>
  <c r="AC296" i="5"/>
  <c r="AS296" i="5" s="1"/>
  <c r="AC318" i="5"/>
  <c r="AD318" i="5" s="1"/>
  <c r="AC413" i="5"/>
  <c r="AS413" i="5" s="1"/>
  <c r="AB348" i="5"/>
  <c r="AA108" i="5"/>
  <c r="AC199" i="5"/>
  <c r="AD199" i="5" s="1"/>
  <c r="AA100" i="5"/>
  <c r="AC7" i="5"/>
  <c r="AS7" i="5" s="1"/>
  <c r="AC147" i="5"/>
  <c r="AS147" i="5" s="1"/>
  <c r="AU147" i="5" s="1"/>
  <c r="AC471" i="5"/>
  <c r="AS471" i="5" s="1"/>
  <c r="AC348" i="5"/>
  <c r="AS348" i="5" s="1"/>
  <c r="AC339" i="5"/>
  <c r="AS339" i="5" s="1"/>
  <c r="AC19" i="5"/>
  <c r="AD19" i="5" s="1"/>
  <c r="AC219" i="5"/>
  <c r="AE219" i="5" s="1"/>
  <c r="AC501" i="5"/>
  <c r="AD501" i="5" s="1"/>
  <c r="AC316" i="5"/>
  <c r="AE316" i="5" s="1"/>
  <c r="AB291" i="5"/>
  <c r="AA231" i="5"/>
  <c r="AB460" i="5"/>
  <c r="AA82" i="5"/>
  <c r="AA199" i="5"/>
  <c r="AB521" i="5"/>
  <c r="AA470" i="5"/>
  <c r="AC437" i="5"/>
  <c r="AD437" i="5" s="1"/>
  <c r="AC108" i="5"/>
  <c r="AD108" i="5" s="1"/>
  <c r="AC308" i="5"/>
  <c r="AD308" i="5" s="1"/>
  <c r="AC406" i="5"/>
  <c r="AD406" i="5" s="1"/>
  <c r="AC447" i="5"/>
  <c r="AD447" i="5" s="1"/>
  <c r="AC344" i="5"/>
  <c r="AD344" i="5" s="1"/>
  <c r="AC231" i="5"/>
  <c r="AD231" i="5" s="1"/>
  <c r="AC78" i="5"/>
  <c r="AS78" i="5" s="1"/>
  <c r="AT78" i="5" s="1"/>
  <c r="AB92" i="5"/>
  <c r="AC529" i="5"/>
  <c r="AE529" i="5" s="1"/>
  <c r="AC521" i="5"/>
  <c r="AS521" i="5" s="1"/>
  <c r="AC320" i="5"/>
  <c r="AE320" i="5" s="1"/>
  <c r="AC411" i="5"/>
  <c r="AE411" i="5" s="1"/>
  <c r="AC115" i="5"/>
  <c r="AD115" i="5" s="1"/>
  <c r="AM115" i="4"/>
  <c r="AN115" i="4" s="1"/>
  <c r="AM26" i="4"/>
  <c r="AN26" i="4" s="1"/>
  <c r="W26" i="4"/>
  <c r="AA409" i="5"/>
  <c r="AA414" i="5"/>
  <c r="AC321" i="5"/>
  <c r="AD321" i="5" s="1"/>
  <c r="AC410" i="5"/>
  <c r="AE410" i="5" s="1"/>
  <c r="AC480" i="5"/>
  <c r="AD480" i="5" s="1"/>
  <c r="AC135" i="5"/>
  <c r="AS135" i="5" s="1"/>
  <c r="AC420" i="5"/>
  <c r="AD420" i="5" s="1"/>
  <c r="AC559" i="5"/>
  <c r="AD559" i="5" s="1"/>
  <c r="AC436" i="5"/>
  <c r="AS436" i="5" s="1"/>
  <c r="AA66" i="5"/>
  <c r="AC182" i="5"/>
  <c r="AS182" i="5" s="1"/>
  <c r="AT182" i="5" s="1"/>
  <c r="AC20" i="5"/>
  <c r="AD20" i="5" s="1"/>
  <c r="AC45" i="5"/>
  <c r="AE45" i="5" s="1"/>
  <c r="AC201" i="5"/>
  <c r="AD201" i="5" s="1"/>
  <c r="AC102" i="5"/>
  <c r="AD102" i="5" s="1"/>
  <c r="AC323" i="5"/>
  <c r="AD323" i="5" s="1"/>
  <c r="AC66" i="5"/>
  <c r="AE66" i="5" s="1"/>
  <c r="AC528" i="5"/>
  <c r="AE528" i="5" s="1"/>
  <c r="AA369" i="5"/>
  <c r="AA317" i="5"/>
  <c r="AA410" i="5"/>
  <c r="AC204" i="5"/>
  <c r="AE204" i="5" s="1"/>
  <c r="AC506" i="5"/>
  <c r="AS506" i="5" s="1"/>
  <c r="AC409" i="5"/>
  <c r="AE409" i="5" s="1"/>
  <c r="AA282" i="5"/>
  <c r="AA506" i="5"/>
  <c r="AB135" i="5"/>
  <c r="AA201" i="5"/>
  <c r="AC272" i="5"/>
  <c r="AE272" i="5" s="1"/>
  <c r="AC414" i="5"/>
  <c r="AE414" i="5" s="1"/>
  <c r="AC81" i="5"/>
  <c r="AS81" i="5" s="1"/>
  <c r="AU81" i="5" s="1"/>
  <c r="AC387" i="5"/>
  <c r="AD387" i="5" s="1"/>
  <c r="AC266" i="5"/>
  <c r="AS266" i="5" s="1"/>
  <c r="AC282" i="5"/>
  <c r="AS282" i="5" s="1"/>
  <c r="AC72" i="5"/>
  <c r="AS72" i="5" s="1"/>
  <c r="AU72" i="5" s="1"/>
  <c r="AC558" i="5"/>
  <c r="AD558" i="5" s="1"/>
  <c r="AC317" i="5"/>
  <c r="AS317" i="5" s="1"/>
  <c r="AC240" i="5"/>
  <c r="AD240" i="5" s="1"/>
  <c r="AE118" i="4"/>
  <c r="AF118" i="4"/>
  <c r="AG118" i="4" s="1"/>
  <c r="AI118" i="4" s="1"/>
  <c r="X118" i="4"/>
  <c r="AA118" i="4" s="1"/>
  <c r="AC118" i="4" s="1"/>
  <c r="AD118" i="4" s="1"/>
  <c r="AJ91" i="4"/>
  <c r="AL11" i="5"/>
  <c r="AE96" i="4"/>
  <c r="X96" i="4"/>
  <c r="AJ96" i="4" s="1"/>
  <c r="AJ77" i="4"/>
  <c r="AO9" i="5"/>
  <c r="W39" i="4"/>
  <c r="X39" i="4" s="1"/>
  <c r="AJ39" i="4" s="1"/>
  <c r="W72" i="4"/>
  <c r="Y72" i="4" s="1"/>
  <c r="Z72" i="4" s="1"/>
  <c r="AF72" i="4" s="1"/>
  <c r="AG72" i="4" s="1"/>
  <c r="AI72" i="4" s="1"/>
  <c r="AG96" i="4"/>
  <c r="AI96" i="4" s="1"/>
  <c r="Z149" i="4"/>
  <c r="AF149" i="4" s="1"/>
  <c r="AO149" i="4" s="1"/>
  <c r="W22" i="4"/>
  <c r="X22" i="4" s="1"/>
  <c r="AJ22" i="4" s="1"/>
  <c r="AE140" i="4"/>
  <c r="X140" i="4"/>
  <c r="AJ140" i="4" s="1"/>
  <c r="W109" i="4"/>
  <c r="X109" i="4" s="1"/>
  <c r="AJ109" i="4" s="1"/>
  <c r="Z42" i="4"/>
  <c r="AF42" i="4" s="1"/>
  <c r="W129" i="4"/>
  <c r="Y129" i="4" s="1"/>
  <c r="Z129" i="4" s="1"/>
  <c r="AF129" i="4" s="1"/>
  <c r="AP9" i="5"/>
  <c r="AR9" i="5" s="1"/>
  <c r="W148" i="4"/>
  <c r="X148" i="4" s="1"/>
  <c r="AJ148" i="4" s="1"/>
  <c r="AP11" i="5"/>
  <c r="AQ11" i="5" s="1"/>
  <c r="AM121" i="4"/>
  <c r="AN121" i="4" s="1"/>
  <c r="W67" i="4"/>
  <c r="Y67" i="4" s="1"/>
  <c r="Z67" i="4" s="1"/>
  <c r="AM59" i="4"/>
  <c r="AN59" i="4" s="1"/>
  <c r="W59" i="4"/>
  <c r="X59" i="4" s="1"/>
  <c r="AJ59" i="4" s="1"/>
  <c r="AM132" i="4"/>
  <c r="AN132" i="4" s="1"/>
  <c r="W132" i="4"/>
  <c r="AM83" i="4"/>
  <c r="AN83" i="4" s="1"/>
  <c r="W83" i="4"/>
  <c r="AM141" i="4"/>
  <c r="AN141" i="4" s="1"/>
  <c r="W141" i="4"/>
  <c r="AM62" i="4"/>
  <c r="AN62" i="4" s="1"/>
  <c r="W62" i="4"/>
  <c r="AM21" i="4"/>
  <c r="AN21" i="4" s="1"/>
  <c r="W21" i="4"/>
  <c r="AN84" i="4"/>
  <c r="AM79" i="4"/>
  <c r="AN79" i="4" s="1"/>
  <c r="W79" i="4"/>
  <c r="Y79" i="4" s="1"/>
  <c r="Z79" i="4" s="1"/>
  <c r="W24" i="4"/>
  <c r="AM24" i="4"/>
  <c r="AN24" i="4" s="1"/>
  <c r="X105" i="4"/>
  <c r="AJ105" i="4" s="1"/>
  <c r="Y105" i="4"/>
  <c r="Z105" i="4" s="1"/>
  <c r="AE105" i="4"/>
  <c r="AH105" i="4"/>
  <c r="AM133" i="4"/>
  <c r="AN133" i="4" s="1"/>
  <c r="W133" i="4"/>
  <c r="W155" i="4"/>
  <c r="AE155" i="4" s="1"/>
  <c r="AM155" i="4"/>
  <c r="AN155" i="4" s="1"/>
  <c r="AM101" i="4"/>
  <c r="AN101" i="4" s="1"/>
  <c r="W101" i="4"/>
  <c r="AM34" i="4"/>
  <c r="AN34" i="4" s="1"/>
  <c r="W34" i="4"/>
  <c r="AM130" i="4"/>
  <c r="AN130" i="4" s="1"/>
  <c r="W130" i="4"/>
  <c r="Z140" i="4"/>
  <c r="AN143" i="4"/>
  <c r="AM144" i="4"/>
  <c r="AN144" i="4" s="1"/>
  <c r="W144" i="4"/>
  <c r="AN140" i="4"/>
  <c r="W152" i="4"/>
  <c r="Y152" i="4" s="1"/>
  <c r="Z152" i="4" s="1"/>
  <c r="W94" i="4"/>
  <c r="AE94" i="4" s="1"/>
  <c r="AM94" i="4"/>
  <c r="AN94" i="4" s="1"/>
  <c r="AM58" i="4"/>
  <c r="AN58" i="4" s="1"/>
  <c r="W58" i="4"/>
  <c r="AH155" i="4"/>
  <c r="AM10" i="4"/>
  <c r="AN10" i="4" s="1"/>
  <c r="W10" i="4"/>
  <c r="Y91" i="4"/>
  <c r="Z91" i="4" s="1"/>
  <c r="AA91" i="4" s="1"/>
  <c r="AC91" i="4" s="1"/>
  <c r="AD91" i="4" s="1"/>
  <c r="AE143" i="4"/>
  <c r="AE91" i="4"/>
  <c r="AE76" i="4"/>
  <c r="Y76" i="4"/>
  <c r="Z76" i="4" s="1"/>
  <c r="R9" i="5"/>
  <c r="S9" i="5"/>
  <c r="X84" i="4"/>
  <c r="AJ84" i="4" s="1"/>
  <c r="AE84" i="4"/>
  <c r="Y84" i="4"/>
  <c r="Z84" i="4" s="1"/>
  <c r="AI9" i="5"/>
  <c r="AH9" i="5"/>
  <c r="V9" i="5"/>
  <c r="U9" i="5"/>
  <c r="Y9" i="5"/>
  <c r="X9" i="5"/>
  <c r="AF143" i="4"/>
  <c r="X143" i="4"/>
  <c r="AJ143" i="4" s="1"/>
  <c r="AE40" i="4"/>
  <c r="AA11" i="5"/>
  <c r="AI11" i="5"/>
  <c r="AH11" i="5"/>
  <c r="S11" i="5"/>
  <c r="R11" i="5"/>
  <c r="X11" i="5"/>
  <c r="Y11" i="5"/>
  <c r="AR327" i="5"/>
  <c r="AR436" i="5"/>
  <c r="AQ438" i="5"/>
  <c r="AQ420" i="5"/>
  <c r="AR381" i="5"/>
  <c r="AQ392" i="5"/>
  <c r="AR261" i="5"/>
  <c r="AR531" i="5"/>
  <c r="AQ259" i="5"/>
  <c r="AR103" i="5"/>
  <c r="AR533" i="5"/>
  <c r="AR274" i="5"/>
  <c r="AQ66" i="5"/>
  <c r="AR474" i="5"/>
  <c r="AQ140" i="5"/>
  <c r="AQ101" i="5"/>
  <c r="AQ487" i="5"/>
  <c r="AR278" i="5"/>
  <c r="AR337" i="5"/>
  <c r="AQ143" i="5"/>
  <c r="AR397" i="5"/>
  <c r="AR226" i="5"/>
  <c r="AR296" i="5"/>
  <c r="AE122" i="4"/>
  <c r="AB128" i="5"/>
  <c r="AA180" i="5"/>
  <c r="AA361" i="5"/>
  <c r="AA338" i="5"/>
  <c r="AB353" i="5"/>
  <c r="AC315" i="5"/>
  <c r="AE315" i="5" s="1"/>
  <c r="AA267" i="5"/>
  <c r="AA253" i="5"/>
  <c r="AB362" i="5"/>
  <c r="AC396" i="5"/>
  <c r="AE396" i="5" s="1"/>
  <c r="AA318" i="5"/>
  <c r="AB511" i="5"/>
  <c r="AC539" i="5"/>
  <c r="AD539" i="5" s="1"/>
  <c r="AB465" i="5"/>
  <c r="AC430" i="5"/>
  <c r="AD430" i="5" s="1"/>
  <c r="AA346" i="5"/>
  <c r="AA281" i="5"/>
  <c r="AC8" i="5"/>
  <c r="AE8" i="5" s="1"/>
  <c r="AA158" i="5"/>
  <c r="AB357" i="5"/>
  <c r="AC290" i="5"/>
  <c r="AS290" i="5" s="1"/>
  <c r="AC305" i="5"/>
  <c r="AS305" i="5" s="1"/>
  <c r="AB206" i="5"/>
  <c r="AB440" i="5"/>
  <c r="AC292" i="5"/>
  <c r="AD292" i="5" s="1"/>
  <c r="AB65" i="5"/>
  <c r="AB214" i="5"/>
  <c r="AB101" i="5"/>
  <c r="AB326" i="5"/>
  <c r="AB253" i="5"/>
  <c r="AB287" i="5"/>
  <c r="AA465" i="5"/>
  <c r="AA295" i="5"/>
  <c r="AC346" i="5"/>
  <c r="AD346" i="5" s="1"/>
  <c r="AA186" i="5"/>
  <c r="AB158" i="5"/>
  <c r="AC407" i="5"/>
  <c r="AD407" i="5" s="1"/>
  <c r="AC357" i="5"/>
  <c r="AE357" i="5" s="1"/>
  <c r="AA290" i="5"/>
  <c r="AA305" i="5"/>
  <c r="AA440" i="5"/>
  <c r="AB292" i="5"/>
  <c r="AA65" i="5"/>
  <c r="AB230" i="5"/>
  <c r="AC326" i="5"/>
  <c r="AD326" i="5" s="1"/>
  <c r="AA353" i="5"/>
  <c r="AB339" i="5"/>
  <c r="AC95" i="5"/>
  <c r="AE95" i="5" s="1"/>
  <c r="AB295" i="5"/>
  <c r="AB186" i="5"/>
  <c r="AA488" i="5"/>
  <c r="AA407" i="5"/>
  <c r="AA427" i="5"/>
  <c r="AA323" i="5"/>
  <c r="AC227" i="5"/>
  <c r="AD227" i="5" s="1"/>
  <c r="AC230" i="5"/>
  <c r="AD230" i="5" s="1"/>
  <c r="AA315" i="5"/>
  <c r="AA245" i="5"/>
  <c r="AC284" i="5"/>
  <c r="AS284" i="5" s="1"/>
  <c r="AC287" i="5"/>
  <c r="AE287" i="5" s="1"/>
  <c r="AC311" i="5"/>
  <c r="AS311" i="5" s="1"/>
  <c r="AC124" i="5"/>
  <c r="AD124" i="5" s="1"/>
  <c r="AA496" i="5"/>
  <c r="AB377" i="5"/>
  <c r="AB245" i="5"/>
  <c r="AC224" i="5"/>
  <c r="AD224" i="5" s="1"/>
  <c r="AA339" i="5"/>
  <c r="AA284" i="5"/>
  <c r="AA95" i="5"/>
  <c r="AA311" i="5"/>
  <c r="AA365" i="5"/>
  <c r="AA391" i="5"/>
  <c r="AC172" i="5"/>
  <c r="AD172" i="5" s="1"/>
  <c r="AB20" i="5"/>
  <c r="AB458" i="5"/>
  <c r="AA127" i="5"/>
  <c r="AA122" i="5"/>
  <c r="AB323" i="5"/>
  <c r="AB496" i="5"/>
  <c r="AA377" i="5"/>
  <c r="AA172" i="5"/>
  <c r="AA197" i="5"/>
  <c r="AB399" i="5"/>
  <c r="AA224" i="5"/>
  <c r="AB365" i="5"/>
  <c r="AC176" i="5"/>
  <c r="AS176" i="5" s="1"/>
  <c r="AE146" i="4"/>
  <c r="AC391" i="5"/>
  <c r="AD391" i="5" s="1"/>
  <c r="AC458" i="5"/>
  <c r="AE458" i="5" s="1"/>
  <c r="AB127" i="5"/>
  <c r="AB122" i="5"/>
  <c r="AC435" i="5"/>
  <c r="AE435" i="5" s="1"/>
  <c r="AA176" i="5"/>
  <c r="AA504" i="5"/>
  <c r="AB117" i="5"/>
  <c r="AB124" i="5"/>
  <c r="AA239" i="5"/>
  <c r="AB197" i="5"/>
  <c r="AB45" i="5"/>
  <c r="AC196" i="5"/>
  <c r="AD196" i="5" s="1"/>
  <c r="AA450" i="5"/>
  <c r="AA20" i="5"/>
  <c r="AC442" i="5"/>
  <c r="AD442" i="5" s="1"/>
  <c r="AA269" i="5"/>
  <c r="AB473" i="5"/>
  <c r="AB450" i="5"/>
  <c r="AB165" i="5"/>
  <c r="AB120" i="5"/>
  <c r="AA45" i="5"/>
  <c r="AC423" i="5"/>
  <c r="AD423" i="5" s="1"/>
  <c r="AC490" i="5"/>
  <c r="AD490" i="5" s="1"/>
  <c r="AC355" i="5"/>
  <c r="AD355" i="5" s="1"/>
  <c r="AF108" i="4"/>
  <c r="AG108" i="4" s="1"/>
  <c r="AI108" i="4" s="1"/>
  <c r="AA300" i="5"/>
  <c r="AE123" i="4"/>
  <c r="AB433" i="5"/>
  <c r="AA248" i="5"/>
  <c r="AA252" i="5"/>
  <c r="AA84" i="5"/>
  <c r="AA23" i="5"/>
  <c r="AB427" i="5"/>
  <c r="AA28" i="5"/>
  <c r="AA399" i="5"/>
  <c r="AA87" i="5"/>
  <c r="AA381" i="5"/>
  <c r="AA178" i="5"/>
  <c r="AC28" i="5"/>
  <c r="AE28" i="5" s="1"/>
  <c r="AB178" i="5"/>
  <c r="AA334" i="5"/>
  <c r="AC524" i="5"/>
  <c r="AS524" i="5" s="1"/>
  <c r="AB54" i="5"/>
  <c r="AB143" i="5"/>
  <c r="AB61" i="5"/>
  <c r="AB246" i="5"/>
  <c r="AA21" i="5"/>
  <c r="AA225" i="5"/>
  <c r="AA10" i="5"/>
  <c r="AB341" i="5"/>
  <c r="AB268" i="5"/>
  <c r="AA480" i="5"/>
  <c r="AA434" i="5"/>
  <c r="AA104" i="5"/>
  <c r="AB434" i="5"/>
  <c r="AB280" i="5"/>
  <c r="AB182" i="5"/>
  <c r="AA530" i="5"/>
  <c r="AB542" i="5"/>
  <c r="X40" i="4"/>
  <c r="AJ40" i="4" s="1"/>
  <c r="AE82" i="4"/>
  <c r="AB302" i="5"/>
  <c r="AA310" i="5"/>
  <c r="AB307" i="5"/>
  <c r="AB30" i="5"/>
  <c r="AC187" i="5"/>
  <c r="AS187" i="5" s="1"/>
  <c r="AC167" i="5"/>
  <c r="AS167" i="5" s="1"/>
  <c r="AB508" i="5"/>
  <c r="AC449" i="5"/>
  <c r="AS449" i="5" s="1"/>
  <c r="AB44" i="5"/>
  <c r="AB449" i="5"/>
  <c r="AE71" i="4"/>
  <c r="AB210" i="5"/>
  <c r="AB73" i="5"/>
  <c r="AB279" i="5"/>
  <c r="AB159" i="5"/>
  <c r="AE31" i="4"/>
  <c r="AB411" i="5"/>
  <c r="AA383" i="5"/>
  <c r="AA183" i="5"/>
  <c r="AC322" i="5"/>
  <c r="AE322" i="5" s="1"/>
  <c r="AB237" i="5"/>
  <c r="AA73" i="5"/>
  <c r="AA337" i="5"/>
  <c r="AC37" i="5"/>
  <c r="AS37" i="5" s="1"/>
  <c r="AA510" i="5"/>
  <c r="AA152" i="5"/>
  <c r="AC86" i="5"/>
  <c r="AE86" i="5" s="1"/>
  <c r="AA508" i="5"/>
  <c r="AA78" i="5"/>
  <c r="AC79" i="5"/>
  <c r="AD79" i="5" s="1"/>
  <c r="AA162" i="5"/>
  <c r="AB240" i="5"/>
  <c r="AA79" i="5"/>
  <c r="AB378" i="5"/>
  <c r="AB233" i="5"/>
  <c r="AC249" i="5"/>
  <c r="AE249" i="5" s="1"/>
  <c r="AB68" i="5"/>
  <c r="AA190" i="5"/>
  <c r="AA52" i="5"/>
  <c r="AA12" i="5"/>
  <c r="AC177" i="5"/>
  <c r="AD177" i="5" s="1"/>
  <c r="AC211" i="5"/>
  <c r="AE211" i="5" s="1"/>
  <c r="AA227" i="5"/>
  <c r="AA237" i="5"/>
  <c r="AA352" i="5"/>
  <c r="AC233" i="5"/>
  <c r="AE233" i="5" s="1"/>
  <c r="AB249" i="5"/>
  <c r="AA68" i="5"/>
  <c r="AA234" i="5"/>
  <c r="AA177" i="5"/>
  <c r="AB156" i="5"/>
  <c r="AB198" i="5"/>
  <c r="AC419" i="5"/>
  <c r="AD419" i="5" s="1"/>
  <c r="AB211" i="5"/>
  <c r="AB195" i="5"/>
  <c r="AB345" i="5"/>
  <c r="AA378" i="5"/>
  <c r="AC246" i="5"/>
  <c r="AD246" i="5" s="1"/>
  <c r="AB123" i="5"/>
  <c r="AB271" i="5"/>
  <c r="AA56" i="5"/>
  <c r="AC352" i="5"/>
  <c r="AD352" i="5" s="1"/>
  <c r="AC393" i="5"/>
  <c r="AE393" i="5" s="1"/>
  <c r="AB234" i="5"/>
  <c r="AA556" i="5"/>
  <c r="AC330" i="5"/>
  <c r="AE330" i="5" s="1"/>
  <c r="AC156" i="5"/>
  <c r="AD156" i="5" s="1"/>
  <c r="AA164" i="5"/>
  <c r="AB141" i="5"/>
  <c r="AB386" i="5"/>
  <c r="AC195" i="5"/>
  <c r="AE195" i="5" s="1"/>
  <c r="AA552" i="5"/>
  <c r="AA115" i="5"/>
  <c r="AA280" i="5"/>
  <c r="AC123" i="5"/>
  <c r="AS123" i="5" s="1"/>
  <c r="AC271" i="5"/>
  <c r="AD271" i="5" s="1"/>
  <c r="AC56" i="5"/>
  <c r="AE56" i="5" s="1"/>
  <c r="AC159" i="5"/>
  <c r="AS159" i="5" s="1"/>
  <c r="AB393" i="5"/>
  <c r="AA187" i="5"/>
  <c r="AC337" i="5"/>
  <c r="AS337" i="5" s="1"/>
  <c r="AB556" i="5"/>
  <c r="AA44" i="5"/>
  <c r="AB37" i="5"/>
  <c r="AA330" i="5"/>
  <c r="AA218" i="5"/>
  <c r="AB102" i="5"/>
  <c r="AA141" i="5"/>
  <c r="AA167" i="5"/>
  <c r="AA229" i="5"/>
  <c r="AB115" i="5"/>
  <c r="AB77" i="5"/>
  <c r="AB21" i="5"/>
  <c r="AB310" i="5"/>
  <c r="AB218" i="5"/>
  <c r="AA102" i="5"/>
  <c r="AB183" i="5"/>
  <c r="AC30" i="5"/>
  <c r="AD30" i="5" s="1"/>
  <c r="AB322" i="5"/>
  <c r="AC542" i="5"/>
  <c r="AE542" i="5" s="1"/>
  <c r="AB229" i="5"/>
  <c r="AE108" i="4"/>
  <c r="X123" i="4"/>
  <c r="AJ123" i="4" s="1"/>
  <c r="AC162" i="5"/>
  <c r="AD162" i="5" s="1"/>
  <c r="AC52" i="5"/>
  <c r="AD52" i="5" s="1"/>
  <c r="AC307" i="5"/>
  <c r="AE307" i="5" s="1"/>
  <c r="AA182" i="5"/>
  <c r="AC152" i="5"/>
  <c r="AD152" i="5" s="1"/>
  <c r="AA210" i="5"/>
  <c r="AC10" i="5"/>
  <c r="AD10" i="5" s="1"/>
  <c r="AA279" i="5"/>
  <c r="AC190" i="5"/>
  <c r="AD190" i="5" s="1"/>
  <c r="AC225" i="5"/>
  <c r="AE225" i="5" s="1"/>
  <c r="AC96" i="5"/>
  <c r="AE96" i="5" s="1"/>
  <c r="AA240" i="5"/>
  <c r="AC164" i="5"/>
  <c r="AE164" i="5" s="1"/>
  <c r="AB12" i="5"/>
  <c r="AB78" i="5"/>
  <c r="AC299" i="5"/>
  <c r="AD299" i="5" s="1"/>
  <c r="AE70" i="4"/>
  <c r="AA243" i="5"/>
  <c r="AB38" i="5"/>
  <c r="AC63" i="5"/>
  <c r="AS63" i="5" s="1"/>
  <c r="AB154" i="5"/>
  <c r="AB272" i="5"/>
  <c r="AA385" i="5"/>
  <c r="AA492" i="5"/>
  <c r="AA72" i="5"/>
  <c r="AB559" i="5"/>
  <c r="AC250" i="5"/>
  <c r="AD250" i="5" s="1"/>
  <c r="AC131" i="5"/>
  <c r="AD131" i="5" s="1"/>
  <c r="AC64" i="5"/>
  <c r="AD64" i="5" s="1"/>
  <c r="AB67" i="5"/>
  <c r="AB477" i="5"/>
  <c r="AB204" i="5"/>
  <c r="AC516" i="5"/>
  <c r="AE516" i="5" s="1"/>
  <c r="AC347" i="5"/>
  <c r="AS347" i="5" s="1"/>
  <c r="AB99" i="5"/>
  <c r="AC74" i="5"/>
  <c r="AS74" i="5" s="1"/>
  <c r="AC169" i="5"/>
  <c r="AE169" i="5" s="1"/>
  <c r="AB83" i="5"/>
  <c r="AC281" i="5"/>
  <c r="AE281" i="5" s="1"/>
  <c r="AC154" i="5"/>
  <c r="AD154" i="5" s="1"/>
  <c r="AA107" i="5"/>
  <c r="AC146" i="5"/>
  <c r="AS146" i="5" s="1"/>
  <c r="AC98" i="5"/>
  <c r="AD98" i="5" s="1"/>
  <c r="AA559" i="5"/>
  <c r="AB131" i="5"/>
  <c r="AA266" i="5"/>
  <c r="AA204" i="5"/>
  <c r="AC550" i="5"/>
  <c r="AD550" i="5" s="1"/>
  <c r="AA478" i="5"/>
  <c r="AA374" i="5"/>
  <c r="AC11" i="5"/>
  <c r="AA328" i="5"/>
  <c r="AC328" i="5"/>
  <c r="AD328" i="5" s="1"/>
  <c r="AC526" i="5"/>
  <c r="AD526" i="5" s="1"/>
  <c r="AA113" i="5"/>
  <c r="AA500" i="5"/>
  <c r="AA516" i="5"/>
  <c r="AA457" i="5"/>
  <c r="AA541" i="5"/>
  <c r="AB347" i="5"/>
  <c r="AA99" i="5"/>
  <c r="AC273" i="5"/>
  <c r="AE273" i="5" s="1"/>
  <c r="AB74" i="5"/>
  <c r="AA344" i="5"/>
  <c r="AA319" i="5"/>
  <c r="AC107" i="5"/>
  <c r="AD107" i="5" s="1"/>
  <c r="AA146" i="5"/>
  <c r="AB98" i="5"/>
  <c r="AB534" i="5"/>
  <c r="AC139" i="5"/>
  <c r="AE139" i="5" s="1"/>
  <c r="AB419" i="5"/>
  <c r="AC170" i="5"/>
  <c r="AS170" i="5" s="1"/>
  <c r="AB266" i="5"/>
  <c r="AA173" i="5"/>
  <c r="AB96" i="5"/>
  <c r="X102" i="4"/>
  <c r="AJ102" i="4" s="1"/>
  <c r="AC288" i="5"/>
  <c r="AS288" i="5" s="1"/>
  <c r="AB413" i="5"/>
  <c r="AC488" i="5"/>
  <c r="AS488" i="5" s="1"/>
  <c r="AB526" i="5"/>
  <c r="AB113" i="5"/>
  <c r="AB500" i="5"/>
  <c r="AA134" i="5"/>
  <c r="AC457" i="5"/>
  <c r="AD457" i="5" s="1"/>
  <c r="AC71" i="5"/>
  <c r="AE71" i="5" s="1"/>
  <c r="AB541" i="5"/>
  <c r="AE51" i="4"/>
  <c r="AA273" i="5"/>
  <c r="AB344" i="5"/>
  <c r="AC258" i="5"/>
  <c r="AS258" i="5" s="1"/>
  <c r="AC319" i="5"/>
  <c r="AS319" i="5" s="1"/>
  <c r="AB39" i="5"/>
  <c r="AA534" i="5"/>
  <c r="AA198" i="5"/>
  <c r="AB139" i="5"/>
  <c r="AA170" i="5"/>
  <c r="AA345" i="5"/>
  <c r="X9" i="4"/>
  <c r="AJ9" i="4" s="1"/>
  <c r="AC370" i="5"/>
  <c r="AS370" i="5" s="1"/>
  <c r="AB71" i="5"/>
  <c r="AE28" i="4"/>
  <c r="AC39" i="5"/>
  <c r="AE39" i="5" s="1"/>
  <c r="AA519" i="5"/>
  <c r="AB134" i="5"/>
  <c r="AB432" i="5"/>
  <c r="AC100" i="5"/>
  <c r="AS100" i="5" s="1"/>
  <c r="AA238" i="5"/>
  <c r="AA22" i="5"/>
  <c r="AE75" i="4"/>
  <c r="AC85" i="5"/>
  <c r="AS85" i="5" s="1"/>
  <c r="AC235" i="5"/>
  <c r="AE235" i="5" s="1"/>
  <c r="AA444" i="5"/>
  <c r="AC92" i="5"/>
  <c r="AE92" i="5" s="1"/>
  <c r="AC185" i="5"/>
  <c r="AD185" i="5" s="1"/>
  <c r="AA517" i="5"/>
  <c r="AA258" i="5"/>
  <c r="AB370" i="5"/>
  <c r="AC161" i="5"/>
  <c r="AS161" i="5" s="1"/>
  <c r="AA432" i="5"/>
  <c r="AB299" i="5"/>
  <c r="AB22" i="5"/>
  <c r="AB85" i="5"/>
  <c r="AA185" i="5"/>
  <c r="AB238" i="5"/>
  <c r="AA277" i="5"/>
  <c r="AB481" i="5"/>
  <c r="AE9" i="4"/>
  <c r="AG27" i="4"/>
  <c r="AI27" i="4" s="1"/>
  <c r="AO27" i="4"/>
  <c r="AG102" i="4"/>
  <c r="AI102" i="4" s="1"/>
  <c r="AO102" i="4"/>
  <c r="AO19" i="4"/>
  <c r="AG19" i="4"/>
  <c r="AI19" i="4" s="1"/>
  <c r="AO30" i="4"/>
  <c r="AG30" i="4"/>
  <c r="AI30" i="4" s="1"/>
  <c r="AB466" i="5"/>
  <c r="AC412" i="5"/>
  <c r="AD412" i="5" s="1"/>
  <c r="AB381" i="5"/>
  <c r="AA47" i="5"/>
  <c r="AC464" i="5"/>
  <c r="AS464" i="5" s="1"/>
  <c r="AB248" i="5"/>
  <c r="AA408" i="5"/>
  <c r="AA433" i="5"/>
  <c r="AA349" i="5"/>
  <c r="AB312" i="5"/>
  <c r="AB555" i="5"/>
  <c r="AB443" i="5"/>
  <c r="AA505" i="5"/>
  <c r="AA155" i="5"/>
  <c r="AA512" i="5"/>
  <c r="AC334" i="5"/>
  <c r="AE334" i="5" s="1"/>
  <c r="AA355" i="5"/>
  <c r="AA547" i="5"/>
  <c r="AB451" i="5"/>
  <c r="AB232" i="5"/>
  <c r="AA46" i="5"/>
  <c r="AA420" i="5"/>
  <c r="AB536" i="5"/>
  <c r="AA481" i="5"/>
  <c r="AR210" i="5"/>
  <c r="AQ291" i="5"/>
  <c r="AE63" i="4"/>
  <c r="Y63" i="4"/>
  <c r="Z63" i="4" s="1"/>
  <c r="X23" i="4"/>
  <c r="AJ23" i="4" s="1"/>
  <c r="Y23" i="4"/>
  <c r="Z23" i="4" s="1"/>
  <c r="AE23" i="4"/>
  <c r="AN10" i="5"/>
  <c r="AO10" i="5"/>
  <c r="AE52" i="4"/>
  <c r="X52" i="4"/>
  <c r="AJ52" i="4" s="1"/>
  <c r="Y52" i="4"/>
  <c r="Z52" i="4" s="1"/>
  <c r="AG71" i="4"/>
  <c r="AI71" i="4" s="1"/>
  <c r="AO71" i="4"/>
  <c r="AA466" i="5"/>
  <c r="AA483" i="5"/>
  <c r="AB483" i="5"/>
  <c r="AC84" i="5"/>
  <c r="AD84" i="5" s="1"/>
  <c r="AB412" i="5"/>
  <c r="AC252" i="5"/>
  <c r="AS252" i="5" s="1"/>
  <c r="AB349" i="5"/>
  <c r="AA555" i="5"/>
  <c r="AB505" i="5"/>
  <c r="AB512" i="5"/>
  <c r="AA490" i="5"/>
  <c r="AA451" i="5"/>
  <c r="AA232" i="5"/>
  <c r="AB46" i="5"/>
  <c r="AA520" i="5"/>
  <c r="AA536" i="5"/>
  <c r="Y103" i="4"/>
  <c r="Z103" i="4" s="1"/>
  <c r="AF103" i="4" s="1"/>
  <c r="AO103" i="4" s="1"/>
  <c r="AE103" i="4"/>
  <c r="X103" i="4"/>
  <c r="AJ103" i="4" s="1"/>
  <c r="Y95" i="4"/>
  <c r="Z95" i="4" s="1"/>
  <c r="AE95" i="4"/>
  <c r="X95" i="4"/>
  <c r="AJ95" i="4" s="1"/>
  <c r="U10" i="5"/>
  <c r="V10" i="5"/>
  <c r="AO9" i="4"/>
  <c r="AG9" i="4"/>
  <c r="AI9" i="4" s="1"/>
  <c r="AE126" i="4"/>
  <c r="Y126" i="4"/>
  <c r="Z126" i="4" s="1"/>
  <c r="AE64" i="4"/>
  <c r="Y64" i="4"/>
  <c r="Z64" i="4" s="1"/>
  <c r="AE27" i="4"/>
  <c r="X128" i="4"/>
  <c r="AJ128" i="4" s="1"/>
  <c r="Y128" i="4"/>
  <c r="Z128" i="4" s="1"/>
  <c r="AE128" i="4"/>
  <c r="Y69" i="4"/>
  <c r="Z69" i="4" s="1"/>
  <c r="X69" i="4"/>
  <c r="AJ69" i="4" s="1"/>
  <c r="AE69" i="4"/>
  <c r="X93" i="4"/>
  <c r="AJ93" i="4" s="1"/>
  <c r="AE93" i="4"/>
  <c r="Y93" i="4"/>
  <c r="Z93" i="4" s="1"/>
  <c r="X45" i="4"/>
  <c r="AJ45" i="4" s="1"/>
  <c r="Y45" i="4"/>
  <c r="Z45" i="4" s="1"/>
  <c r="AF45" i="4" s="1"/>
  <c r="AG45" i="4" s="1"/>
  <c r="AI45" i="4" s="1"/>
  <c r="AE45" i="4"/>
  <c r="AE150" i="4"/>
  <c r="Y150" i="4"/>
  <c r="Z150" i="4" s="1"/>
  <c r="X68" i="4"/>
  <c r="AJ68" i="4" s="1"/>
  <c r="AE68" i="4"/>
  <c r="Y68" i="4"/>
  <c r="Z68" i="4" s="1"/>
  <c r="AF68" i="4" s="1"/>
  <c r="AG68" i="4" s="1"/>
  <c r="AI68" i="4" s="1"/>
  <c r="AH10" i="5"/>
  <c r="AI10" i="5"/>
  <c r="AA89" i="5"/>
  <c r="AA308" i="5"/>
  <c r="AA58" i="5"/>
  <c r="AB493" i="5"/>
  <c r="AA423" i="5"/>
  <c r="AA454" i="5"/>
  <c r="AC358" i="5"/>
  <c r="AE358" i="5" s="1"/>
  <c r="AA418" i="5"/>
  <c r="AA395" i="5"/>
  <c r="AB474" i="5"/>
  <c r="AB524" i="5"/>
  <c r="AC527" i="5"/>
  <c r="AE527" i="5" s="1"/>
  <c r="AA489" i="5"/>
  <c r="AA193" i="5"/>
  <c r="AQ181" i="5"/>
  <c r="X38" i="4"/>
  <c r="AJ38" i="4" s="1"/>
  <c r="Y38" i="4"/>
  <c r="Z38" i="4" s="1"/>
  <c r="AE38" i="4"/>
  <c r="X134" i="4"/>
  <c r="AJ134" i="4" s="1"/>
  <c r="Y134" i="4"/>
  <c r="Z134" i="4" s="1"/>
  <c r="AE134" i="4"/>
  <c r="R10" i="5"/>
  <c r="S10" i="5"/>
  <c r="Y137" i="4"/>
  <c r="Z137" i="4" s="1"/>
  <c r="X137" i="4"/>
  <c r="AJ137" i="4" s="1"/>
  <c r="AE137" i="4"/>
  <c r="X44" i="4"/>
  <c r="AK44" i="4" s="1"/>
  <c r="AE44" i="4"/>
  <c r="AE111" i="4"/>
  <c r="X111" i="4"/>
  <c r="AJ111" i="4" s="1"/>
  <c r="X7" i="4"/>
  <c r="AJ7" i="4" s="1"/>
  <c r="Y7" i="4"/>
  <c r="Z7" i="4" s="1"/>
  <c r="AA286" i="5"/>
  <c r="AB300" i="5"/>
  <c r="AC286" i="5"/>
  <c r="AS286" i="5" s="1"/>
  <c r="AC467" i="5"/>
  <c r="AS467" i="5" s="1"/>
  <c r="AB342" i="5"/>
  <c r="AC89" i="5"/>
  <c r="AD89" i="5" s="1"/>
  <c r="AB439" i="5"/>
  <c r="AB308" i="5"/>
  <c r="AC535" i="5"/>
  <c r="AD535" i="5" s="1"/>
  <c r="AC144" i="5"/>
  <c r="AS144" i="5" s="1"/>
  <c r="AB58" i="5"/>
  <c r="AC397" i="5"/>
  <c r="AS397" i="5" s="1"/>
  <c r="AC493" i="5"/>
  <c r="AD493" i="5" s="1"/>
  <c r="AC454" i="5"/>
  <c r="AS454" i="5" s="1"/>
  <c r="AA324" i="5"/>
  <c r="AA358" i="5"/>
  <c r="AB147" i="5"/>
  <c r="AC418" i="5"/>
  <c r="AD418" i="5" s="1"/>
  <c r="AB395" i="5"/>
  <c r="AB558" i="5"/>
  <c r="AC474" i="5"/>
  <c r="AD474" i="5" s="1"/>
  <c r="AC373" i="5"/>
  <c r="AS373" i="5" s="1"/>
  <c r="AB527" i="5"/>
  <c r="AC489" i="5"/>
  <c r="AS489" i="5" s="1"/>
  <c r="AB446" i="5"/>
  <c r="AC448" i="5"/>
  <c r="AS448" i="5" s="1"/>
  <c r="AC340" i="5"/>
  <c r="AD340" i="5" s="1"/>
  <c r="AB144" i="5"/>
  <c r="AE54" i="4"/>
  <c r="Y54" i="4"/>
  <c r="Z54" i="4" s="1"/>
  <c r="X108" i="4"/>
  <c r="Y8" i="4"/>
  <c r="Z8" i="4" s="1"/>
  <c r="AE8" i="4"/>
  <c r="X8" i="4"/>
  <c r="AJ8" i="4" s="1"/>
  <c r="X27" i="4"/>
  <c r="AF44" i="4"/>
  <c r="X30" i="4"/>
  <c r="AJ30" i="4" s="1"/>
  <c r="X70" i="4"/>
  <c r="AE30" i="4"/>
  <c r="AB34" i="5"/>
  <c r="AA467" i="5"/>
  <c r="AA342" i="5"/>
  <c r="AB485" i="5"/>
  <c r="AC439" i="5"/>
  <c r="AE439" i="5" s="1"/>
  <c r="AB325" i="5"/>
  <c r="AB535" i="5"/>
  <c r="AC367" i="5"/>
  <c r="AE367" i="5" s="1"/>
  <c r="AA415" i="5"/>
  <c r="AA397" i="5"/>
  <c r="AC324" i="5"/>
  <c r="AS324" i="5" s="1"/>
  <c r="AA147" i="5"/>
  <c r="AA558" i="5"/>
  <c r="AB109" i="5"/>
  <c r="AA373" i="5"/>
  <c r="AA446" i="5"/>
  <c r="AB448" i="5"/>
  <c r="AA340" i="5"/>
  <c r="AR94" i="5"/>
  <c r="Y157" i="4"/>
  <c r="Z157" i="4" s="1"/>
  <c r="AE157" i="4"/>
  <c r="AE102" i="4"/>
  <c r="X19" i="4"/>
  <c r="AJ19" i="4" s="1"/>
  <c r="AA184" i="5"/>
  <c r="AC485" i="5"/>
  <c r="AS485" i="5" s="1"/>
  <c r="AA325" i="5"/>
  <c r="AC47" i="5"/>
  <c r="AE47" i="5" s="1"/>
  <c r="AB367" i="5"/>
  <c r="AC415" i="5"/>
  <c r="AE415" i="5" s="1"/>
  <c r="AB464" i="5"/>
  <c r="AC408" i="5"/>
  <c r="AS408" i="5" s="1"/>
  <c r="AC312" i="5"/>
  <c r="AS312" i="5" s="1"/>
  <c r="AC443" i="5"/>
  <c r="AE443" i="5" s="1"/>
  <c r="AC109" i="5"/>
  <c r="AS109" i="5" s="1"/>
  <c r="AC547" i="5"/>
  <c r="AE547" i="5" s="1"/>
  <c r="AE43" i="4"/>
  <c r="AA81" i="5"/>
  <c r="Y77" i="4"/>
  <c r="Z77" i="4" s="1"/>
  <c r="AE77" i="4"/>
  <c r="AE86" i="4"/>
  <c r="X86" i="4"/>
  <c r="AJ86" i="4" s="1"/>
  <c r="Y86" i="4"/>
  <c r="Z86" i="4" s="1"/>
  <c r="AE19" i="4"/>
  <c r="AB184" i="5"/>
  <c r="AB81" i="5"/>
  <c r="X63" i="4"/>
  <c r="AJ63" i="4" s="1"/>
  <c r="AF123" i="4"/>
  <c r="X10" i="5"/>
  <c r="Y10" i="5"/>
  <c r="Y116" i="4"/>
  <c r="Z116" i="4" s="1"/>
  <c r="AE116" i="4"/>
  <c r="X100" i="4"/>
  <c r="AJ100" i="4" s="1"/>
  <c r="AE100" i="4"/>
  <c r="Y100" i="4"/>
  <c r="Z100" i="4" s="1"/>
  <c r="X71" i="4"/>
  <c r="AJ71" i="4" s="1"/>
  <c r="AG40" i="4"/>
  <c r="AI40" i="4" s="1"/>
  <c r="AO40" i="4"/>
  <c r="X47" i="4"/>
  <c r="AJ47" i="4" s="1"/>
  <c r="Y47" i="4"/>
  <c r="Z47" i="4" s="1"/>
  <c r="AE47" i="4"/>
  <c r="X116" i="4"/>
  <c r="AC192" i="5"/>
  <c r="AS192" i="5" s="1"/>
  <c r="AB242" i="5"/>
  <c r="AC549" i="5"/>
  <c r="AD549" i="5" s="1"/>
  <c r="AA145" i="5"/>
  <c r="AB145" i="5"/>
  <c r="AC149" i="5"/>
  <c r="AS149" i="5" s="1"/>
  <c r="AA264" i="5"/>
  <c r="AA528" i="5"/>
  <c r="AB51" i="5"/>
  <c r="AA476" i="5"/>
  <c r="AA33" i="5"/>
  <c r="AC445" i="5"/>
  <c r="AS445" i="5" s="1"/>
  <c r="AA553" i="5"/>
  <c r="AB24" i="5"/>
  <c r="AA398" i="5"/>
  <c r="AC88" i="5"/>
  <c r="AE88" i="5" s="1"/>
  <c r="AC368" i="5"/>
  <c r="AD368" i="5" s="1"/>
  <c r="AB406" i="5"/>
  <c r="AA497" i="5"/>
  <c r="AA136" i="5"/>
  <c r="AC431" i="5"/>
  <c r="AD431" i="5" s="1"/>
  <c r="AC519" i="5"/>
  <c r="AD519" i="5" s="1"/>
  <c r="AB191" i="5"/>
  <c r="AC484" i="5"/>
  <c r="AS484" i="5" s="1"/>
  <c r="AC461" i="5"/>
  <c r="AS461" i="5" s="1"/>
  <c r="AC207" i="5"/>
  <c r="AD207" i="5" s="1"/>
  <c r="AB41" i="5"/>
  <c r="AC538" i="5"/>
  <c r="AS538" i="5" s="1"/>
  <c r="AB200" i="5"/>
  <c r="AA314" i="5"/>
  <c r="AC61" i="5"/>
  <c r="AD61" i="5" s="1"/>
  <c r="AB215" i="5"/>
  <c r="AC87" i="5"/>
  <c r="AS87" i="5" s="1"/>
  <c r="AA67" i="5"/>
  <c r="AA126" i="5"/>
  <c r="AB384" i="5"/>
  <c r="AC503" i="5"/>
  <c r="AE503" i="5" s="1"/>
  <c r="AB264" i="5"/>
  <c r="AA153" i="5"/>
  <c r="AB110" i="5"/>
  <c r="AB316" i="5"/>
  <c r="AB437" i="5"/>
  <c r="AA148" i="5"/>
  <c r="AB476" i="5"/>
  <c r="AB33" i="5"/>
  <c r="AA138" i="5"/>
  <c r="AB76" i="5"/>
  <c r="AA24" i="5"/>
  <c r="AB88" i="5"/>
  <c r="AC510" i="5"/>
  <c r="AD510" i="5" s="1"/>
  <c r="AC545" i="5"/>
  <c r="AD545" i="5" s="1"/>
  <c r="AB459" i="5"/>
  <c r="AB40" i="5"/>
  <c r="AC91" i="5"/>
  <c r="AS91" i="5" s="1"/>
  <c r="AB136" i="5"/>
  <c r="AC191" i="5"/>
  <c r="AE191" i="5" s="1"/>
  <c r="AA484" i="5"/>
  <c r="AA461" i="5"/>
  <c r="AA207" i="5"/>
  <c r="AC276" i="5"/>
  <c r="AD276" i="5" s="1"/>
  <c r="AA538" i="5"/>
  <c r="AB173" i="5"/>
  <c r="AB388" i="5"/>
  <c r="AB126" i="5"/>
  <c r="B112" i="2"/>
  <c r="B154" i="2" s="1"/>
  <c r="H40" i="1" s="1"/>
  <c r="AB9" i="5"/>
  <c r="AA9" i="5"/>
  <c r="AC9" i="5"/>
  <c r="AC118" i="5"/>
  <c r="AS118" i="5" s="1"/>
  <c r="AB219" i="5"/>
  <c r="AC212" i="5"/>
  <c r="AS212" i="5" s="1"/>
  <c r="AA503" i="5"/>
  <c r="AA549" i="5"/>
  <c r="AC531" i="5"/>
  <c r="AD531" i="5" s="1"/>
  <c r="AB350" i="5"/>
  <c r="AC487" i="5"/>
  <c r="AD487" i="5" s="1"/>
  <c r="AA422" i="5"/>
  <c r="AA482" i="5"/>
  <c r="AA468" i="5"/>
  <c r="AA479" i="5"/>
  <c r="AA518" i="5"/>
  <c r="AB530" i="5"/>
  <c r="AA515" i="5"/>
  <c r="AC256" i="5"/>
  <c r="AS256" i="5" s="1"/>
  <c r="AA531" i="5"/>
  <c r="AC557" i="5"/>
  <c r="AS557" i="5" s="1"/>
  <c r="AA364" i="5"/>
  <c r="AC372" i="5"/>
  <c r="AE372" i="5" s="1"/>
  <c r="AB479" i="5"/>
  <c r="AA192" i="5"/>
  <c r="AC242" i="5"/>
  <c r="AD242" i="5" s="1"/>
  <c r="AB507" i="5"/>
  <c r="AA75" i="5"/>
  <c r="AC130" i="5"/>
  <c r="AS130" i="5" s="1"/>
  <c r="AB557" i="5"/>
  <c r="AC554" i="5"/>
  <c r="AS554" i="5" s="1"/>
  <c r="AB216" i="5"/>
  <c r="AA35" i="5"/>
  <c r="AB482" i="5"/>
  <c r="AA250" i="5"/>
  <c r="AC364" i="5"/>
  <c r="AE364" i="5" s="1"/>
  <c r="AA57" i="5"/>
  <c r="AA372" i="5"/>
  <c r="AC389" i="5"/>
  <c r="AE389" i="5" s="1"/>
  <c r="AA212" i="5"/>
  <c r="AB285" i="5"/>
  <c r="AB389" i="5"/>
  <c r="AA285" i="5"/>
  <c r="AA257" i="5"/>
  <c r="AB528" i="5"/>
  <c r="AC507" i="5"/>
  <c r="AD507" i="5" s="1"/>
  <c r="AB75" i="5"/>
  <c r="AB130" i="5"/>
  <c r="AC51" i="5"/>
  <c r="AE51" i="5" s="1"/>
  <c r="AB554" i="5"/>
  <c r="AA216" i="5"/>
  <c r="AB398" i="5"/>
  <c r="B118" i="2"/>
  <c r="B99" i="2" s="1"/>
  <c r="B119" i="2" s="1"/>
  <c r="AB35" i="5"/>
  <c r="AC497" i="5"/>
  <c r="AE497" i="5" s="1"/>
  <c r="AC41" i="5"/>
  <c r="AD41" i="5" s="1"/>
  <c r="AC57" i="5"/>
  <c r="AD57" i="5" s="1"/>
  <c r="AC215" i="5"/>
  <c r="AS215" i="5" s="1"/>
  <c r="AB257" i="5"/>
  <c r="AA200" i="5"/>
  <c r="AE92" i="4"/>
  <c r="AE136" i="4"/>
  <c r="AE49" i="4"/>
  <c r="X99" i="4"/>
  <c r="AJ99" i="4" s="1"/>
  <c r="X74" i="4"/>
  <c r="AJ74" i="4" s="1"/>
  <c r="X151" i="4"/>
  <c r="AJ151" i="4" s="1"/>
  <c r="AE106" i="4"/>
  <c r="AE53" i="4"/>
  <c r="B115" i="2"/>
  <c r="B96" i="2" s="1"/>
  <c r="B116" i="2" s="1"/>
  <c r="X81" i="4"/>
  <c r="AJ81" i="4" s="1"/>
  <c r="AE87" i="4"/>
  <c r="X117" i="4"/>
  <c r="AJ117" i="4" s="1"/>
  <c r="X75" i="4"/>
  <c r="AJ75" i="4" s="1"/>
  <c r="AE147" i="4"/>
  <c r="X80" i="4"/>
  <c r="AJ80" i="4" s="1"/>
  <c r="X124" i="4"/>
  <c r="AJ124" i="4" s="1"/>
  <c r="X122" i="4"/>
  <c r="AJ122" i="4" s="1"/>
  <c r="AE114" i="4"/>
  <c r="AF85" i="4"/>
  <c r="AG85" i="4" s="1"/>
  <c r="AI85" i="4" s="1"/>
  <c r="AE50" i="4"/>
  <c r="AE13" i="4"/>
  <c r="X65" i="4"/>
  <c r="AJ65" i="4" s="1"/>
  <c r="X82" i="4"/>
  <c r="AJ82" i="4" s="1"/>
  <c r="X13" i="4"/>
  <c r="AJ13" i="4" s="1"/>
  <c r="AE36" i="4"/>
  <c r="AE89" i="4"/>
  <c r="X85" i="4"/>
  <c r="AJ85" i="4" s="1"/>
  <c r="X89" i="4"/>
  <c r="AJ89" i="4" s="1"/>
  <c r="AE120" i="4"/>
  <c r="X51" i="4"/>
  <c r="AJ51" i="4" s="1"/>
  <c r="AF17" i="4"/>
  <c r="AG17" i="4" s="1"/>
  <c r="AI17" i="4" s="1"/>
  <c r="AF139" i="4"/>
  <c r="AO139" i="4" s="1"/>
  <c r="AF81" i="4"/>
  <c r="AG81" i="4" s="1"/>
  <c r="AI81" i="4" s="1"/>
  <c r="AF114" i="4"/>
  <c r="AO114" i="4" s="1"/>
  <c r="X41" i="4"/>
  <c r="AK41" i="4" s="1"/>
  <c r="AE97" i="4"/>
  <c r="X153" i="4"/>
  <c r="AJ153" i="4" s="1"/>
  <c r="X92" i="4"/>
  <c r="AJ92" i="4" s="1"/>
  <c r="X114" i="4"/>
  <c r="AJ114" i="4" s="1"/>
  <c r="AE117" i="4"/>
  <c r="AE41" i="4"/>
  <c r="AE17" i="4"/>
  <c r="AE33" i="4"/>
  <c r="AE60" i="4"/>
  <c r="AE113" i="4"/>
  <c r="X104" i="4"/>
  <c r="AK104" i="4" s="1"/>
  <c r="X25" i="4"/>
  <c r="AK25" i="4" s="1"/>
  <c r="X138" i="4"/>
  <c r="AJ138" i="4" s="1"/>
  <c r="AE80" i="4"/>
  <c r="X97" i="4"/>
  <c r="AJ97" i="4" s="1"/>
  <c r="X120" i="4"/>
  <c r="AJ120" i="4" s="1"/>
  <c r="AA98" i="4"/>
  <c r="AC98" i="4" s="1"/>
  <c r="AD98" i="4" s="1"/>
  <c r="AE151" i="4"/>
  <c r="X136" i="4"/>
  <c r="AJ136" i="4" s="1"/>
  <c r="Z120" i="4"/>
  <c r="X17" i="4"/>
  <c r="AJ17" i="4" s="1"/>
  <c r="B76" i="2"/>
  <c r="X113" i="4"/>
  <c r="AJ113" i="4" s="1"/>
  <c r="AG98" i="4"/>
  <c r="AI98" i="4" s="1"/>
  <c r="AO98" i="4"/>
  <c r="AG151" i="4"/>
  <c r="AI151" i="4" s="1"/>
  <c r="AO151" i="4"/>
  <c r="AF16" i="4"/>
  <c r="AG74" i="4"/>
  <c r="AI74" i="4" s="1"/>
  <c r="AO74" i="4"/>
  <c r="AG89" i="4"/>
  <c r="AI89" i="4" s="1"/>
  <c r="AO89" i="4"/>
  <c r="AG25" i="4"/>
  <c r="AI25" i="4" s="1"/>
  <c r="AO25" i="4"/>
  <c r="AG82" i="4"/>
  <c r="AI82" i="4" s="1"/>
  <c r="AO82" i="4"/>
  <c r="AF80" i="4"/>
  <c r="AF11" i="4"/>
  <c r="AG78" i="4"/>
  <c r="AI78" i="4" s="1"/>
  <c r="AO78" i="4"/>
  <c r="AQ484" i="5"/>
  <c r="AR484" i="5"/>
  <c r="AQ500" i="5"/>
  <c r="AR500" i="5"/>
  <c r="AR347" i="5"/>
  <c r="AQ347" i="5"/>
  <c r="AQ341" i="5"/>
  <c r="AR341" i="5"/>
  <c r="AQ409" i="5"/>
  <c r="AR409" i="5"/>
  <c r="AR61" i="5"/>
  <c r="AQ61" i="5"/>
  <c r="B81" i="2"/>
  <c r="B82" i="2" s="1"/>
  <c r="H22" i="1" s="1"/>
  <c r="AR102" i="5"/>
  <c r="AQ102" i="5"/>
  <c r="AR120" i="5"/>
  <c r="AQ120" i="5"/>
  <c r="X32" i="4"/>
  <c r="AQ53" i="5"/>
  <c r="AR53" i="5"/>
  <c r="AR515" i="5"/>
  <c r="AQ515" i="5"/>
  <c r="AQ293" i="5"/>
  <c r="AR293" i="5"/>
  <c r="AR559" i="5"/>
  <c r="AQ559" i="5"/>
  <c r="AE131" i="4"/>
  <c r="AR8" i="5"/>
  <c r="AQ8" i="5"/>
  <c r="AQ223" i="5"/>
  <c r="AR223" i="5"/>
  <c r="AF156" i="4"/>
  <c r="AQ200" i="5"/>
  <c r="AR200" i="5"/>
  <c r="AQ519" i="5"/>
  <c r="AR519" i="5"/>
  <c r="AQ106" i="5"/>
  <c r="AR106" i="5"/>
  <c r="AQ289" i="5"/>
  <c r="AR289" i="5"/>
  <c r="AR235" i="5"/>
  <c r="AQ235" i="5"/>
  <c r="AQ343" i="5"/>
  <c r="AR343" i="5"/>
  <c r="AR456" i="5"/>
  <c r="AQ456" i="5"/>
  <c r="AQ96" i="5"/>
  <c r="AR96" i="5"/>
  <c r="X106" i="4"/>
  <c r="AA106" i="4" s="1"/>
  <c r="AC106" i="4" s="1"/>
  <c r="AD106" i="4" s="1"/>
  <c r="AE85" i="4"/>
  <c r="AQ203" i="5"/>
  <c r="AR203" i="5"/>
  <c r="AR553" i="5"/>
  <c r="AQ553" i="5"/>
  <c r="AR151" i="5"/>
  <c r="AQ151" i="5"/>
  <c r="AQ424" i="5"/>
  <c r="AR424" i="5"/>
  <c r="AQ464" i="5"/>
  <c r="AR464" i="5"/>
  <c r="AQ320" i="5"/>
  <c r="AR320" i="5"/>
  <c r="AQ504" i="5"/>
  <c r="AR504" i="5"/>
  <c r="AQ137" i="5"/>
  <c r="AR137" i="5"/>
  <c r="AQ393" i="5"/>
  <c r="AR393" i="5"/>
  <c r="AR391" i="5"/>
  <c r="AQ391" i="5"/>
  <c r="AR268" i="5"/>
  <c r="AQ268" i="5"/>
  <c r="AQ400" i="5"/>
  <c r="AR400" i="5"/>
  <c r="AF154" i="4"/>
  <c r="AE48" i="4"/>
  <c r="AR303" i="5"/>
  <c r="AQ303" i="5"/>
  <c r="AQ32" i="5"/>
  <c r="AR32" i="5"/>
  <c r="AR523" i="5"/>
  <c r="AQ523" i="5"/>
  <c r="AF13" i="4"/>
  <c r="AR242" i="5"/>
  <c r="AQ242" i="5"/>
  <c r="AE459" i="5"/>
  <c r="AS459" i="5"/>
  <c r="X119" i="4"/>
  <c r="AA119" i="4" s="1"/>
  <c r="AC119" i="4" s="1"/>
  <c r="AD119" i="4" s="1"/>
  <c r="X48" i="4"/>
  <c r="X49" i="4"/>
  <c r="AA49" i="4" s="1"/>
  <c r="AC49" i="4" s="1"/>
  <c r="AD49" i="4" s="1"/>
  <c r="AQ538" i="5"/>
  <c r="AR538" i="5"/>
  <c r="AQ505" i="5"/>
  <c r="AR505" i="5"/>
  <c r="AQ408" i="5"/>
  <c r="AR408" i="5"/>
  <c r="AQ468" i="5"/>
  <c r="AR468" i="5"/>
  <c r="AQ208" i="5"/>
  <c r="AR208" i="5"/>
  <c r="AE11" i="4"/>
  <c r="AR508" i="5"/>
  <c r="AQ508" i="5"/>
  <c r="AR532" i="5"/>
  <c r="AQ532" i="5"/>
  <c r="AR443" i="5"/>
  <c r="AQ443" i="5"/>
  <c r="AE153" i="4"/>
  <c r="AF33" i="4"/>
  <c r="AS371" i="5"/>
  <c r="AQ480" i="5"/>
  <c r="AR480" i="5"/>
  <c r="AR111" i="5"/>
  <c r="AQ111" i="5"/>
  <c r="AQ180" i="5"/>
  <c r="AR180" i="5"/>
  <c r="AR503" i="5"/>
  <c r="AQ503" i="5"/>
  <c r="AQ156" i="5"/>
  <c r="AR156" i="5"/>
  <c r="AR99" i="5"/>
  <c r="AQ99" i="5"/>
  <c r="AQ358" i="5"/>
  <c r="AR358" i="5"/>
  <c r="AQ439" i="5"/>
  <c r="AR439" i="5"/>
  <c r="AQ509" i="5"/>
  <c r="AR509" i="5"/>
  <c r="AQ230" i="5"/>
  <c r="AR230" i="5"/>
  <c r="AR115" i="5"/>
  <c r="AQ115" i="5"/>
  <c r="AQ256" i="5"/>
  <c r="AR256" i="5"/>
  <c r="AR546" i="5"/>
  <c r="AQ546" i="5"/>
  <c r="AQ207" i="5"/>
  <c r="AR207" i="5"/>
  <c r="AE90" i="4"/>
  <c r="AQ466" i="5"/>
  <c r="AR466" i="5"/>
  <c r="Y13" i="5"/>
  <c r="X13" i="5"/>
  <c r="AO112" i="4"/>
  <c r="AG112" i="4"/>
  <c r="AI112" i="4" s="1"/>
  <c r="AS512" i="5"/>
  <c r="AD512" i="5"/>
  <c r="AE512" i="5"/>
  <c r="AR265" i="5"/>
  <c r="AQ265" i="5"/>
  <c r="AR107" i="5"/>
  <c r="AQ107" i="5"/>
  <c r="AQ367" i="5"/>
  <c r="AR367" i="5"/>
  <c r="AR286" i="5"/>
  <c r="AQ286" i="5"/>
  <c r="AQ228" i="5"/>
  <c r="AR228" i="5"/>
  <c r="AR266" i="5"/>
  <c r="AQ266" i="5"/>
  <c r="AR248" i="5"/>
  <c r="AQ248" i="5"/>
  <c r="AR168" i="5"/>
  <c r="AQ168" i="5"/>
  <c r="AR427" i="5"/>
  <c r="AQ427" i="5"/>
  <c r="AG36" i="4"/>
  <c r="AI36" i="4" s="1"/>
  <c r="AO36" i="4"/>
  <c r="AQ399" i="5"/>
  <c r="AR399" i="5"/>
  <c r="AR164" i="5"/>
  <c r="AQ164" i="5"/>
  <c r="AQ329" i="5"/>
  <c r="AR329" i="5"/>
  <c r="AR63" i="5"/>
  <c r="AQ63" i="5"/>
  <c r="AR123" i="5"/>
  <c r="AQ123" i="5"/>
  <c r="AQ534" i="5"/>
  <c r="AR534" i="5"/>
  <c r="AR376" i="5"/>
  <c r="AQ376" i="5"/>
  <c r="AR28" i="5"/>
  <c r="AQ28" i="5"/>
  <c r="AQ526" i="5"/>
  <c r="AR526" i="5"/>
  <c r="AQ472" i="5"/>
  <c r="AR472" i="5"/>
  <c r="AR275" i="5"/>
  <c r="AQ275" i="5"/>
  <c r="AR198" i="5"/>
  <c r="AQ198" i="5"/>
  <c r="AG136" i="4"/>
  <c r="AI136" i="4" s="1"/>
  <c r="AO136" i="4"/>
  <c r="AQ482" i="5"/>
  <c r="AR482" i="5"/>
  <c r="AQ75" i="5"/>
  <c r="AR75" i="5"/>
  <c r="AQ170" i="5"/>
  <c r="AR170" i="5"/>
  <c r="AQ139" i="5"/>
  <c r="AR139" i="5"/>
  <c r="AG41" i="4"/>
  <c r="AI41" i="4" s="1"/>
  <c r="AO41" i="4"/>
  <c r="AQ529" i="5"/>
  <c r="AR529" i="5"/>
  <c r="AE115" i="4"/>
  <c r="AQ403" i="5"/>
  <c r="AR403" i="5"/>
  <c r="AR389" i="5"/>
  <c r="AQ389" i="5"/>
  <c r="AR352" i="5"/>
  <c r="AQ352" i="5"/>
  <c r="AR555" i="5"/>
  <c r="AQ555" i="5"/>
  <c r="AR366" i="5"/>
  <c r="AQ366" i="5"/>
  <c r="AF29" i="4"/>
  <c r="X156" i="4"/>
  <c r="AA156" i="4" s="1"/>
  <c r="AC156" i="4" s="1"/>
  <c r="AD156" i="4" s="1"/>
  <c r="AQ458" i="5"/>
  <c r="AR458" i="5"/>
  <c r="AQ297" i="5"/>
  <c r="AR297" i="5"/>
  <c r="AQ84" i="5"/>
  <c r="AR84" i="5"/>
  <c r="AQ249" i="5"/>
  <c r="AR249" i="5"/>
  <c r="AR27" i="5"/>
  <c r="AQ27" i="5"/>
  <c r="AQ271" i="5"/>
  <c r="AR271" i="5"/>
  <c r="X16" i="4"/>
  <c r="AJ16" i="4" s="1"/>
  <c r="AQ294" i="5"/>
  <c r="AR294" i="5"/>
  <c r="AE81" i="4"/>
  <c r="AR149" i="5"/>
  <c r="AQ149" i="5"/>
  <c r="AR197" i="5"/>
  <c r="AQ197" i="5"/>
  <c r="AR52" i="5"/>
  <c r="AQ52" i="5"/>
  <c r="AQ373" i="5"/>
  <c r="AR373" i="5"/>
  <c r="AQ469" i="5"/>
  <c r="AR469" i="5"/>
  <c r="AG87" i="4"/>
  <c r="AI87" i="4" s="1"/>
  <c r="AE29" i="4"/>
  <c r="AR253" i="5"/>
  <c r="AQ253" i="5"/>
  <c r="AR100" i="5"/>
  <c r="AQ100" i="5"/>
  <c r="AL13" i="5"/>
  <c r="AK13" i="5"/>
  <c r="AQ76" i="5"/>
  <c r="AR76" i="5"/>
  <c r="AF153" i="4"/>
  <c r="AR224" i="5"/>
  <c r="AQ224" i="5"/>
  <c r="AQ55" i="5"/>
  <c r="AR55" i="5"/>
  <c r="AQ336" i="5"/>
  <c r="AR336" i="5"/>
  <c r="AR288" i="5"/>
  <c r="AQ288" i="5"/>
  <c r="AF50" i="4"/>
  <c r="AE107" i="4"/>
  <c r="AR85" i="5"/>
  <c r="AQ85" i="5"/>
  <c r="AR501" i="5"/>
  <c r="AQ501" i="5"/>
  <c r="X53" i="4"/>
  <c r="AA53" i="4" s="1"/>
  <c r="AC53" i="4" s="1"/>
  <c r="AD53" i="4" s="1"/>
  <c r="AQ251" i="5"/>
  <c r="AR251" i="5"/>
  <c r="AQ236" i="5"/>
  <c r="AR236" i="5"/>
  <c r="AR243" i="5"/>
  <c r="AQ243" i="5"/>
  <c r="AR471" i="5"/>
  <c r="AQ471" i="5"/>
  <c r="AQ435" i="5"/>
  <c r="AR435" i="5"/>
  <c r="AQ213" i="5"/>
  <c r="AR213" i="5"/>
  <c r="AQ513" i="5"/>
  <c r="AR513" i="5"/>
  <c r="AE32" i="4"/>
  <c r="AR334" i="5"/>
  <c r="AQ334" i="5"/>
  <c r="AQ395" i="5"/>
  <c r="AR395" i="5"/>
  <c r="AO13" i="5"/>
  <c r="AN13" i="5"/>
  <c r="AQ323" i="5"/>
  <c r="AR323" i="5"/>
  <c r="AO53" i="4"/>
  <c r="AG53" i="4"/>
  <c r="AI53" i="4" s="1"/>
  <c r="AR292" i="5"/>
  <c r="AQ292" i="5"/>
  <c r="AQ499" i="5"/>
  <c r="AR499" i="5"/>
  <c r="Z32" i="4"/>
  <c r="AQ33" i="5"/>
  <c r="AR33" i="5"/>
  <c r="AR331" i="5"/>
  <c r="AQ331" i="5"/>
  <c r="AQ537" i="5"/>
  <c r="AR537" i="5"/>
  <c r="AQ91" i="5"/>
  <c r="AR91" i="5"/>
  <c r="AQ161" i="5"/>
  <c r="AR161" i="5"/>
  <c r="AQ163" i="5"/>
  <c r="AR163" i="5"/>
  <c r="AQ272" i="5"/>
  <c r="AR272" i="5"/>
  <c r="AR31" i="5"/>
  <c r="AQ31" i="5"/>
  <c r="AQ349" i="5"/>
  <c r="AR349" i="5"/>
  <c r="AQ206" i="5"/>
  <c r="AR206" i="5"/>
  <c r="AR425" i="5"/>
  <c r="AQ425" i="5"/>
  <c r="AQ195" i="5"/>
  <c r="AR195" i="5"/>
  <c r="AQ29" i="5"/>
  <c r="AR29" i="5"/>
  <c r="AR108" i="5"/>
  <c r="AQ108" i="5"/>
  <c r="AR41" i="5"/>
  <c r="AQ41" i="5"/>
  <c r="AF56" i="4"/>
  <c r="X110" i="4"/>
  <c r="AA110" i="4" s="1"/>
  <c r="AC110" i="4" s="1"/>
  <c r="AD110" i="4" s="1"/>
  <c r="X121" i="4"/>
  <c r="AA121" i="4" s="1"/>
  <c r="AC121" i="4" s="1"/>
  <c r="AD121" i="4" s="1"/>
  <c r="X115" i="4"/>
  <c r="AF107" i="4"/>
  <c r="AR449" i="5"/>
  <c r="AQ449" i="5"/>
  <c r="AQ473" i="5"/>
  <c r="AR473" i="5"/>
  <c r="AQ136" i="5"/>
  <c r="AR136" i="5"/>
  <c r="AQ441" i="5"/>
  <c r="AR441" i="5"/>
  <c r="AQ361" i="5"/>
  <c r="AR361" i="5"/>
  <c r="AQ430" i="5"/>
  <c r="AR430" i="5"/>
  <c r="AR113" i="5"/>
  <c r="AQ113" i="5"/>
  <c r="AR240" i="5"/>
  <c r="AQ240" i="5"/>
  <c r="AQ285" i="5"/>
  <c r="AR285" i="5"/>
  <c r="AQ263" i="5"/>
  <c r="AR263" i="5"/>
  <c r="AR154" i="5"/>
  <c r="AQ154" i="5"/>
  <c r="AQ124" i="5"/>
  <c r="AR124" i="5"/>
  <c r="X11" i="4"/>
  <c r="AJ11" i="4" s="1"/>
  <c r="AR40" i="5"/>
  <c r="AQ40" i="5"/>
  <c r="Z131" i="4"/>
  <c r="AF131" i="4" s="1"/>
  <c r="AR363" i="5"/>
  <c r="AQ363" i="5"/>
  <c r="AB13" i="5"/>
  <c r="AA13" i="5"/>
  <c r="AQ549" i="5"/>
  <c r="AR549" i="5"/>
  <c r="X146" i="4"/>
  <c r="AA146" i="4" s="1"/>
  <c r="AC146" i="4" s="1"/>
  <c r="AD146" i="4" s="1"/>
  <c r="AE104" i="4"/>
  <c r="AQ446" i="5"/>
  <c r="AR446" i="5"/>
  <c r="AR543" i="5"/>
  <c r="AQ543" i="5"/>
  <c r="AF138" i="4"/>
  <c r="AF122" i="4"/>
  <c r="AE124" i="4"/>
  <c r="AQ414" i="5"/>
  <c r="AR414" i="5"/>
  <c r="AQ407" i="5"/>
  <c r="AR407" i="5"/>
  <c r="AR215" i="5"/>
  <c r="AQ215" i="5"/>
  <c r="AE154" i="4"/>
  <c r="AQ431" i="5"/>
  <c r="AR431" i="5"/>
  <c r="AR7" i="5"/>
  <c r="AQ7" i="5"/>
  <c r="Z90" i="4"/>
  <c r="AF90" i="4" s="1"/>
  <c r="AR369" i="5"/>
  <c r="AQ369" i="5"/>
  <c r="AR177" i="5"/>
  <c r="AQ177" i="5"/>
  <c r="AR46" i="5"/>
  <c r="AQ46" i="5"/>
  <c r="AR80" i="5"/>
  <c r="AQ80" i="5"/>
  <c r="AQ362" i="5"/>
  <c r="AR362" i="5"/>
  <c r="AE65" i="4"/>
  <c r="AR411" i="5"/>
  <c r="AQ411" i="5"/>
  <c r="AQ97" i="5"/>
  <c r="AR97" i="5"/>
  <c r="AQ90" i="5"/>
  <c r="AR90" i="5"/>
  <c r="AQ19" i="5"/>
  <c r="AR19" i="5"/>
  <c r="AR308" i="5"/>
  <c r="AQ308" i="5"/>
  <c r="AQ188" i="5"/>
  <c r="AR188" i="5"/>
  <c r="AE110" i="4"/>
  <c r="AR121" i="5"/>
  <c r="AQ121" i="5"/>
  <c r="AQ241" i="5"/>
  <c r="AR241" i="5"/>
  <c r="X42" i="4"/>
  <c r="AQ311" i="5"/>
  <c r="AR311" i="5"/>
  <c r="AR193" i="5"/>
  <c r="AQ193" i="5"/>
  <c r="AQ445" i="5"/>
  <c r="AR445" i="5"/>
  <c r="S13" i="5"/>
  <c r="R13" i="5"/>
  <c r="AD522" i="5"/>
  <c r="AS522" i="5"/>
  <c r="AE522" i="5"/>
  <c r="AQ269" i="5"/>
  <c r="AR269" i="5"/>
  <c r="AQ209" i="5"/>
  <c r="AR209" i="5"/>
  <c r="AQ433" i="5"/>
  <c r="AR433" i="5"/>
  <c r="AQ412" i="5"/>
  <c r="AR412" i="5"/>
  <c r="Z48" i="4"/>
  <c r="AF48" i="4" s="1"/>
  <c r="AR12" i="5"/>
  <c r="AQ12" i="5"/>
  <c r="AQ322" i="5"/>
  <c r="AR322" i="5"/>
  <c r="AR514" i="5"/>
  <c r="AQ514" i="5"/>
  <c r="AS525" i="5"/>
  <c r="AE112" i="4"/>
  <c r="AE78" i="4"/>
  <c r="AF55" i="4"/>
  <c r="Z113" i="4"/>
  <c r="AF113" i="4" s="1"/>
  <c r="AR152" i="5"/>
  <c r="AQ152" i="5"/>
  <c r="AQ95" i="5"/>
  <c r="AR95" i="5"/>
  <c r="AR479" i="5"/>
  <c r="AQ479" i="5"/>
  <c r="AQ502" i="5"/>
  <c r="AR502" i="5"/>
  <c r="AQ518" i="5"/>
  <c r="AR518" i="5"/>
  <c r="AQ167" i="5"/>
  <c r="AR167" i="5"/>
  <c r="AE42" i="4"/>
  <c r="AF28" i="4"/>
  <c r="AQ442" i="5"/>
  <c r="AR442" i="5"/>
  <c r="AQ59" i="5"/>
  <c r="AR59" i="5"/>
  <c r="AR277" i="5"/>
  <c r="AQ277" i="5"/>
  <c r="AQ221" i="5"/>
  <c r="AR221" i="5"/>
  <c r="AQ310" i="5"/>
  <c r="AR310" i="5"/>
  <c r="AQ204" i="5"/>
  <c r="AR204" i="5"/>
  <c r="AR375" i="5"/>
  <c r="AQ375" i="5"/>
  <c r="AR507" i="5"/>
  <c r="AQ507" i="5"/>
  <c r="AQ191" i="5"/>
  <c r="AR191" i="5"/>
  <c r="AR298" i="5"/>
  <c r="AQ298" i="5"/>
  <c r="AQ357" i="5"/>
  <c r="AR357" i="5"/>
  <c r="AR309" i="5"/>
  <c r="AQ309" i="5"/>
  <c r="AQ478" i="5"/>
  <c r="AR478" i="5"/>
  <c r="AR89" i="5"/>
  <c r="AQ89" i="5"/>
  <c r="AR174" i="5"/>
  <c r="AQ174" i="5"/>
  <c r="AE56" i="4"/>
  <c r="AR385" i="5"/>
  <c r="AQ385" i="5"/>
  <c r="AR342" i="5"/>
  <c r="AQ342" i="5"/>
  <c r="AR186" i="5"/>
  <c r="AQ186" i="5"/>
  <c r="AQ282" i="5"/>
  <c r="AR282" i="5"/>
  <c r="AR57" i="5"/>
  <c r="AQ57" i="5"/>
  <c r="AQ440" i="5"/>
  <c r="AR440" i="5"/>
  <c r="AE88" i="4"/>
  <c r="AQ264" i="5"/>
  <c r="AR264" i="5"/>
  <c r="AQ467" i="5"/>
  <c r="AR467" i="5"/>
  <c r="AR162" i="5"/>
  <c r="AQ162" i="5"/>
  <c r="AQ419" i="5"/>
  <c r="AR419" i="5"/>
  <c r="AF121" i="4"/>
  <c r="AF88" i="4"/>
  <c r="AE16" i="4"/>
  <c r="AR295" i="5"/>
  <c r="AQ295" i="5"/>
  <c r="X139" i="4"/>
  <c r="AA139" i="4" s="1"/>
  <c r="AC139" i="4" s="1"/>
  <c r="AD139" i="4" s="1"/>
  <c r="AF117" i="4"/>
  <c r="X107" i="4"/>
  <c r="AA107" i="4" s="1"/>
  <c r="AC107" i="4" s="1"/>
  <c r="AD107" i="4" s="1"/>
  <c r="X29" i="4"/>
  <c r="AA29" i="4" s="1"/>
  <c r="AC29" i="4" s="1"/>
  <c r="AD29" i="4" s="1"/>
  <c r="AR116" i="5"/>
  <c r="AQ116" i="5"/>
  <c r="AR145" i="5"/>
  <c r="AQ145" i="5"/>
  <c r="AQ453" i="5"/>
  <c r="AR453" i="5"/>
  <c r="AQ220" i="5"/>
  <c r="AR220" i="5"/>
  <c r="AQ279" i="5"/>
  <c r="AR279" i="5"/>
  <c r="X147" i="4"/>
  <c r="AA147" i="4" s="1"/>
  <c r="AC147" i="4" s="1"/>
  <c r="AD147" i="4" s="1"/>
  <c r="AR128" i="5"/>
  <c r="AQ128" i="5"/>
  <c r="AQ415" i="5"/>
  <c r="AR415" i="5"/>
  <c r="X87" i="4"/>
  <c r="AA87" i="4" s="1"/>
  <c r="AC87" i="4" s="1"/>
  <c r="AD87" i="4" s="1"/>
  <c r="AQ328" i="5"/>
  <c r="AR328" i="5"/>
  <c r="AQ160" i="5"/>
  <c r="AR160" i="5"/>
  <c r="AH13" i="5"/>
  <c r="AP13" i="5"/>
  <c r="AI13" i="5"/>
  <c r="AQ475" i="5"/>
  <c r="AR475" i="5"/>
  <c r="AE119" i="4"/>
  <c r="AQ423" i="5"/>
  <c r="AR423" i="5"/>
  <c r="X154" i="4"/>
  <c r="AA154" i="4" s="1"/>
  <c r="AC154" i="4" s="1"/>
  <c r="AD154" i="4" s="1"/>
  <c r="AF146" i="4"/>
  <c r="X149" i="4"/>
  <c r="AQ35" i="5"/>
  <c r="AR35" i="5"/>
  <c r="AR155" i="5"/>
  <c r="AQ155" i="5"/>
  <c r="AQ351" i="5"/>
  <c r="AR351" i="5"/>
  <c r="AR114" i="5"/>
  <c r="AQ114" i="5"/>
  <c r="AR179" i="5"/>
  <c r="AQ179" i="5"/>
  <c r="AQ344" i="5"/>
  <c r="AR344" i="5"/>
  <c r="X78" i="4"/>
  <c r="AA78" i="4" s="1"/>
  <c r="AC78" i="4" s="1"/>
  <c r="AD78" i="4" s="1"/>
  <c r="X50" i="4"/>
  <c r="AA50" i="4" s="1"/>
  <c r="AC50" i="4" s="1"/>
  <c r="AD50" i="4" s="1"/>
  <c r="AE149" i="4"/>
  <c r="AQ459" i="5"/>
  <c r="AR459" i="5"/>
  <c r="AR172" i="5"/>
  <c r="AQ172" i="5"/>
  <c r="AR315" i="5"/>
  <c r="AQ315" i="5"/>
  <c r="AR196" i="5"/>
  <c r="AQ196" i="5"/>
  <c r="AQ325" i="5"/>
  <c r="AR325" i="5"/>
  <c r="AQ452" i="5"/>
  <c r="AR452" i="5"/>
  <c r="AR353" i="5"/>
  <c r="AQ353" i="5"/>
  <c r="AE139" i="4"/>
  <c r="AR68" i="5"/>
  <c r="AQ68" i="5"/>
  <c r="AQ62" i="5"/>
  <c r="AR62" i="5"/>
  <c r="AE99" i="4"/>
  <c r="X33" i="4"/>
  <c r="AA33" i="4" s="1"/>
  <c r="AC33" i="4" s="1"/>
  <c r="AD33" i="4" s="1"/>
  <c r="AQ299" i="5"/>
  <c r="AR299" i="5"/>
  <c r="AQ171" i="5"/>
  <c r="AR171" i="5"/>
  <c r="AG31" i="4"/>
  <c r="AI31" i="4" s="1"/>
  <c r="AO31" i="4"/>
  <c r="AR246" i="5"/>
  <c r="AQ246" i="5"/>
  <c r="AQ183" i="5"/>
  <c r="AR183" i="5"/>
  <c r="AR125" i="5"/>
  <c r="AQ125" i="5"/>
  <c r="AQ50" i="5"/>
  <c r="AR50" i="5"/>
  <c r="AQ67" i="5"/>
  <c r="AR67" i="5"/>
  <c r="AQ74" i="5"/>
  <c r="AR74" i="5"/>
  <c r="AQ132" i="5"/>
  <c r="AR132" i="5"/>
  <c r="AF110" i="4"/>
  <c r="AQ455" i="5"/>
  <c r="AR455" i="5"/>
  <c r="AR83" i="5"/>
  <c r="AQ83" i="5"/>
  <c r="AQ316" i="5"/>
  <c r="AR316" i="5"/>
  <c r="AQ490" i="5"/>
  <c r="AR490" i="5"/>
  <c r="AJ98" i="4"/>
  <c r="AK98" i="4"/>
  <c r="AE121" i="4"/>
  <c r="AR421" i="5"/>
  <c r="AQ421" i="5"/>
  <c r="AQ231" i="5"/>
  <c r="AR231" i="5"/>
  <c r="AR317" i="5"/>
  <c r="AQ317" i="5"/>
  <c r="AR319" i="5"/>
  <c r="AQ319" i="5"/>
  <c r="X56" i="4"/>
  <c r="AA56" i="4" s="1"/>
  <c r="AC56" i="4" s="1"/>
  <c r="AD56" i="4" s="1"/>
  <c r="X88" i="4"/>
  <c r="AA88" i="4" s="1"/>
  <c r="AC88" i="4" s="1"/>
  <c r="AD88" i="4" s="1"/>
  <c r="AQ280" i="5"/>
  <c r="AR280" i="5"/>
  <c r="AF104" i="4"/>
  <c r="AQ36" i="5"/>
  <c r="AR36" i="5"/>
  <c r="AR550" i="5"/>
  <c r="AQ550" i="5"/>
  <c r="AQ401" i="5"/>
  <c r="AR401" i="5"/>
  <c r="AR150" i="5"/>
  <c r="AQ150" i="5"/>
  <c r="AQ122" i="5"/>
  <c r="AR122" i="5"/>
  <c r="X31" i="4"/>
  <c r="AA31" i="4" s="1"/>
  <c r="AC31" i="4" s="1"/>
  <c r="AD31" i="4" s="1"/>
  <c r="AF147" i="4"/>
  <c r="AQ339" i="5"/>
  <c r="AR339" i="5"/>
  <c r="AQ254" i="5"/>
  <c r="AR254" i="5"/>
  <c r="AR547" i="5"/>
  <c r="AQ547" i="5"/>
  <c r="AR413" i="5"/>
  <c r="AQ413" i="5"/>
  <c r="AQ511" i="5"/>
  <c r="AR511" i="5"/>
  <c r="AR10" i="5"/>
  <c r="AQ10" i="5"/>
  <c r="AF124" i="4"/>
  <c r="X131" i="4"/>
  <c r="AQ481" i="5"/>
  <c r="AR481" i="5"/>
  <c r="U13" i="5"/>
  <c r="V13" i="5"/>
  <c r="AC13" i="5"/>
  <c r="AR247" i="5"/>
  <c r="AQ247" i="5"/>
  <c r="AR86" i="5"/>
  <c r="AQ86" i="5"/>
  <c r="AR98" i="5"/>
  <c r="AQ98" i="5"/>
  <c r="AQ201" i="5"/>
  <c r="AR201" i="5"/>
  <c r="AE138" i="4"/>
  <c r="AF65" i="4"/>
  <c r="X112" i="4"/>
  <c r="AA112" i="4" s="1"/>
  <c r="AC112" i="4" s="1"/>
  <c r="AD112" i="4" s="1"/>
  <c r="AF99" i="4"/>
  <c r="AE156" i="4"/>
  <c r="H34" i="1"/>
  <c r="B145" i="2"/>
  <c r="H35" i="1" s="1"/>
  <c r="AQ60" i="5"/>
  <c r="AR60" i="5"/>
  <c r="AQ429" i="5"/>
  <c r="AR429" i="5"/>
  <c r="AR377" i="5"/>
  <c r="AQ377" i="5"/>
  <c r="AQ554" i="5"/>
  <c r="AR554" i="5"/>
  <c r="X36" i="4"/>
  <c r="AA36" i="4" s="1"/>
  <c r="AC36" i="4" s="1"/>
  <c r="AD36" i="4" s="1"/>
  <c r="AF119" i="4"/>
  <c r="AQ489" i="5"/>
  <c r="AR489" i="5"/>
  <c r="AQ541" i="5"/>
  <c r="AR541" i="5"/>
  <c r="AR88" i="5"/>
  <c r="AQ88" i="5"/>
  <c r="AQ305" i="5"/>
  <c r="AR305" i="5"/>
  <c r="AF92" i="4"/>
  <c r="AR44" i="5"/>
  <c r="AQ44" i="5"/>
  <c r="AR39" i="5"/>
  <c r="AQ39" i="5"/>
  <c r="AQ73" i="5"/>
  <c r="AR73" i="5"/>
  <c r="AQ374" i="5"/>
  <c r="AR374" i="5"/>
  <c r="AE25" i="4"/>
  <c r="AE74" i="4"/>
  <c r="AQ416" i="5"/>
  <c r="AR416" i="5"/>
  <c r="X90" i="4"/>
  <c r="X43" i="4"/>
  <c r="AQ388" i="5"/>
  <c r="AR388" i="5"/>
  <c r="AR185" i="5"/>
  <c r="AQ185" i="5"/>
  <c r="AR49" i="5"/>
  <c r="AQ49" i="5"/>
  <c r="AR71" i="5"/>
  <c r="AQ71" i="5"/>
  <c r="X28" i="4"/>
  <c r="AA28" i="4" s="1"/>
  <c r="AC28" i="4" s="1"/>
  <c r="AD28" i="4" s="1"/>
  <c r="AF51" i="4"/>
  <c r="AD371" i="5" l="1"/>
  <c r="AK70" i="4"/>
  <c r="AD523" i="5"/>
  <c r="AE55" i="4"/>
  <c r="X55" i="4"/>
  <c r="AJ55" i="4" s="1"/>
  <c r="Y35" i="4"/>
  <c r="Z35" i="4" s="1"/>
  <c r="AE35" i="4"/>
  <c r="AO106" i="4"/>
  <c r="AD206" i="5"/>
  <c r="AS206" i="5"/>
  <c r="AE221" i="5"/>
  <c r="AD221" i="5"/>
  <c r="X60" i="4"/>
  <c r="X127" i="4"/>
  <c r="AJ127" i="4" s="1"/>
  <c r="AE127" i="4"/>
  <c r="AS264" i="5"/>
  <c r="AU264" i="5" s="1"/>
  <c r="AD265" i="5"/>
  <c r="X18" i="4"/>
  <c r="AJ18" i="4" s="1"/>
  <c r="AE18" i="4"/>
  <c r="AG18" i="4"/>
  <c r="AI18" i="4" s="1"/>
  <c r="AO18" i="4"/>
  <c r="AS523" i="5"/>
  <c r="AD80" i="5"/>
  <c r="AD525" i="5"/>
  <c r="AE80" i="5"/>
  <c r="AD105" i="5"/>
  <c r="AE546" i="5"/>
  <c r="AS546" i="5"/>
  <c r="AD537" i="5"/>
  <c r="AS379" i="5"/>
  <c r="AT379" i="5" s="1"/>
  <c r="AS537" i="5"/>
  <c r="AT537" i="5" s="1"/>
  <c r="AD379" i="5"/>
  <c r="AE117" i="5"/>
  <c r="AE234" i="5"/>
  <c r="AS234" i="5"/>
  <c r="AU234" i="5" s="1"/>
  <c r="AD392" i="5"/>
  <c r="AS446" i="5"/>
  <c r="AT446" i="5" s="1"/>
  <c r="AD26" i="5"/>
  <c r="AD121" i="5"/>
  <c r="AD254" i="5"/>
  <c r="AD160" i="5"/>
  <c r="AE121" i="5"/>
  <c r="AE446" i="5"/>
  <c r="AE392" i="5"/>
  <c r="AE160" i="5"/>
  <c r="AS376" i="5"/>
  <c r="AT376" i="5" s="1"/>
  <c r="AD429" i="5"/>
  <c r="AE432" i="5"/>
  <c r="AE429" i="5"/>
  <c r="AD432" i="5"/>
  <c r="AE426" i="5"/>
  <c r="AS23" i="5"/>
  <c r="AT23" i="5" s="1"/>
  <c r="AS426" i="5"/>
  <c r="AT426" i="5" s="1"/>
  <c r="Y37" i="4"/>
  <c r="Z37" i="4" s="1"/>
  <c r="AA37" i="4" s="1"/>
  <c r="AC37" i="4" s="1"/>
  <c r="AD37" i="4" s="1"/>
  <c r="AE23" i="5"/>
  <c r="AE534" i="5"/>
  <c r="AS534" i="5"/>
  <c r="AT534" i="5" s="1"/>
  <c r="AS530" i="5"/>
  <c r="AU530" i="5" s="1"/>
  <c r="AE530" i="5"/>
  <c r="X145" i="4"/>
  <c r="AJ145" i="4" s="1"/>
  <c r="AE145" i="4"/>
  <c r="AE376" i="5"/>
  <c r="AS105" i="5"/>
  <c r="AU105" i="5" s="1"/>
  <c r="AD264" i="5"/>
  <c r="AD508" i="5"/>
  <c r="AD417" i="5"/>
  <c r="AD422" i="5"/>
  <c r="AS483" i="5"/>
  <c r="AU483" i="5" s="1"/>
  <c r="AS508" i="5"/>
  <c r="AU508" i="5" s="1"/>
  <c r="AE289" i="5"/>
  <c r="AD232" i="5"/>
  <c r="AE483" i="5"/>
  <c r="AE279" i="5"/>
  <c r="AE254" i="5"/>
  <c r="AE232" i="5"/>
  <c r="AD500" i="5"/>
  <c r="AD279" i="5"/>
  <c r="X66" i="4"/>
  <c r="AJ66" i="4" s="1"/>
  <c r="AE422" i="5"/>
  <c r="AS532" i="5"/>
  <c r="AT532" i="5" s="1"/>
  <c r="AS200" i="5"/>
  <c r="AT200" i="5" s="1"/>
  <c r="AE500" i="5"/>
  <c r="AS26" i="5"/>
  <c r="AT26" i="5" s="1"/>
  <c r="AE532" i="5"/>
  <c r="AD479" i="5"/>
  <c r="AS289" i="5"/>
  <c r="AT289" i="5" s="1"/>
  <c r="AE14" i="4"/>
  <c r="AS469" i="5"/>
  <c r="AU469" i="5" s="1"/>
  <c r="AD469" i="5"/>
  <c r="AE417" i="5"/>
  <c r="AS243" i="5"/>
  <c r="AU243" i="5" s="1"/>
  <c r="AS345" i="5"/>
  <c r="AT345" i="5" s="1"/>
  <c r="AD117" i="5"/>
  <c r="AS97" i="5"/>
  <c r="AT97" i="5" s="1"/>
  <c r="AS463" i="5"/>
  <c r="AU463" i="5" s="1"/>
  <c r="AE97" i="5"/>
  <c r="K36" i="2"/>
  <c r="L36" i="2"/>
  <c r="X46" i="4"/>
  <c r="AK46" i="4" s="1"/>
  <c r="AE15" i="4"/>
  <c r="AO46" i="4"/>
  <c r="AE37" i="4"/>
  <c r="AS265" i="5"/>
  <c r="AT265" i="5" s="1"/>
  <c r="AE520" i="5"/>
  <c r="AD520" i="5"/>
  <c r="AS184" i="5"/>
  <c r="AT184" i="5" s="1"/>
  <c r="AE184" i="5"/>
  <c r="AD463" i="5"/>
  <c r="AE205" i="5"/>
  <c r="AD470" i="5"/>
  <c r="AS470" i="5"/>
  <c r="AU470" i="5" s="1"/>
  <c r="AD556" i="5"/>
  <c r="AS327" i="5"/>
  <c r="AT327" i="5" s="1"/>
  <c r="AS509" i="5"/>
  <c r="AT509" i="5" s="1"/>
  <c r="AD511" i="5"/>
  <c r="AE140" i="5"/>
  <c r="AD452" i="5"/>
  <c r="AS226" i="5"/>
  <c r="AT226" i="5" s="1"/>
  <c r="AE354" i="5"/>
  <c r="AS22" i="5"/>
  <c r="AT22" i="5" s="1"/>
  <c r="AE213" i="5"/>
  <c r="AS511" i="5"/>
  <c r="AT511" i="5" s="1"/>
  <c r="AS297" i="5"/>
  <c r="AT297" i="5" s="1"/>
  <c r="AS466" i="5"/>
  <c r="AU466" i="5" s="1"/>
  <c r="AE297" i="5"/>
  <c r="AS213" i="5"/>
  <c r="AU213" i="5" s="1"/>
  <c r="AS540" i="5"/>
  <c r="AU540" i="5" s="1"/>
  <c r="AE359" i="5"/>
  <c r="Y20" i="4"/>
  <c r="Z20" i="4" s="1"/>
  <c r="AF20" i="4" s="1"/>
  <c r="AE20" i="4"/>
  <c r="AD444" i="5"/>
  <c r="AD183" i="5"/>
  <c r="AS49" i="5"/>
  <c r="AT49" i="5" s="1"/>
  <c r="AE46" i="4"/>
  <c r="AA43" i="4"/>
  <c r="AC43" i="4" s="1"/>
  <c r="AD43" i="4" s="1"/>
  <c r="AD540" i="5"/>
  <c r="AS359" i="5"/>
  <c r="AT359" i="5" s="1"/>
  <c r="AE365" i="5"/>
  <c r="AS514" i="5"/>
  <c r="AT514" i="5" s="1"/>
  <c r="AE479" i="5"/>
  <c r="X14" i="4"/>
  <c r="AJ14" i="4" s="1"/>
  <c r="AE24" i="5"/>
  <c r="AS166" i="5"/>
  <c r="AT166" i="5" s="1"/>
  <c r="AD136" i="5"/>
  <c r="X61" i="4"/>
  <c r="AJ61" i="4" s="1"/>
  <c r="AE66" i="4"/>
  <c r="AF66" i="4"/>
  <c r="AO66" i="4" s="1"/>
  <c r="AD302" i="5"/>
  <c r="AA149" i="4"/>
  <c r="AC149" i="4" s="1"/>
  <c r="AD149" i="4" s="1"/>
  <c r="AO61" i="4"/>
  <c r="AA115" i="4"/>
  <c r="AC115" i="4" s="1"/>
  <c r="AD115" i="4" s="1"/>
  <c r="AE61" i="4"/>
  <c r="AE40" i="5"/>
  <c r="AE237" i="5"/>
  <c r="AE42" i="5"/>
  <c r="AD386" i="5"/>
  <c r="AE261" i="5"/>
  <c r="AS188" i="5"/>
  <c r="AT188" i="5" s="1"/>
  <c r="AE386" i="5"/>
  <c r="AS42" i="5"/>
  <c r="AU42" i="5" s="1"/>
  <c r="AF142" i="4"/>
  <c r="AG142" i="4" s="1"/>
  <c r="AI142" i="4" s="1"/>
  <c r="AS248" i="5"/>
  <c r="AU248" i="5" s="1"/>
  <c r="AD261" i="5"/>
  <c r="AE142" i="4"/>
  <c r="AS361" i="5"/>
  <c r="AU361" i="5" s="1"/>
  <c r="AD361" i="5"/>
  <c r="AD543" i="5"/>
  <c r="AD280" i="5"/>
  <c r="AS313" i="5"/>
  <c r="AU313" i="5" s="1"/>
  <c r="X142" i="4"/>
  <c r="AJ142" i="4" s="1"/>
  <c r="AE280" i="5"/>
  <c r="AD301" i="5"/>
  <c r="AE303" i="5"/>
  <c r="AE482" i="5"/>
  <c r="AE382" i="5"/>
  <c r="AS351" i="5"/>
  <c r="AT351" i="5" s="1"/>
  <c r="AS518" i="5"/>
  <c r="AU518" i="5" s="1"/>
  <c r="AS31" i="5"/>
  <c r="AT31" i="5" s="1"/>
  <c r="AE491" i="5"/>
  <c r="AT278" i="5"/>
  <c r="AD365" i="5"/>
  <c r="AE501" i="5"/>
  <c r="AS353" i="5"/>
  <c r="AT353" i="5" s="1"/>
  <c r="AS421" i="5"/>
  <c r="AT421" i="5" s="1"/>
  <c r="AD332" i="5"/>
  <c r="AE332" i="5"/>
  <c r="AD518" i="5"/>
  <c r="AD203" i="5"/>
  <c r="AE166" i="5"/>
  <c r="AS302" i="5"/>
  <c r="AU302" i="5" s="1"/>
  <c r="AE70" i="5"/>
  <c r="AS145" i="5"/>
  <c r="AU145" i="5" s="1"/>
  <c r="AD514" i="5"/>
  <c r="AS300" i="5"/>
  <c r="AT300" i="5" s="1"/>
  <c r="AS444" i="5"/>
  <c r="AU444" i="5" s="1"/>
  <c r="AD345" i="5"/>
  <c r="AE136" i="5"/>
  <c r="AE243" i="5"/>
  <c r="AS113" i="5"/>
  <c r="AU113" i="5" s="1"/>
  <c r="AE300" i="5"/>
  <c r="AS382" i="5"/>
  <c r="AT382" i="5" s="1"/>
  <c r="AD482" i="5"/>
  <c r="AS58" i="5"/>
  <c r="AU58" i="5" s="1"/>
  <c r="AE58" i="5"/>
  <c r="AD48" i="5"/>
  <c r="AD363" i="5"/>
  <c r="AS201" i="5"/>
  <c r="AU201" i="5" s="1"/>
  <c r="AS349" i="5"/>
  <c r="AT349" i="5" s="1"/>
  <c r="AE336" i="5"/>
  <c r="AS137" i="5"/>
  <c r="AT137" i="5" s="1"/>
  <c r="AE59" i="5"/>
  <c r="AE349" i="5"/>
  <c r="AE378" i="5"/>
  <c r="AS222" i="5"/>
  <c r="AU222" i="5" s="1"/>
  <c r="AS336" i="5"/>
  <c r="AT336" i="5" s="1"/>
  <c r="AS21" i="5"/>
  <c r="AT21" i="5" s="1"/>
  <c r="AD21" i="5"/>
  <c r="AS148" i="5"/>
  <c r="AT148" i="5" s="1"/>
  <c r="AE248" i="5"/>
  <c r="AE188" i="5"/>
  <c r="AE137" i="5"/>
  <c r="AD59" i="5"/>
  <c r="AD374" i="5"/>
  <c r="AD32" i="5"/>
  <c r="AS478" i="5"/>
  <c r="AU478" i="5" s="1"/>
  <c r="AE223" i="5"/>
  <c r="AS374" i="5"/>
  <c r="AU374" i="5" s="1"/>
  <c r="AE455" i="5"/>
  <c r="AS32" i="5"/>
  <c r="AT32" i="5" s="1"/>
  <c r="AD478" i="5"/>
  <c r="AD223" i="5"/>
  <c r="AE199" i="5"/>
  <c r="AD303" i="5"/>
  <c r="AE313" i="5"/>
  <c r="AD481" i="5"/>
  <c r="AD237" i="5"/>
  <c r="AS363" i="5"/>
  <c r="AT363" i="5" s="1"/>
  <c r="AS378" i="5"/>
  <c r="AU378" i="5" s="1"/>
  <c r="AE222" i="5"/>
  <c r="AE69" i="5"/>
  <c r="AE543" i="5"/>
  <c r="AS301" i="5"/>
  <c r="AU301" i="5" s="1"/>
  <c r="AS455" i="5"/>
  <c r="AU455" i="5" s="1"/>
  <c r="AD453" i="5"/>
  <c r="AS48" i="5"/>
  <c r="AU48" i="5" s="1"/>
  <c r="AD138" i="5"/>
  <c r="AS138" i="5"/>
  <c r="AT138" i="5" s="1"/>
  <c r="AD360" i="5"/>
  <c r="AS477" i="5"/>
  <c r="AT477" i="5" s="1"/>
  <c r="AE333" i="5"/>
  <c r="AE477" i="5"/>
  <c r="AS94" i="5"/>
  <c r="AU94" i="5" s="1"/>
  <c r="AD194" i="5"/>
  <c r="AS306" i="5"/>
  <c r="AU306" i="5" s="1"/>
  <c r="AS494" i="5"/>
  <c r="AU494" i="5" s="1"/>
  <c r="AA96" i="4"/>
  <c r="AC96" i="4" s="1"/>
  <c r="AD96" i="4" s="1"/>
  <c r="AR96" i="4" s="1"/>
  <c r="AT96" i="4" s="1"/>
  <c r="AD94" i="5"/>
  <c r="AD333" i="5"/>
  <c r="AS360" i="5"/>
  <c r="AU360" i="5" s="1"/>
  <c r="AS259" i="5"/>
  <c r="AU259" i="5" s="1"/>
  <c r="AD460" i="5"/>
  <c r="AT147" i="5"/>
  <c r="AS194" i="5"/>
  <c r="AU194" i="5" s="1"/>
  <c r="AD306" i="5"/>
  <c r="AE494" i="5"/>
  <c r="AT54" i="5"/>
  <c r="AS158" i="5"/>
  <c r="AU158" i="5" s="1"/>
  <c r="AD54" i="5"/>
  <c r="AE173" i="5"/>
  <c r="AD269" i="5"/>
  <c r="AS119" i="5"/>
  <c r="AU119" i="5" s="1"/>
  <c r="AE186" i="5"/>
  <c r="AE460" i="5"/>
  <c r="AD475" i="5"/>
  <c r="AE399" i="5"/>
  <c r="AD398" i="5"/>
  <c r="AS475" i="5"/>
  <c r="AU475" i="5" s="1"/>
  <c r="AD536" i="5"/>
  <c r="AE165" i="5"/>
  <c r="AE125" i="5"/>
  <c r="AS186" i="5"/>
  <c r="AU186" i="5" s="1"/>
  <c r="AD399" i="5"/>
  <c r="AD456" i="5"/>
  <c r="AE54" i="5"/>
  <c r="AS425" i="5"/>
  <c r="AT425" i="5" s="1"/>
  <c r="AS55" i="5"/>
  <c r="AT55" i="5" s="1"/>
  <c r="AE135" i="4"/>
  <c r="AE533" i="5"/>
  <c r="AD31" i="5"/>
  <c r="AS440" i="5"/>
  <c r="AT440" i="5" s="1"/>
  <c r="AD366" i="5"/>
  <c r="AS462" i="5"/>
  <c r="AU462" i="5" s="1"/>
  <c r="AE65" i="5"/>
  <c r="AD436" i="5"/>
  <c r="AD400" i="5"/>
  <c r="AD296" i="5"/>
  <c r="AS283" i="5"/>
  <c r="AT283" i="5" s="1"/>
  <c r="AE269" i="5"/>
  <c r="AE241" i="5"/>
  <c r="AS517" i="5"/>
  <c r="AT517" i="5" s="1"/>
  <c r="AE208" i="5"/>
  <c r="AS140" i="5"/>
  <c r="AU140" i="5" s="1"/>
  <c r="AS556" i="5"/>
  <c r="AU556" i="5" s="1"/>
  <c r="AE22" i="5"/>
  <c r="AD151" i="5"/>
  <c r="AD226" i="5"/>
  <c r="AD466" i="5"/>
  <c r="AS62" i="5"/>
  <c r="AT62" i="5" s="1"/>
  <c r="AS354" i="5"/>
  <c r="AU354" i="5" s="1"/>
  <c r="AS309" i="5"/>
  <c r="AT309" i="5" s="1"/>
  <c r="AD401" i="5"/>
  <c r="AS325" i="5"/>
  <c r="AU325" i="5" s="1"/>
  <c r="X15" i="4"/>
  <c r="AJ15" i="4" s="1"/>
  <c r="AE210" i="5"/>
  <c r="AE151" i="5"/>
  <c r="AD472" i="5"/>
  <c r="AD112" i="5"/>
  <c r="AE551" i="5"/>
  <c r="AE309" i="5"/>
  <c r="AD486" i="5"/>
  <c r="AE112" i="5"/>
  <c r="AS551" i="5"/>
  <c r="AU551" i="5" s="1"/>
  <c r="AD245" i="5"/>
  <c r="AD277" i="5"/>
  <c r="AS116" i="5"/>
  <c r="AT116" i="5" s="1"/>
  <c r="AD325" i="5"/>
  <c r="AS504" i="5"/>
  <c r="AT504" i="5" s="1"/>
  <c r="AS210" i="5"/>
  <c r="AU210" i="5" s="1"/>
  <c r="AE304" i="5"/>
  <c r="AD327" i="5"/>
  <c r="AS452" i="5"/>
  <c r="AU452" i="5" s="1"/>
  <c r="AD504" i="5"/>
  <c r="AD304" i="5"/>
  <c r="AS245" i="5"/>
  <c r="AT245" i="5" s="1"/>
  <c r="AS46" i="5"/>
  <c r="AT46" i="5" s="1"/>
  <c r="AS277" i="5"/>
  <c r="AU277" i="5" s="1"/>
  <c r="AD158" i="5"/>
  <c r="AD46" i="5"/>
  <c r="AD116" i="5"/>
  <c r="AS438" i="5"/>
  <c r="AT438" i="5" s="1"/>
  <c r="AS244" i="5"/>
  <c r="AU244" i="5" s="1"/>
  <c r="AD189" i="5"/>
  <c r="AD40" i="5"/>
  <c r="AE502" i="5"/>
  <c r="AD38" i="5"/>
  <c r="AD180" i="5"/>
  <c r="AE101" i="5"/>
  <c r="AE480" i="5"/>
  <c r="AS548" i="5"/>
  <c r="AT548" i="5" s="1"/>
  <c r="AS36" i="5"/>
  <c r="AU36" i="5" s="1"/>
  <c r="AS502" i="5"/>
  <c r="AT502" i="5" s="1"/>
  <c r="AS310" i="5"/>
  <c r="AU310" i="5" s="1"/>
  <c r="AD142" i="5"/>
  <c r="AE76" i="5"/>
  <c r="AS308" i="5"/>
  <c r="AU308" i="5" s="1"/>
  <c r="AD338" i="5"/>
  <c r="AE142" i="5"/>
  <c r="AD274" i="5"/>
  <c r="AD238" i="5"/>
  <c r="AE19" i="5"/>
  <c r="AD150" i="5"/>
  <c r="AE544" i="5"/>
  <c r="AD450" i="5"/>
  <c r="AS115" i="5"/>
  <c r="AT115" i="5" s="1"/>
  <c r="AD295" i="5"/>
  <c r="AE115" i="5"/>
  <c r="AD491" i="5"/>
  <c r="AS150" i="5"/>
  <c r="AU150" i="5" s="1"/>
  <c r="AE552" i="5"/>
  <c r="AE517" i="5"/>
  <c r="AE341" i="5"/>
  <c r="AE25" i="5"/>
  <c r="AS552" i="5"/>
  <c r="AT552" i="5" s="1"/>
  <c r="AD241" i="5"/>
  <c r="AD298" i="5"/>
  <c r="AS25" i="5"/>
  <c r="AT25" i="5" s="1"/>
  <c r="AE298" i="5"/>
  <c r="AD451" i="5"/>
  <c r="AT202" i="5"/>
  <c r="AE202" i="5"/>
  <c r="AD202" i="5"/>
  <c r="AD208" i="5"/>
  <c r="AS451" i="5"/>
  <c r="AU451" i="5" s="1"/>
  <c r="AS267" i="5"/>
  <c r="AU267" i="5" s="1"/>
  <c r="AS174" i="5"/>
  <c r="AU174" i="5" s="1"/>
  <c r="AS104" i="5"/>
  <c r="AU104" i="5" s="1"/>
  <c r="AE145" i="5"/>
  <c r="AD104" i="5"/>
  <c r="AS178" i="5"/>
  <c r="AU178" i="5" s="1"/>
  <c r="AE113" i="5"/>
  <c r="AE200" i="5"/>
  <c r="AS533" i="5"/>
  <c r="AT533" i="5" s="1"/>
  <c r="AE216" i="5"/>
  <c r="AS120" i="5"/>
  <c r="AU120" i="5" s="1"/>
  <c r="AS501" i="5"/>
  <c r="AU501" i="5" s="1"/>
  <c r="AE456" i="5"/>
  <c r="AD421" i="5"/>
  <c r="AE120" i="5"/>
  <c r="AU78" i="5"/>
  <c r="AE351" i="5"/>
  <c r="AD275" i="5"/>
  <c r="AD440" i="5"/>
  <c r="AS400" i="5"/>
  <c r="AT400" i="5" s="1"/>
  <c r="AE203" i="5"/>
  <c r="AS366" i="5"/>
  <c r="AU366" i="5" s="1"/>
  <c r="AD216" i="5"/>
  <c r="AE434" i="5"/>
  <c r="AS390" i="5"/>
  <c r="AU390" i="5" s="1"/>
  <c r="AD383" i="5"/>
  <c r="AE275" i="5"/>
  <c r="AE181" i="5"/>
  <c r="AD260" i="5"/>
  <c r="AD434" i="5"/>
  <c r="AE384" i="5"/>
  <c r="AE425" i="5"/>
  <c r="AE390" i="5"/>
  <c r="AD165" i="5"/>
  <c r="AD335" i="5"/>
  <c r="AD506" i="5"/>
  <c r="AD181" i="5"/>
  <c r="AE260" i="5"/>
  <c r="AS383" i="5"/>
  <c r="AU383" i="5" s="1"/>
  <c r="AS492" i="5"/>
  <c r="AU492" i="5" s="1"/>
  <c r="AS384" i="5"/>
  <c r="AT384" i="5" s="1"/>
  <c r="AS335" i="5"/>
  <c r="AU335" i="5" s="1"/>
  <c r="AE506" i="5"/>
  <c r="AD492" i="5"/>
  <c r="AD353" i="5"/>
  <c r="AE495" i="5"/>
  <c r="AS193" i="5"/>
  <c r="AT193" i="5" s="1"/>
  <c r="AD114" i="5"/>
  <c r="AD495" i="5"/>
  <c r="AT81" i="5"/>
  <c r="AD283" i="5"/>
  <c r="AS114" i="5"/>
  <c r="AT114" i="5" s="1"/>
  <c r="AS420" i="5"/>
  <c r="AT420" i="5" s="1"/>
  <c r="AD441" i="5"/>
  <c r="AE462" i="5"/>
  <c r="AS441" i="5"/>
  <c r="AU441" i="5" s="1"/>
  <c r="AE420" i="5"/>
  <c r="AE278" i="5"/>
  <c r="AS60" i="5"/>
  <c r="AU60" i="5" s="1"/>
  <c r="X135" i="4"/>
  <c r="AJ135" i="4" s="1"/>
  <c r="AD278" i="5"/>
  <c r="AD81" i="5"/>
  <c r="AE122" i="5"/>
  <c r="AE49" i="5"/>
  <c r="AD70" i="5"/>
  <c r="AS122" i="5"/>
  <c r="AT122" i="5" s="1"/>
  <c r="AE81" i="5"/>
  <c r="AE78" i="5"/>
  <c r="AE60" i="5"/>
  <c r="AE36" i="5"/>
  <c r="AD356" i="5"/>
  <c r="AD310" i="5"/>
  <c r="AF125" i="4"/>
  <c r="AG125" i="4" s="1"/>
  <c r="AI125" i="4" s="1"/>
  <c r="AD127" i="5"/>
  <c r="AE356" i="5"/>
  <c r="AE125" i="4"/>
  <c r="AE127" i="5"/>
  <c r="AE143" i="5"/>
  <c r="AD343" i="5"/>
  <c r="AS314" i="5"/>
  <c r="AT314" i="5" s="1"/>
  <c r="AE343" i="5"/>
  <c r="AS50" i="5"/>
  <c r="AT50" i="5" s="1"/>
  <c r="AE342" i="5"/>
  <c r="X125" i="4"/>
  <c r="AJ125" i="4" s="1"/>
  <c r="AS143" i="5"/>
  <c r="AT143" i="5" s="1"/>
  <c r="AE12" i="5"/>
  <c r="AS541" i="5"/>
  <c r="AT541" i="5" s="1"/>
  <c r="AD50" i="5"/>
  <c r="AD428" i="5"/>
  <c r="AS12" i="5"/>
  <c r="AU12" i="5" s="1"/>
  <c r="AS496" i="5"/>
  <c r="AU496" i="5" s="1"/>
  <c r="AE496" i="5"/>
  <c r="AE314" i="5"/>
  <c r="AE38" i="5"/>
  <c r="AD342" i="5"/>
  <c r="AE308" i="5"/>
  <c r="AS77" i="5"/>
  <c r="AT77" i="5" s="1"/>
  <c r="AX77" i="5" s="1"/>
  <c r="AY77" i="5" s="1"/>
  <c r="AS476" i="5"/>
  <c r="AT476" i="5" s="1"/>
  <c r="AS405" i="5"/>
  <c r="AU405" i="5" s="1"/>
  <c r="AE106" i="5"/>
  <c r="AD244" i="5"/>
  <c r="AS295" i="5"/>
  <c r="AU295" i="5" s="1"/>
  <c r="AS76" i="5"/>
  <c r="AU76" i="5" s="1"/>
  <c r="AD438" i="5"/>
  <c r="AE405" i="5"/>
  <c r="AS106" i="5"/>
  <c r="AT106" i="5" s="1"/>
  <c r="AS134" i="5"/>
  <c r="AU134" i="5" s="1"/>
  <c r="AE180" i="5"/>
  <c r="AE476" i="5"/>
  <c r="AS90" i="5"/>
  <c r="AU90" i="5" s="1"/>
  <c r="AD282" i="5"/>
  <c r="AD528" i="5"/>
  <c r="X57" i="4"/>
  <c r="AJ57" i="4" s="1"/>
  <c r="AD77" i="5"/>
  <c r="AE57" i="4"/>
  <c r="AD239" i="5"/>
  <c r="AS24" i="5"/>
  <c r="AT24" i="5" s="1"/>
  <c r="AE338" i="5"/>
  <c r="AE274" i="5"/>
  <c r="AD294" i="5"/>
  <c r="AS239" i="5"/>
  <c r="AU239" i="5" s="1"/>
  <c r="AS293" i="5"/>
  <c r="AT293" i="5" s="1"/>
  <c r="AD262" i="5"/>
  <c r="AS44" i="5"/>
  <c r="AT44" i="5" s="1"/>
  <c r="AE294" i="5"/>
  <c r="AD217" i="5"/>
  <c r="AE247" i="5"/>
  <c r="AS238" i="5"/>
  <c r="AU238" i="5" s="1"/>
  <c r="AD293" i="5"/>
  <c r="AE189" i="5"/>
  <c r="AE262" i="5"/>
  <c r="AS344" i="5"/>
  <c r="AU344" i="5" s="1"/>
  <c r="AD101" i="5"/>
  <c r="AE44" i="5"/>
  <c r="AS394" i="5"/>
  <c r="AT394" i="5" s="1"/>
  <c r="AS19" i="5"/>
  <c r="AT19" i="5" s="1"/>
  <c r="AS453" i="5"/>
  <c r="AT453" i="5" s="1"/>
  <c r="AD548" i="5"/>
  <c r="AE148" i="5"/>
  <c r="AD197" i="5"/>
  <c r="AS220" i="5"/>
  <c r="AU220" i="5" s="1"/>
  <c r="AD544" i="5"/>
  <c r="AE450" i="5"/>
  <c r="AK96" i="4"/>
  <c r="AS217" i="5"/>
  <c r="AU217" i="5" s="1"/>
  <c r="AS197" i="5"/>
  <c r="AU197" i="5" s="1"/>
  <c r="AE220" i="5"/>
  <c r="AE266" i="5"/>
  <c r="AD257" i="5"/>
  <c r="AE436" i="5"/>
  <c r="AD174" i="5"/>
  <c r="AS410" i="5"/>
  <c r="AU410" i="5" s="1"/>
  <c r="AE34" i="5"/>
  <c r="AS132" i="5"/>
  <c r="AU132" i="5" s="1"/>
  <c r="AS27" i="5"/>
  <c r="AU27" i="5" s="1"/>
  <c r="AE133" i="5"/>
  <c r="AS126" i="5"/>
  <c r="AT126" i="5" s="1"/>
  <c r="AS416" i="5"/>
  <c r="AT416" i="5" s="1"/>
  <c r="AS385" i="5"/>
  <c r="AT385" i="5" s="1"/>
  <c r="AS111" i="5"/>
  <c r="AU111" i="5" s="1"/>
  <c r="AD133" i="5"/>
  <c r="AD267" i="5"/>
  <c r="AS68" i="5"/>
  <c r="AT68" i="5" s="1"/>
  <c r="AE416" i="5"/>
  <c r="AD27" i="5"/>
  <c r="AS447" i="5"/>
  <c r="AT447" i="5" s="1"/>
  <c r="AD385" i="5"/>
  <c r="AD350" i="5"/>
  <c r="AS350" i="5"/>
  <c r="AT350" i="5" s="1"/>
  <c r="AE375" i="5"/>
  <c r="AS179" i="5"/>
  <c r="AU179" i="5" s="1"/>
  <c r="AE35" i="5"/>
  <c r="AD73" i="5"/>
  <c r="AD29" i="5"/>
  <c r="AS155" i="5"/>
  <c r="AU155" i="5" s="1"/>
  <c r="AE505" i="5"/>
  <c r="AS369" i="5"/>
  <c r="AT369" i="5" s="1"/>
  <c r="AE43" i="5"/>
  <c r="AD155" i="5"/>
  <c r="AE68" i="5"/>
  <c r="AS73" i="5"/>
  <c r="AT73" i="5" s="1"/>
  <c r="AE111" i="5"/>
  <c r="AD369" i="5"/>
  <c r="AD341" i="5"/>
  <c r="AS505" i="5"/>
  <c r="AT505" i="5" s="1"/>
  <c r="AD126" i="5"/>
  <c r="AS388" i="5"/>
  <c r="AU388" i="5" s="1"/>
  <c r="AD465" i="5"/>
  <c r="AD132" i="5"/>
  <c r="AU257" i="5"/>
  <c r="AD125" i="5"/>
  <c r="AD529" i="5"/>
  <c r="AE296" i="5"/>
  <c r="AD253" i="5"/>
  <c r="AD228" i="5"/>
  <c r="AD55" i="5"/>
  <c r="AS529" i="5"/>
  <c r="AU529" i="5" s="1"/>
  <c r="AD499" i="5"/>
  <c r="AD168" i="5"/>
  <c r="AS228" i="5"/>
  <c r="AU228" i="5" s="1"/>
  <c r="AD236" i="5"/>
  <c r="AE499" i="5"/>
  <c r="AE403" i="5"/>
  <c r="AD33" i="5"/>
  <c r="AE147" i="5"/>
  <c r="AE157" i="5"/>
  <c r="AS168" i="5"/>
  <c r="AU168" i="5" s="1"/>
  <c r="AS99" i="5"/>
  <c r="AU99" i="5" s="1"/>
  <c r="AE253" i="5"/>
  <c r="AD66" i="5"/>
  <c r="AS473" i="5"/>
  <c r="AU473" i="5" s="1"/>
  <c r="AS236" i="5"/>
  <c r="AU236" i="5" s="1"/>
  <c r="AE214" i="5"/>
  <c r="AS141" i="5"/>
  <c r="AU141" i="5" s="1"/>
  <c r="AS404" i="5"/>
  <c r="AU404" i="5" s="1"/>
  <c r="AD268" i="5"/>
  <c r="AS403" i="5"/>
  <c r="AU403" i="5" s="1"/>
  <c r="AE33" i="5"/>
  <c r="AS218" i="5"/>
  <c r="AT218" i="5" s="1"/>
  <c r="AS398" i="5"/>
  <c r="AT398" i="5" s="1"/>
  <c r="AD173" i="5"/>
  <c r="AS66" i="5"/>
  <c r="AU66" i="5" s="1"/>
  <c r="AE473" i="5"/>
  <c r="AD119" i="5"/>
  <c r="AS214" i="5"/>
  <c r="AU214" i="5" s="1"/>
  <c r="AE141" i="5"/>
  <c r="AE404" i="5"/>
  <c r="AE268" i="5"/>
  <c r="AD259" i="5"/>
  <c r="AD266" i="5"/>
  <c r="AE257" i="5"/>
  <c r="AS229" i="5"/>
  <c r="AU229" i="5" s="1"/>
  <c r="AE229" i="5"/>
  <c r="AE536" i="5"/>
  <c r="AS108" i="5"/>
  <c r="AT108" i="5" s="1"/>
  <c r="AD218" i="5"/>
  <c r="AS65" i="5"/>
  <c r="AU65" i="5" s="1"/>
  <c r="AD147" i="5"/>
  <c r="AE99" i="5"/>
  <c r="AS157" i="5"/>
  <c r="AU157" i="5" s="1"/>
  <c r="AE541" i="5"/>
  <c r="AD90" i="5"/>
  <c r="AE282" i="5"/>
  <c r="AS468" i="5"/>
  <c r="AT468" i="5" s="1"/>
  <c r="AS528" i="5"/>
  <c r="AU528" i="5" s="1"/>
  <c r="AD134" i="5"/>
  <c r="AS428" i="5"/>
  <c r="AU428" i="5" s="1"/>
  <c r="AE468" i="5"/>
  <c r="AS198" i="5"/>
  <c r="AT198" i="5" s="1"/>
  <c r="AD513" i="5"/>
  <c r="AE329" i="5"/>
  <c r="AS285" i="5"/>
  <c r="AT285" i="5" s="1"/>
  <c r="AE521" i="5"/>
  <c r="AE380" i="5"/>
  <c r="AS513" i="5"/>
  <c r="AU513" i="5" s="1"/>
  <c r="AE331" i="5"/>
  <c r="AD395" i="5"/>
  <c r="AS318" i="5"/>
  <c r="AU318" i="5" s="1"/>
  <c r="AD329" i="5"/>
  <c r="AD83" i="5"/>
  <c r="AE285" i="5"/>
  <c r="AD521" i="5"/>
  <c r="AE198" i="5"/>
  <c r="AD255" i="5"/>
  <c r="AE471" i="5"/>
  <c r="AD471" i="5"/>
  <c r="AD380" i="5"/>
  <c r="AD331" i="5"/>
  <c r="AE395" i="5"/>
  <c r="AE318" i="5"/>
  <c r="AS270" i="5"/>
  <c r="AT270" i="5" s="1"/>
  <c r="AD427" i="5"/>
  <c r="AE83" i="5"/>
  <c r="AS402" i="5"/>
  <c r="AU402" i="5" s="1"/>
  <c r="AD270" i="5"/>
  <c r="AE427" i="5"/>
  <c r="AE402" i="5"/>
  <c r="AS255" i="5"/>
  <c r="AT255" i="5" s="1"/>
  <c r="Y39" i="4"/>
  <c r="Z39" i="4" s="1"/>
  <c r="AF39" i="4" s="1"/>
  <c r="AE62" i="5"/>
  <c r="AS205" i="5"/>
  <c r="AT205" i="5" s="1"/>
  <c r="AD251" i="5"/>
  <c r="AU175" i="5"/>
  <c r="AS82" i="5"/>
  <c r="AU82" i="5" s="1"/>
  <c r="AE39" i="4"/>
  <c r="AS401" i="5"/>
  <c r="AU401" i="5" s="1"/>
  <c r="AS437" i="5"/>
  <c r="AT437" i="5" s="1"/>
  <c r="AD82" i="5"/>
  <c r="AE437" i="5"/>
  <c r="AE251" i="5"/>
  <c r="AD424" i="5"/>
  <c r="AS387" i="5"/>
  <c r="AT387" i="5" s="1"/>
  <c r="AS103" i="5"/>
  <c r="AT103" i="5" s="1"/>
  <c r="AE175" i="5"/>
  <c r="AD381" i="5"/>
  <c r="AE424" i="5"/>
  <c r="AS316" i="5"/>
  <c r="AU316" i="5" s="1"/>
  <c r="AD7" i="5"/>
  <c r="B215" i="2" s="1"/>
  <c r="B216" i="2" s="1"/>
  <c r="B217" i="2" s="1"/>
  <c r="B227" i="2" s="1"/>
  <c r="B229" i="2" s="1"/>
  <c r="AE381" i="5"/>
  <c r="AD67" i="5"/>
  <c r="AO118" i="4"/>
  <c r="AR118" i="4" s="1"/>
  <c r="AT118" i="4" s="1"/>
  <c r="AE509" i="5"/>
  <c r="AD316" i="5"/>
  <c r="AS67" i="5"/>
  <c r="AU67" i="5" s="1"/>
  <c r="AS486" i="5"/>
  <c r="AU486" i="5" s="1"/>
  <c r="AE7" i="5"/>
  <c r="AS472" i="5"/>
  <c r="AT472" i="5" s="1"/>
  <c r="AE103" i="5"/>
  <c r="AD175" i="5"/>
  <c r="AD410" i="5"/>
  <c r="AE339" i="5"/>
  <c r="AS558" i="5"/>
  <c r="AU558" i="5" s="1"/>
  <c r="AE555" i="5"/>
  <c r="AE515" i="5"/>
  <c r="AD553" i="5"/>
  <c r="AD339" i="5"/>
  <c r="AE178" i="5"/>
  <c r="AE72" i="5"/>
  <c r="X12" i="4"/>
  <c r="AJ12" i="4" s="1"/>
  <c r="AD34" i="5"/>
  <c r="AE558" i="5"/>
  <c r="AS555" i="5"/>
  <c r="AU555" i="5" s="1"/>
  <c r="AE553" i="5"/>
  <c r="AS128" i="5"/>
  <c r="AT128" i="5" s="1"/>
  <c r="AE209" i="5"/>
  <c r="AD388" i="5"/>
  <c r="AE406" i="5"/>
  <c r="AD498" i="5"/>
  <c r="AD515" i="5"/>
  <c r="AD433" i="5"/>
  <c r="AE498" i="5"/>
  <c r="AS411" i="5"/>
  <c r="AU411" i="5" s="1"/>
  <c r="AS321" i="5"/>
  <c r="AU321" i="5" s="1"/>
  <c r="AE377" i="5"/>
  <c r="AE153" i="5"/>
  <c r="AE263" i="5"/>
  <c r="AE75" i="5"/>
  <c r="AE102" i="5"/>
  <c r="AD193" i="5"/>
  <c r="AE128" i="5"/>
  <c r="AS102" i="5"/>
  <c r="AT102" i="5" s="1"/>
  <c r="AD110" i="5"/>
  <c r="Y12" i="4"/>
  <c r="Z12" i="4" s="1"/>
  <c r="AF12" i="4" s="1"/>
  <c r="AG12" i="4" s="1"/>
  <c r="AI12" i="4" s="1"/>
  <c r="AD411" i="5"/>
  <c r="AS263" i="5"/>
  <c r="AU263" i="5" s="1"/>
  <c r="AS75" i="5"/>
  <c r="AU75" i="5" s="1"/>
  <c r="AS209" i="5"/>
  <c r="AT209" i="5" s="1"/>
  <c r="AE171" i="5"/>
  <c r="AE433" i="5"/>
  <c r="AS29" i="5"/>
  <c r="AT29" i="5" s="1"/>
  <c r="AS377" i="5"/>
  <c r="AU377" i="5" s="1"/>
  <c r="AS153" i="5"/>
  <c r="AT153" i="5" s="1"/>
  <c r="AE465" i="5"/>
  <c r="AD43" i="5"/>
  <c r="AD179" i="5"/>
  <c r="AS110" i="5"/>
  <c r="AU110" i="5" s="1"/>
  <c r="AE447" i="5"/>
  <c r="AD171" i="5"/>
  <c r="AS35" i="5"/>
  <c r="AT35" i="5" s="1"/>
  <c r="AS375" i="5"/>
  <c r="AT375" i="5" s="1"/>
  <c r="AE182" i="5"/>
  <c r="AD78" i="5"/>
  <c r="AS20" i="5"/>
  <c r="AT20" i="5" s="1"/>
  <c r="AD69" i="5"/>
  <c r="AE135" i="5"/>
  <c r="AD414" i="5"/>
  <c r="AE481" i="5"/>
  <c r="AD560" i="5"/>
  <c r="AS240" i="5"/>
  <c r="AT240" i="5" s="1"/>
  <c r="AE129" i="5"/>
  <c r="AD135" i="5"/>
  <c r="AE394" i="5"/>
  <c r="AD362" i="5"/>
  <c r="AS414" i="5"/>
  <c r="AT414" i="5" s="1"/>
  <c r="AD204" i="5"/>
  <c r="AS560" i="5"/>
  <c r="AT560" i="5" s="1"/>
  <c r="AS231" i="5"/>
  <c r="AU231" i="5" s="1"/>
  <c r="AS219" i="5"/>
  <c r="AT219" i="5" s="1"/>
  <c r="AS129" i="5"/>
  <c r="AT129" i="5" s="1"/>
  <c r="AE201" i="5"/>
  <c r="AD93" i="5"/>
  <c r="AE362" i="5"/>
  <c r="AS53" i="5"/>
  <c r="AT53" i="5" s="1"/>
  <c r="AS204" i="5"/>
  <c r="AT204" i="5" s="1"/>
  <c r="AE231" i="5"/>
  <c r="AE240" i="5"/>
  <c r="AE163" i="5"/>
  <c r="AD53" i="5"/>
  <c r="AD219" i="5"/>
  <c r="AS93" i="5"/>
  <c r="AT93" i="5" s="1"/>
  <c r="AS199" i="5"/>
  <c r="AT199" i="5" s="1"/>
  <c r="AE344" i="5"/>
  <c r="AS163" i="5"/>
  <c r="AT163" i="5" s="1"/>
  <c r="AS247" i="5"/>
  <c r="AT247" i="5" s="1"/>
  <c r="AE321" i="5"/>
  <c r="AD320" i="5"/>
  <c r="AS291" i="5"/>
  <c r="AU291" i="5" s="1"/>
  <c r="AE108" i="5"/>
  <c r="AD348" i="5"/>
  <c r="AS320" i="5"/>
  <c r="AT320" i="5" s="1"/>
  <c r="AD291" i="5"/>
  <c r="AE183" i="5"/>
  <c r="AE348" i="5"/>
  <c r="AU182" i="5"/>
  <c r="AK118" i="4"/>
  <c r="AT72" i="5"/>
  <c r="AE413" i="5"/>
  <c r="AD182" i="5"/>
  <c r="AJ118" i="4"/>
  <c r="AD413" i="5"/>
  <c r="AD72" i="5"/>
  <c r="AS406" i="5"/>
  <c r="AT406" i="5" s="1"/>
  <c r="AS480" i="5"/>
  <c r="AT480" i="5" s="1"/>
  <c r="AD45" i="5"/>
  <c r="AE317" i="5"/>
  <c r="AE20" i="5"/>
  <c r="AD317" i="5"/>
  <c r="AS272" i="5"/>
  <c r="AU272" i="5" s="1"/>
  <c r="Y26" i="4"/>
  <c r="Z26" i="4" s="1"/>
  <c r="X26" i="4"/>
  <c r="AJ26" i="4" s="1"/>
  <c r="AE26" i="4"/>
  <c r="AD272" i="5"/>
  <c r="AS45" i="5"/>
  <c r="AT45" i="5" s="1"/>
  <c r="AE323" i="5"/>
  <c r="AE559" i="5"/>
  <c r="AS323" i="5"/>
  <c r="AU323" i="5" s="1"/>
  <c r="AS559" i="5"/>
  <c r="AU559" i="5" s="1"/>
  <c r="AS409" i="5"/>
  <c r="AU409" i="5" s="1"/>
  <c r="AE387" i="5"/>
  <c r="AD409" i="5"/>
  <c r="AR11" i="5"/>
  <c r="Y22" i="4"/>
  <c r="Z22" i="4" s="1"/>
  <c r="AA22" i="4" s="1"/>
  <c r="AC22" i="4" s="1"/>
  <c r="AD22" i="4" s="1"/>
  <c r="AE22" i="4"/>
  <c r="AE129" i="4"/>
  <c r="X72" i="4"/>
  <c r="AJ72" i="4" s="1"/>
  <c r="AE72" i="4"/>
  <c r="AO72" i="4"/>
  <c r="AS11" i="5"/>
  <c r="AU11" i="5" s="1"/>
  <c r="Y148" i="4"/>
  <c r="Z148" i="4" s="1"/>
  <c r="AF148" i="4" s="1"/>
  <c r="AE148" i="4"/>
  <c r="Y109" i="4"/>
  <c r="Z109" i="4" s="1"/>
  <c r="AF109" i="4" s="1"/>
  <c r="AE109" i="4"/>
  <c r="AA143" i="4"/>
  <c r="AC143" i="4" s="1"/>
  <c r="AD143" i="4" s="1"/>
  <c r="AT127" i="5"/>
  <c r="AS287" i="5"/>
  <c r="AT287" i="5" s="1"/>
  <c r="AA42" i="4"/>
  <c r="AC42" i="4" s="1"/>
  <c r="AD42" i="4" s="1"/>
  <c r="AQ9" i="5"/>
  <c r="AE79" i="4"/>
  <c r="X129" i="4"/>
  <c r="AJ129" i="4" s="1"/>
  <c r="AF152" i="4"/>
  <c r="AG152" i="4" s="1"/>
  <c r="AI152" i="4" s="1"/>
  <c r="AS249" i="5"/>
  <c r="AU249" i="5" s="1"/>
  <c r="AF67" i="4"/>
  <c r="AG67" i="4" s="1"/>
  <c r="AI67" i="4" s="1"/>
  <c r="AE67" i="4"/>
  <c r="X67" i="4"/>
  <c r="AA67" i="4" s="1"/>
  <c r="AC67" i="4" s="1"/>
  <c r="AD67" i="4" s="1"/>
  <c r="X79" i="4"/>
  <c r="AJ79" i="4" s="1"/>
  <c r="AD130" i="5"/>
  <c r="AD449" i="5"/>
  <c r="X152" i="4"/>
  <c r="AA152" i="4" s="1"/>
  <c r="AC152" i="4" s="1"/>
  <c r="AD152" i="4" s="1"/>
  <c r="AK143" i="4"/>
  <c r="AE152" i="4"/>
  <c r="Y34" i="4"/>
  <c r="Z34" i="4" s="1"/>
  <c r="AE34" i="4"/>
  <c r="X34" i="4"/>
  <c r="AJ34" i="4" s="1"/>
  <c r="X133" i="4"/>
  <c r="AJ133" i="4" s="1"/>
  <c r="AE133" i="4"/>
  <c r="Y133" i="4"/>
  <c r="Z133" i="4" s="1"/>
  <c r="Y21" i="4"/>
  <c r="Z21" i="4" s="1"/>
  <c r="AE21" i="4"/>
  <c r="X21" i="4"/>
  <c r="AJ21" i="4" s="1"/>
  <c r="Y58" i="4"/>
  <c r="Z58" i="4" s="1"/>
  <c r="X58" i="4"/>
  <c r="AJ58" i="4" s="1"/>
  <c r="AE58" i="4"/>
  <c r="Y144" i="4"/>
  <c r="X144" i="4"/>
  <c r="AE144" i="4"/>
  <c r="Y24" i="4"/>
  <c r="Z24" i="4" s="1"/>
  <c r="AE24" i="4"/>
  <c r="X24" i="4"/>
  <c r="Y83" i="4"/>
  <c r="Z83" i="4" s="1"/>
  <c r="AE83" i="4"/>
  <c r="AE62" i="4"/>
  <c r="Y62" i="4"/>
  <c r="Z62" i="4" s="1"/>
  <c r="Y101" i="4"/>
  <c r="Z101" i="4" s="1"/>
  <c r="X101" i="4"/>
  <c r="AJ101" i="4" s="1"/>
  <c r="AE101" i="4"/>
  <c r="AF79" i="4"/>
  <c r="Y132" i="4"/>
  <c r="Z132" i="4" s="1"/>
  <c r="AF132" i="4" s="1"/>
  <c r="AE132" i="4"/>
  <c r="X132" i="4"/>
  <c r="Y94" i="4"/>
  <c r="Z94" i="4" s="1"/>
  <c r="X94" i="4"/>
  <c r="AA140" i="4"/>
  <c r="AC140" i="4" s="1"/>
  <c r="AD140" i="4" s="1"/>
  <c r="AK140" i="4"/>
  <c r="AF140" i="4"/>
  <c r="X62" i="4"/>
  <c r="AJ62" i="4" s="1"/>
  <c r="X83" i="4"/>
  <c r="AJ83" i="4" s="1"/>
  <c r="X141" i="4"/>
  <c r="AJ141" i="4" s="1"/>
  <c r="Y141" i="4"/>
  <c r="AE141" i="4"/>
  <c r="Y59" i="4"/>
  <c r="Z59" i="4" s="1"/>
  <c r="AE59" i="4"/>
  <c r="Y10" i="4"/>
  <c r="Z10" i="4" s="1"/>
  <c r="X10" i="4"/>
  <c r="AJ10" i="4" s="1"/>
  <c r="AE10" i="4"/>
  <c r="Y130" i="4"/>
  <c r="X130" i="4"/>
  <c r="AE130" i="4"/>
  <c r="X155" i="4"/>
  <c r="Y155" i="4"/>
  <c r="AF105" i="4"/>
  <c r="AA105" i="4"/>
  <c r="AC105" i="4" s="1"/>
  <c r="AD105" i="4" s="1"/>
  <c r="AK105" i="4"/>
  <c r="AD287" i="5"/>
  <c r="AD249" i="5"/>
  <c r="AF76" i="4"/>
  <c r="AA76" i="4"/>
  <c r="AC76" i="4" s="1"/>
  <c r="AD76" i="4" s="1"/>
  <c r="AK76" i="4"/>
  <c r="AE449" i="5"/>
  <c r="AE292" i="5"/>
  <c r="AS393" i="5"/>
  <c r="AT393" i="5" s="1"/>
  <c r="AS292" i="5"/>
  <c r="AU292" i="5" s="1"/>
  <c r="AS391" i="5"/>
  <c r="AT391" i="5" s="1"/>
  <c r="AD393" i="5"/>
  <c r="AE391" i="5"/>
  <c r="AA84" i="4"/>
  <c r="AC84" i="4" s="1"/>
  <c r="AD84" i="4" s="1"/>
  <c r="AK84" i="4"/>
  <c r="AF84" i="4"/>
  <c r="AE286" i="5"/>
  <c r="AD286" i="5"/>
  <c r="AS162" i="5"/>
  <c r="AT162" i="5" s="1"/>
  <c r="AD123" i="5"/>
  <c r="AD74" i="5"/>
  <c r="AG143" i="4"/>
  <c r="AI143" i="4" s="1"/>
  <c r="AO143" i="4"/>
  <c r="AD11" i="5"/>
  <c r="AG75" i="4"/>
  <c r="AI75" i="4" s="1"/>
  <c r="AE11" i="5"/>
  <c r="AS235" i="5"/>
  <c r="AU235" i="5" s="1"/>
  <c r="AE10" i="5"/>
  <c r="AS10" i="5"/>
  <c r="AU10" i="5" s="1"/>
  <c r="AD235" i="5"/>
  <c r="AE123" i="5"/>
  <c r="AE74" i="5"/>
  <c r="AE162" i="5"/>
  <c r="AS299" i="5"/>
  <c r="AU299" i="5" s="1"/>
  <c r="AA123" i="4"/>
  <c r="AC123" i="4" s="1"/>
  <c r="AD123" i="4" s="1"/>
  <c r="AO108" i="4"/>
  <c r="AK40" i="4"/>
  <c r="AA32" i="4"/>
  <c r="AC32" i="4" s="1"/>
  <c r="AD32" i="4" s="1"/>
  <c r="AD557" i="5"/>
  <c r="AE549" i="5"/>
  <c r="AK123" i="4"/>
  <c r="AE271" i="5"/>
  <c r="AA40" i="4"/>
  <c r="AC40" i="4" s="1"/>
  <c r="AD40" i="4" s="1"/>
  <c r="AR40" i="4" s="1"/>
  <c r="AT40" i="4" s="1"/>
  <c r="AD311" i="5"/>
  <c r="AS8" i="5"/>
  <c r="AT8" i="5" s="1"/>
  <c r="AK99" i="4"/>
  <c r="AS169" i="5"/>
  <c r="AT169" i="5" s="1"/>
  <c r="AE340" i="5"/>
  <c r="AD397" i="5"/>
  <c r="AD538" i="5"/>
  <c r="AE407" i="5"/>
  <c r="AD176" i="5"/>
  <c r="AE311" i="5"/>
  <c r="AE130" i="5"/>
  <c r="AS340" i="5"/>
  <c r="AU340" i="5" s="1"/>
  <c r="AE412" i="5"/>
  <c r="AS271" i="5"/>
  <c r="AT271" i="5" s="1"/>
  <c r="AD445" i="5"/>
  <c r="AS95" i="5"/>
  <c r="AT95" i="5" s="1"/>
  <c r="AE538" i="5"/>
  <c r="AS412" i="5"/>
  <c r="AT412" i="5" s="1"/>
  <c r="AD334" i="5"/>
  <c r="AE445" i="5"/>
  <c r="AD95" i="5"/>
  <c r="AD458" i="5"/>
  <c r="AS79" i="5"/>
  <c r="AT79" i="5" s="1"/>
  <c r="AX78" i="5" s="1"/>
  <c r="AY78" i="5" s="1"/>
  <c r="AE52" i="5"/>
  <c r="AS458" i="5"/>
  <c r="AU458" i="5" s="1"/>
  <c r="AE79" i="5"/>
  <c r="AS52" i="5"/>
  <c r="AU52" i="5" s="1"/>
  <c r="AD233" i="5"/>
  <c r="AE510" i="5"/>
  <c r="AE467" i="5"/>
  <c r="AS233" i="5"/>
  <c r="AU233" i="5" s="1"/>
  <c r="AS396" i="5"/>
  <c r="AT396" i="5" s="1"/>
  <c r="AD169" i="5"/>
  <c r="AS510" i="5"/>
  <c r="AU510" i="5" s="1"/>
  <c r="AD467" i="5"/>
  <c r="AE299" i="5"/>
  <c r="AD396" i="5"/>
  <c r="AE397" i="5"/>
  <c r="AS443" i="5"/>
  <c r="AU443" i="5" s="1"/>
  <c r="AE373" i="5"/>
  <c r="AD448" i="5"/>
  <c r="AS364" i="5"/>
  <c r="AT364" i="5" s="1"/>
  <c r="AE215" i="5"/>
  <c r="AD215" i="5"/>
  <c r="AS549" i="5"/>
  <c r="AU549" i="5" s="1"/>
  <c r="AE557" i="5"/>
  <c r="AE448" i="5"/>
  <c r="AD364" i="5"/>
  <c r="AS56" i="5"/>
  <c r="AU56" i="5" s="1"/>
  <c r="AE370" i="5"/>
  <c r="AE107" i="5"/>
  <c r="AE57" i="5"/>
  <c r="AD39" i="5"/>
  <c r="AS191" i="5"/>
  <c r="AU191" i="5" s="1"/>
  <c r="AE172" i="5"/>
  <c r="AS490" i="5"/>
  <c r="AT490" i="5" s="1"/>
  <c r="AD464" i="5"/>
  <c r="AD373" i="5"/>
  <c r="AS539" i="5"/>
  <c r="AT539" i="5" s="1"/>
  <c r="AD443" i="5"/>
  <c r="AS550" i="5"/>
  <c r="AU550" i="5" s="1"/>
  <c r="AS503" i="5"/>
  <c r="AT503" i="5" s="1"/>
  <c r="AE490" i="5"/>
  <c r="AE539" i="5"/>
  <c r="AE550" i="5"/>
  <c r="AD290" i="5"/>
  <c r="AE464" i="5"/>
  <c r="AE252" i="5"/>
  <c r="AD96" i="5"/>
  <c r="AS154" i="5"/>
  <c r="AU154" i="5" s="1"/>
  <c r="AT234" i="5"/>
  <c r="AE290" i="5"/>
  <c r="AD370" i="5"/>
  <c r="AS230" i="5"/>
  <c r="AT230" i="5" s="1"/>
  <c r="AD252" i="5"/>
  <c r="AS96" i="5"/>
  <c r="AU96" i="5" s="1"/>
  <c r="AE154" i="5"/>
  <c r="AD542" i="5"/>
  <c r="AS457" i="5"/>
  <c r="AT457" i="5" s="1"/>
  <c r="AE457" i="5"/>
  <c r="AE230" i="5"/>
  <c r="AS542" i="5"/>
  <c r="AU542" i="5" s="1"/>
  <c r="AD191" i="5"/>
  <c r="AS57" i="5"/>
  <c r="AT57" i="5" s="1"/>
  <c r="AS207" i="5"/>
  <c r="AU207" i="5" s="1"/>
  <c r="AE207" i="5"/>
  <c r="AE212" i="5"/>
  <c r="AD284" i="5"/>
  <c r="AD212" i="5"/>
  <c r="AE418" i="5"/>
  <c r="AE85" i="5"/>
  <c r="AS196" i="5"/>
  <c r="AU196" i="5" s="1"/>
  <c r="AS352" i="5"/>
  <c r="AU352" i="5" s="1"/>
  <c r="AE161" i="5"/>
  <c r="AE64" i="5"/>
  <c r="AD547" i="5"/>
  <c r="AE288" i="5"/>
  <c r="AD187" i="5"/>
  <c r="AD435" i="5"/>
  <c r="AE305" i="5"/>
  <c r="AE187" i="5"/>
  <c r="AS435" i="5"/>
  <c r="AT435" i="5" s="1"/>
  <c r="AD305" i="5"/>
  <c r="AD71" i="5"/>
  <c r="AD315" i="5"/>
  <c r="AS315" i="5"/>
  <c r="AT315" i="5" s="1"/>
  <c r="AE250" i="5"/>
  <c r="AE156" i="5"/>
  <c r="AS346" i="5"/>
  <c r="AT346" i="5" s="1"/>
  <c r="AD149" i="5"/>
  <c r="AE312" i="5"/>
  <c r="AS124" i="5"/>
  <c r="AU124" i="5" s="1"/>
  <c r="AD367" i="5"/>
  <c r="AE124" i="5"/>
  <c r="AE526" i="5"/>
  <c r="AS307" i="5"/>
  <c r="AT307" i="5" s="1"/>
  <c r="AS211" i="5"/>
  <c r="AT211" i="5" s="1"/>
  <c r="AS526" i="5"/>
  <c r="AU526" i="5" s="1"/>
  <c r="AE531" i="5"/>
  <c r="AD312" i="5"/>
  <c r="AD225" i="5"/>
  <c r="AD159" i="5"/>
  <c r="AS330" i="5"/>
  <c r="AT330" i="5" s="1"/>
  <c r="AD485" i="5"/>
  <c r="AS419" i="5"/>
  <c r="AU419" i="5" s="1"/>
  <c r="AD330" i="5"/>
  <c r="AE485" i="5"/>
  <c r="AS139" i="5"/>
  <c r="AT139" i="5" s="1"/>
  <c r="AS185" i="5"/>
  <c r="AT185" i="5" s="1"/>
  <c r="AS519" i="5"/>
  <c r="AU519" i="5" s="1"/>
  <c r="AS227" i="5"/>
  <c r="AU227" i="5" s="1"/>
  <c r="AE246" i="5"/>
  <c r="AE224" i="5"/>
  <c r="AD47" i="5"/>
  <c r="AS487" i="5"/>
  <c r="AU487" i="5" s="1"/>
  <c r="AA124" i="4"/>
  <c r="AC124" i="4" s="1"/>
  <c r="AD124" i="4" s="1"/>
  <c r="AE487" i="5"/>
  <c r="AE326" i="5"/>
  <c r="AD167" i="5"/>
  <c r="AD28" i="5"/>
  <c r="AS326" i="5"/>
  <c r="AU326" i="5" s="1"/>
  <c r="AE118" i="5"/>
  <c r="AE176" i="5"/>
  <c r="AS407" i="5"/>
  <c r="AT407" i="5" s="1"/>
  <c r="AS39" i="5"/>
  <c r="AT39" i="5" s="1"/>
  <c r="AE98" i="5"/>
  <c r="AS172" i="5"/>
  <c r="AU172" i="5" s="1"/>
  <c r="AE284" i="5"/>
  <c r="AS547" i="5"/>
  <c r="AU547" i="5" s="1"/>
  <c r="AD488" i="5"/>
  <c r="AS418" i="5"/>
  <c r="AT418" i="5" s="1"/>
  <c r="AE196" i="5"/>
  <c r="AS357" i="5"/>
  <c r="AU357" i="5" s="1"/>
  <c r="AD358" i="5"/>
  <c r="AS98" i="5"/>
  <c r="AT98" i="5" s="1"/>
  <c r="AE488" i="5"/>
  <c r="AD357" i="5"/>
  <c r="AD144" i="5"/>
  <c r="AS322" i="5"/>
  <c r="AT322" i="5" s="1"/>
  <c r="AE144" i="5"/>
  <c r="AS107" i="5"/>
  <c r="AU107" i="5" s="1"/>
  <c r="AE352" i="5"/>
  <c r="AD85" i="5"/>
  <c r="AD322" i="5"/>
  <c r="AD161" i="5"/>
  <c r="AS64" i="5"/>
  <c r="AT64" i="5" s="1"/>
  <c r="AD8" i="5"/>
  <c r="AD139" i="5"/>
  <c r="AE346" i="5"/>
  <c r="AE423" i="5"/>
  <c r="AE185" i="5"/>
  <c r="AE419" i="5"/>
  <c r="AE159" i="5"/>
  <c r="AE227" i="5"/>
  <c r="AD37" i="5"/>
  <c r="AS246" i="5"/>
  <c r="AU246" i="5" s="1"/>
  <c r="AD524" i="5"/>
  <c r="AS423" i="5"/>
  <c r="AU423" i="5" s="1"/>
  <c r="AE37" i="5"/>
  <c r="AE524" i="5"/>
  <c r="AE319" i="5"/>
  <c r="AE100" i="5"/>
  <c r="AD319" i="5"/>
  <c r="AD273" i="5"/>
  <c r="AE442" i="5"/>
  <c r="AS225" i="5"/>
  <c r="AT225" i="5" s="1"/>
  <c r="AD100" i="5"/>
  <c r="AS273" i="5"/>
  <c r="AT273" i="5" s="1"/>
  <c r="AS281" i="5"/>
  <c r="AT281" i="5" s="1"/>
  <c r="AE408" i="5"/>
  <c r="AS442" i="5"/>
  <c r="AU442" i="5" s="1"/>
  <c r="AD281" i="5"/>
  <c r="AE535" i="5"/>
  <c r="AD86" i="5"/>
  <c r="AS535" i="5"/>
  <c r="AU535" i="5" s="1"/>
  <c r="AE489" i="5"/>
  <c r="AO68" i="4"/>
  <c r="AD489" i="5"/>
  <c r="AS224" i="5"/>
  <c r="AT224" i="5" s="1"/>
  <c r="AE61" i="5"/>
  <c r="AK68" i="4"/>
  <c r="AE355" i="5"/>
  <c r="AE430" i="5"/>
  <c r="AS61" i="5"/>
  <c r="AU61" i="5" s="1"/>
  <c r="AE177" i="5"/>
  <c r="AS28" i="5"/>
  <c r="AU28" i="5" s="1"/>
  <c r="AS355" i="5"/>
  <c r="AT355" i="5" s="1"/>
  <c r="AS430" i="5"/>
  <c r="AU430" i="5" s="1"/>
  <c r="AD256" i="5"/>
  <c r="AE337" i="5"/>
  <c r="AD389" i="5"/>
  <c r="AD56" i="5"/>
  <c r="AD307" i="5"/>
  <c r="AD211" i="5"/>
  <c r="AG103" i="4"/>
  <c r="AI103" i="4" s="1"/>
  <c r="AD87" i="5"/>
  <c r="AE493" i="5"/>
  <c r="AA68" i="4"/>
  <c r="AC68" i="4" s="1"/>
  <c r="AD68" i="4" s="1"/>
  <c r="AA19" i="4"/>
  <c r="AC19" i="4" s="1"/>
  <c r="AD19" i="4" s="1"/>
  <c r="AR19" i="4" s="1"/>
  <c r="AT19" i="4" s="1"/>
  <c r="AS493" i="5"/>
  <c r="AT493" i="5" s="1"/>
  <c r="AS195" i="5"/>
  <c r="AT195" i="5" s="1"/>
  <c r="AS92" i="5"/>
  <c r="AT92" i="5" s="1"/>
  <c r="AK9" i="4"/>
  <c r="AS190" i="5"/>
  <c r="AU190" i="5" s="1"/>
  <c r="AS30" i="5"/>
  <c r="AU30" i="5" s="1"/>
  <c r="AD195" i="5"/>
  <c r="AK103" i="4"/>
  <c r="AE190" i="5"/>
  <c r="AE30" i="5"/>
  <c r="AS41" i="5"/>
  <c r="AU41" i="5" s="1"/>
  <c r="AD439" i="5"/>
  <c r="AK85" i="4"/>
  <c r="AD192" i="5"/>
  <c r="AS86" i="5"/>
  <c r="AT86" i="5" s="1"/>
  <c r="AS177" i="5"/>
  <c r="AT177" i="5" s="1"/>
  <c r="AS164" i="5"/>
  <c r="AU164" i="5" s="1"/>
  <c r="AD164" i="5"/>
  <c r="AE461" i="5"/>
  <c r="AE192" i="5"/>
  <c r="AE347" i="5"/>
  <c r="AE146" i="5"/>
  <c r="AE41" i="5"/>
  <c r="AD51" i="5"/>
  <c r="AS527" i="5"/>
  <c r="AU527" i="5" s="1"/>
  <c r="AD337" i="5"/>
  <c r="AE87" i="5"/>
  <c r="AK82" i="4"/>
  <c r="AD461" i="5"/>
  <c r="AS367" i="5"/>
  <c r="AU367" i="5" s="1"/>
  <c r="AS51" i="5"/>
  <c r="AU51" i="5" s="1"/>
  <c r="AA120" i="4"/>
  <c r="AC120" i="4" s="1"/>
  <c r="AD120" i="4" s="1"/>
  <c r="AA99" i="4"/>
  <c r="AC99" i="4" s="1"/>
  <c r="AD99" i="4" s="1"/>
  <c r="AD527" i="5"/>
  <c r="AK153" i="4"/>
  <c r="AD408" i="5"/>
  <c r="AS389" i="5"/>
  <c r="AT389" i="5" s="1"/>
  <c r="AA103" i="4"/>
  <c r="AC103" i="4" s="1"/>
  <c r="AD103" i="4" s="1"/>
  <c r="AK102" i="4"/>
  <c r="AS368" i="5"/>
  <c r="AT368" i="5" s="1"/>
  <c r="AA9" i="4"/>
  <c r="AC9" i="4" s="1"/>
  <c r="AD9" i="4" s="1"/>
  <c r="AR9" i="4" s="1"/>
  <c r="AT9" i="4" s="1"/>
  <c r="AE368" i="5"/>
  <c r="AE63" i="5"/>
  <c r="AE131" i="5"/>
  <c r="AS131" i="5"/>
  <c r="AT131" i="5" s="1"/>
  <c r="AE167" i="5"/>
  <c r="AK81" i="4"/>
  <c r="AD347" i="5"/>
  <c r="AD146" i="5"/>
  <c r="AD63" i="5"/>
  <c r="AS439" i="5"/>
  <c r="AT439" i="5" s="1"/>
  <c r="AG97" i="4"/>
  <c r="AI97" i="4" s="1"/>
  <c r="AA45" i="4"/>
  <c r="AC45" i="4" s="1"/>
  <c r="AD45" i="4" s="1"/>
  <c r="AA102" i="4"/>
  <c r="AC102" i="4" s="1"/>
  <c r="AD102" i="4" s="1"/>
  <c r="AR102" i="4" s="1"/>
  <c r="AT102" i="4" s="1"/>
  <c r="AS156" i="5"/>
  <c r="AU156" i="5" s="1"/>
  <c r="AS71" i="5"/>
  <c r="AT71" i="5" s="1"/>
  <c r="AD170" i="5"/>
  <c r="AE170" i="5"/>
  <c r="AS250" i="5"/>
  <c r="AT250" i="5" s="1"/>
  <c r="AF32" i="4"/>
  <c r="AG32" i="4" s="1"/>
  <c r="AI32" i="4" s="1"/>
  <c r="AA122" i="4"/>
  <c r="AC122" i="4" s="1"/>
  <c r="AD122" i="4" s="1"/>
  <c r="AA74" i="4"/>
  <c r="AC74" i="4" s="1"/>
  <c r="AD74" i="4" s="1"/>
  <c r="AR74" i="4" s="1"/>
  <c r="AT74" i="4" s="1"/>
  <c r="AK45" i="4"/>
  <c r="AS415" i="5"/>
  <c r="AU415" i="5" s="1"/>
  <c r="AA60" i="4"/>
  <c r="AC60" i="4" s="1"/>
  <c r="AD60" i="4" s="1"/>
  <c r="AD415" i="5"/>
  <c r="AO45" i="4"/>
  <c r="AD516" i="5"/>
  <c r="AA82" i="4"/>
  <c r="AC82" i="4" s="1"/>
  <c r="AD82" i="4" s="1"/>
  <c r="AR82" i="4" s="1"/>
  <c r="AT82" i="4" s="1"/>
  <c r="AS516" i="5"/>
  <c r="AU516" i="5" s="1"/>
  <c r="AS152" i="5"/>
  <c r="AU152" i="5" s="1"/>
  <c r="AE152" i="5"/>
  <c r="AD288" i="5"/>
  <c r="AK74" i="4"/>
  <c r="AK71" i="4"/>
  <c r="AE149" i="5"/>
  <c r="AF120" i="4"/>
  <c r="AO120" i="4" s="1"/>
  <c r="AS531" i="5"/>
  <c r="AU531" i="5" s="1"/>
  <c r="AE554" i="5"/>
  <c r="AS334" i="5"/>
  <c r="AU334" i="5" s="1"/>
  <c r="AE256" i="5"/>
  <c r="AD554" i="5"/>
  <c r="AK120" i="4"/>
  <c r="AK19" i="4"/>
  <c r="AE258" i="5"/>
  <c r="AE276" i="5"/>
  <c r="AE328" i="5"/>
  <c r="AS358" i="5"/>
  <c r="AU358" i="5" s="1"/>
  <c r="AE519" i="5"/>
  <c r="AD92" i="5"/>
  <c r="AS372" i="5"/>
  <c r="AT372" i="5" s="1"/>
  <c r="AS276" i="5"/>
  <c r="AT276" i="5" s="1"/>
  <c r="AS507" i="5"/>
  <c r="AT507" i="5" s="1"/>
  <c r="AD258" i="5"/>
  <c r="AS328" i="5"/>
  <c r="AT328" i="5" s="1"/>
  <c r="AE507" i="5"/>
  <c r="AK80" i="4"/>
  <c r="AA81" i="4"/>
  <c r="AC81" i="4" s="1"/>
  <c r="AD81" i="4" s="1"/>
  <c r="AF52" i="4"/>
  <c r="AA52" i="4"/>
  <c r="AC52" i="4" s="1"/>
  <c r="AD52" i="4" s="1"/>
  <c r="AE431" i="5"/>
  <c r="AS89" i="5"/>
  <c r="AU89" i="5" s="1"/>
  <c r="AS47" i="5"/>
  <c r="AT47" i="5" s="1"/>
  <c r="AE474" i="5"/>
  <c r="AF116" i="4"/>
  <c r="AK116" i="4"/>
  <c r="AJ108" i="4"/>
  <c r="AK108" i="4"/>
  <c r="AF38" i="4"/>
  <c r="AA38" i="4"/>
  <c r="AC38" i="4" s="1"/>
  <c r="AD38" i="4" s="1"/>
  <c r="AK38" i="4"/>
  <c r="AF63" i="4"/>
  <c r="AA63" i="4"/>
  <c r="AC63" i="4" s="1"/>
  <c r="AD63" i="4" s="1"/>
  <c r="AK63" i="4"/>
  <c r="AO70" i="4"/>
  <c r="AG70" i="4"/>
  <c r="AI70" i="4" s="1"/>
  <c r="AS431" i="5"/>
  <c r="AU431" i="5" s="1"/>
  <c r="AE89" i="5"/>
  <c r="AS474" i="5"/>
  <c r="AT474" i="5" s="1"/>
  <c r="B93" i="2"/>
  <c r="B113" i="2" s="1"/>
  <c r="H25" i="1" s="1"/>
  <c r="AG44" i="4"/>
  <c r="AI44" i="4" s="1"/>
  <c r="AO44" i="4"/>
  <c r="AF137" i="4"/>
  <c r="AK137" i="4"/>
  <c r="AA137" i="4"/>
  <c r="AC137" i="4" s="1"/>
  <c r="AD137" i="4" s="1"/>
  <c r="AA126" i="4"/>
  <c r="AC126" i="4" s="1"/>
  <c r="AD126" i="4" s="1"/>
  <c r="AF126" i="4"/>
  <c r="AK126" i="4"/>
  <c r="AF95" i="4"/>
  <c r="AK95" i="4"/>
  <c r="AA95" i="4"/>
  <c r="AC95" i="4" s="1"/>
  <c r="AD95" i="4" s="1"/>
  <c r="AK64" i="4"/>
  <c r="AF64" i="4"/>
  <c r="AA64" i="4"/>
  <c r="AC64" i="4" s="1"/>
  <c r="AD64" i="4" s="1"/>
  <c r="AS545" i="5"/>
  <c r="AU545" i="5" s="1"/>
  <c r="AD109" i="5"/>
  <c r="AA117" i="4"/>
  <c r="AC117" i="4" s="1"/>
  <c r="AD117" i="4" s="1"/>
  <c r="AA75" i="4"/>
  <c r="AC75" i="4" s="1"/>
  <c r="AD75" i="4" s="1"/>
  <c r="AF86" i="4"/>
  <c r="AA86" i="4"/>
  <c r="AC86" i="4" s="1"/>
  <c r="AD86" i="4" s="1"/>
  <c r="AK86" i="4"/>
  <c r="AJ27" i="4"/>
  <c r="AA27" i="4"/>
  <c r="AC27" i="4" s="1"/>
  <c r="AD27" i="4" s="1"/>
  <c r="AR27" i="4" s="1"/>
  <c r="AT27" i="4" s="1"/>
  <c r="AK27" i="4"/>
  <c r="AF69" i="4"/>
  <c r="AK69" i="4"/>
  <c r="AA69" i="4"/>
  <c r="AC69" i="4" s="1"/>
  <c r="AD69" i="4" s="1"/>
  <c r="AE545" i="5"/>
  <c r="AE109" i="5"/>
  <c r="AD324" i="5"/>
  <c r="AF100" i="4"/>
  <c r="AK100" i="4"/>
  <c r="AA100" i="4"/>
  <c r="AC100" i="4" s="1"/>
  <c r="AD100" i="4" s="1"/>
  <c r="AK30" i="4"/>
  <c r="AA157" i="4"/>
  <c r="AC157" i="4" s="1"/>
  <c r="AD157" i="4" s="1"/>
  <c r="AF157" i="4"/>
  <c r="AK157" i="4"/>
  <c r="AF14" i="4"/>
  <c r="AF150" i="4"/>
  <c r="AA150" i="4"/>
  <c r="AC150" i="4" s="1"/>
  <c r="AD150" i="4" s="1"/>
  <c r="AK150" i="4"/>
  <c r="AA111" i="4"/>
  <c r="AC111" i="4" s="1"/>
  <c r="AD111" i="4" s="1"/>
  <c r="AS84" i="5"/>
  <c r="AT84" i="5" s="1"/>
  <c r="AE454" i="5"/>
  <c r="AA116" i="4"/>
  <c r="AC116" i="4" s="1"/>
  <c r="AD116" i="4" s="1"/>
  <c r="AJ116" i="4"/>
  <c r="AA71" i="4"/>
  <c r="AC71" i="4" s="1"/>
  <c r="AD71" i="4" s="1"/>
  <c r="AR71" i="4" s="1"/>
  <c r="AT71" i="4" s="1"/>
  <c r="AA30" i="4"/>
  <c r="AC30" i="4" s="1"/>
  <c r="AD30" i="4" s="1"/>
  <c r="AR30" i="4" s="1"/>
  <c r="AT30" i="4" s="1"/>
  <c r="AF54" i="4"/>
  <c r="AA54" i="4"/>
  <c r="AC54" i="4" s="1"/>
  <c r="AD54" i="4" s="1"/>
  <c r="AK54" i="4"/>
  <c r="AA44" i="4"/>
  <c r="AC44" i="4" s="1"/>
  <c r="AD44" i="4" s="1"/>
  <c r="AJ44" i="4"/>
  <c r="AK128" i="4"/>
  <c r="AF128" i="4"/>
  <c r="AA128" i="4"/>
  <c r="AC128" i="4" s="1"/>
  <c r="AD128" i="4" s="1"/>
  <c r="AK111" i="4"/>
  <c r="AA66" i="4"/>
  <c r="AC66" i="4" s="1"/>
  <c r="AD66" i="4" s="1"/>
  <c r="AF77" i="4"/>
  <c r="AA77" i="4"/>
  <c r="AC77" i="4" s="1"/>
  <c r="AD77" i="4" s="1"/>
  <c r="AK77" i="4"/>
  <c r="AE324" i="5"/>
  <c r="AE84" i="5"/>
  <c r="AD372" i="5"/>
  <c r="AK122" i="4"/>
  <c r="AD454" i="5"/>
  <c r="AK75" i="4"/>
  <c r="AO123" i="4"/>
  <c r="AG123" i="4"/>
  <c r="AI123" i="4" s="1"/>
  <c r="AA108" i="4"/>
  <c r="AC108" i="4" s="1"/>
  <c r="AD108" i="4" s="1"/>
  <c r="AA8" i="4"/>
  <c r="AC8" i="4" s="1"/>
  <c r="AD8" i="4" s="1"/>
  <c r="AF8" i="4"/>
  <c r="AK8" i="4"/>
  <c r="AF7" i="4"/>
  <c r="AK7" i="4"/>
  <c r="AA7" i="4"/>
  <c r="AC7" i="4" s="1"/>
  <c r="AD7" i="4" s="1"/>
  <c r="AA134" i="4"/>
  <c r="AC134" i="4" s="1"/>
  <c r="AD134" i="4" s="1"/>
  <c r="AF134" i="4"/>
  <c r="AK134" i="4"/>
  <c r="AA93" i="4"/>
  <c r="AC93" i="4" s="1"/>
  <c r="AD93" i="4" s="1"/>
  <c r="AF93" i="4"/>
  <c r="AK93" i="4"/>
  <c r="AO111" i="4"/>
  <c r="AG111" i="4"/>
  <c r="AI111" i="4" s="1"/>
  <c r="AK52" i="4"/>
  <c r="AA80" i="4"/>
  <c r="AC80" i="4" s="1"/>
  <c r="AD80" i="4" s="1"/>
  <c r="AK47" i="4"/>
  <c r="AF47" i="4"/>
  <c r="AA47" i="4"/>
  <c r="AC47" i="4" s="1"/>
  <c r="AD47" i="4" s="1"/>
  <c r="AF127" i="4"/>
  <c r="AA127" i="4"/>
  <c r="AC127" i="4" s="1"/>
  <c r="AD127" i="4" s="1"/>
  <c r="AK127" i="4"/>
  <c r="AF135" i="4"/>
  <c r="AJ70" i="4"/>
  <c r="AA70" i="4"/>
  <c r="AC70" i="4" s="1"/>
  <c r="AD70" i="4" s="1"/>
  <c r="AF35" i="4"/>
  <c r="AA35" i="4"/>
  <c r="AC35" i="4" s="1"/>
  <c r="AD35" i="4" s="1"/>
  <c r="AK35" i="4"/>
  <c r="AF23" i="4"/>
  <c r="AA23" i="4"/>
  <c r="AC23" i="4" s="1"/>
  <c r="AD23" i="4" s="1"/>
  <c r="AK23" i="4"/>
  <c r="AD118" i="5"/>
  <c r="AS242" i="5"/>
  <c r="AU242" i="5" s="1"/>
  <c r="AE91" i="5"/>
  <c r="AE242" i="5"/>
  <c r="AE484" i="5"/>
  <c r="AS88" i="5"/>
  <c r="AU88" i="5" s="1"/>
  <c r="AD91" i="5"/>
  <c r="AS497" i="5"/>
  <c r="AU497" i="5" s="1"/>
  <c r="AD484" i="5"/>
  <c r="AD88" i="5"/>
  <c r="AD497" i="5"/>
  <c r="AD503" i="5"/>
  <c r="AE9" i="5"/>
  <c r="AS9" i="5"/>
  <c r="AD9" i="5"/>
  <c r="AO85" i="4"/>
  <c r="AK89" i="4"/>
  <c r="AK65" i="4"/>
  <c r="AO81" i="4"/>
  <c r="AA151" i="4"/>
  <c r="AC151" i="4" s="1"/>
  <c r="AD151" i="4" s="1"/>
  <c r="AR151" i="4" s="1"/>
  <c r="AT151" i="4" s="1"/>
  <c r="AG49" i="4"/>
  <c r="AI49" i="4" s="1"/>
  <c r="AR49" i="4" s="1"/>
  <c r="AT49" i="4" s="1"/>
  <c r="AA153" i="4"/>
  <c r="AC153" i="4" s="1"/>
  <c r="AD153" i="4" s="1"/>
  <c r="AK117" i="4"/>
  <c r="AK151" i="4"/>
  <c r="AG114" i="4"/>
  <c r="AI114" i="4" s="1"/>
  <c r="AK124" i="4"/>
  <c r="AK13" i="4"/>
  <c r="AG43" i="4"/>
  <c r="AI43" i="4" s="1"/>
  <c r="AA13" i="4"/>
  <c r="AC13" i="4" s="1"/>
  <c r="AD13" i="4" s="1"/>
  <c r="AO17" i="4"/>
  <c r="AK92" i="4"/>
  <c r="AA65" i="4"/>
  <c r="AC65" i="4" s="1"/>
  <c r="AD65" i="4" s="1"/>
  <c r="AG149" i="4"/>
  <c r="AI149" i="4" s="1"/>
  <c r="AK51" i="4"/>
  <c r="AA89" i="4"/>
  <c r="AC89" i="4" s="1"/>
  <c r="AD89" i="4" s="1"/>
  <c r="AR89" i="4" s="1"/>
  <c r="AT89" i="4" s="1"/>
  <c r="AA17" i="4"/>
  <c r="AC17" i="4" s="1"/>
  <c r="AD17" i="4" s="1"/>
  <c r="AK136" i="4"/>
  <c r="AG139" i="4"/>
  <c r="AI139" i="4" s="1"/>
  <c r="AR139" i="4" s="1"/>
  <c r="AT139" i="4" s="1"/>
  <c r="AA92" i="4"/>
  <c r="AC92" i="4" s="1"/>
  <c r="AD92" i="4" s="1"/>
  <c r="AK97" i="4"/>
  <c r="AK17" i="4"/>
  <c r="AA48" i="4"/>
  <c r="AC48" i="4" s="1"/>
  <c r="AD48" i="4" s="1"/>
  <c r="AA51" i="4"/>
  <c r="AC51" i="4" s="1"/>
  <c r="AD51" i="4" s="1"/>
  <c r="AK55" i="4"/>
  <c r="AA97" i="4"/>
  <c r="AC97" i="4" s="1"/>
  <c r="AD97" i="4" s="1"/>
  <c r="AA136" i="4"/>
  <c r="AC136" i="4" s="1"/>
  <c r="AD136" i="4" s="1"/>
  <c r="AR136" i="4" s="1"/>
  <c r="AT136" i="4" s="1"/>
  <c r="AA85" i="4"/>
  <c r="AC85" i="4" s="1"/>
  <c r="AD85" i="4" s="1"/>
  <c r="AA90" i="4"/>
  <c r="AC90" i="4" s="1"/>
  <c r="AD90" i="4" s="1"/>
  <c r="AK138" i="4"/>
  <c r="AJ25" i="4"/>
  <c r="AA25" i="4"/>
  <c r="AC25" i="4" s="1"/>
  <c r="AD25" i="4" s="1"/>
  <c r="AR25" i="4" s="1"/>
  <c r="AT25" i="4" s="1"/>
  <c r="AA113" i="4"/>
  <c r="AC113" i="4" s="1"/>
  <c r="AD113" i="4" s="1"/>
  <c r="AA114" i="4"/>
  <c r="AC114" i="4" s="1"/>
  <c r="AD114" i="4" s="1"/>
  <c r="AA138" i="4"/>
  <c r="AC138" i="4" s="1"/>
  <c r="AD138" i="4" s="1"/>
  <c r="AJ104" i="4"/>
  <c r="AA104" i="4"/>
  <c r="AC104" i="4" s="1"/>
  <c r="AD104" i="4" s="1"/>
  <c r="AK114" i="4"/>
  <c r="AK16" i="4"/>
  <c r="AJ41" i="4"/>
  <c r="AA41" i="4"/>
  <c r="AC41" i="4" s="1"/>
  <c r="AD41" i="4" s="1"/>
  <c r="AR41" i="4" s="1"/>
  <c r="AT41" i="4" s="1"/>
  <c r="AA55" i="4"/>
  <c r="AC55" i="4" s="1"/>
  <c r="AD55" i="4" s="1"/>
  <c r="AK113" i="4"/>
  <c r="AA131" i="4"/>
  <c r="AC131" i="4" s="1"/>
  <c r="AD131" i="4" s="1"/>
  <c r="AR87" i="4"/>
  <c r="AT87" i="4" s="1"/>
  <c r="AR98" i="4"/>
  <c r="AT98" i="4" s="1"/>
  <c r="AR36" i="4"/>
  <c r="AT36" i="4" s="1"/>
  <c r="AR106" i="4"/>
  <c r="AT106" i="4" s="1"/>
  <c r="AO48" i="4"/>
  <c r="AG48" i="4"/>
  <c r="AI48" i="4" s="1"/>
  <c r="AG131" i="4"/>
  <c r="AI131" i="4" s="1"/>
  <c r="AO131" i="4"/>
  <c r="AG90" i="4"/>
  <c r="AI90" i="4" s="1"/>
  <c r="AO90" i="4"/>
  <c r="AJ31" i="4"/>
  <c r="AK31" i="4"/>
  <c r="AG117" i="4"/>
  <c r="AI117" i="4" s="1"/>
  <c r="AO117" i="4"/>
  <c r="AT7" i="5"/>
  <c r="AU7" i="5"/>
  <c r="AT83" i="5"/>
  <c r="AU83" i="5"/>
  <c r="AT146" i="5"/>
  <c r="AU146" i="5"/>
  <c r="AO57" i="4"/>
  <c r="AG57" i="4"/>
  <c r="AI57" i="4" s="1"/>
  <c r="AU500" i="5"/>
  <c r="AT500" i="5"/>
  <c r="AU294" i="5"/>
  <c r="AT294" i="5"/>
  <c r="AF73" i="4"/>
  <c r="AK73" i="4"/>
  <c r="AJ28" i="4"/>
  <c r="AK28" i="4"/>
  <c r="AJ36" i="4"/>
  <c r="AK36" i="4"/>
  <c r="AT109" i="5"/>
  <c r="AU109" i="5"/>
  <c r="AT337" i="5"/>
  <c r="AU337" i="5"/>
  <c r="AG104" i="4"/>
  <c r="AI104" i="4" s="1"/>
  <c r="AO104" i="4"/>
  <c r="AT434" i="5"/>
  <c r="AU434" i="5"/>
  <c r="AU424" i="5"/>
  <c r="AT424" i="5"/>
  <c r="AU171" i="5"/>
  <c r="AT171" i="5"/>
  <c r="AJ154" i="4"/>
  <c r="AK154" i="4"/>
  <c r="AT208" i="5"/>
  <c r="AU208" i="5"/>
  <c r="AU523" i="5"/>
  <c r="AT523" i="5"/>
  <c r="AU118" i="5"/>
  <c r="AT118" i="5"/>
  <c r="AU522" i="5"/>
  <c r="AT522" i="5"/>
  <c r="AG138" i="4"/>
  <c r="AI138" i="4" s="1"/>
  <c r="AO138" i="4"/>
  <c r="AT317" i="5"/>
  <c r="AU317" i="5"/>
  <c r="AJ115" i="4"/>
  <c r="AK115" i="4"/>
  <c r="AT461" i="5"/>
  <c r="AU461" i="5"/>
  <c r="AU159" i="5"/>
  <c r="AT159" i="5"/>
  <c r="AU303" i="5"/>
  <c r="AT303" i="5"/>
  <c r="AT520" i="5"/>
  <c r="AU520" i="5"/>
  <c r="AT347" i="5"/>
  <c r="AU347" i="5"/>
  <c r="AO33" i="4"/>
  <c r="AG33" i="4"/>
  <c r="AI33" i="4" s="1"/>
  <c r="AT101" i="5"/>
  <c r="AU101" i="5"/>
  <c r="AU495" i="5"/>
  <c r="AT495" i="5"/>
  <c r="AJ119" i="4"/>
  <c r="AK119" i="4"/>
  <c r="AT544" i="5"/>
  <c r="AU544" i="5"/>
  <c r="AT33" i="5"/>
  <c r="AU33" i="5"/>
  <c r="AU413" i="5"/>
  <c r="AT413" i="5"/>
  <c r="AU279" i="5"/>
  <c r="AT279" i="5"/>
  <c r="AJ32" i="4"/>
  <c r="AK32" i="4"/>
  <c r="AA16" i="4"/>
  <c r="AC16" i="4" s="1"/>
  <c r="AD16" i="4" s="1"/>
  <c r="AG51" i="4"/>
  <c r="AI51" i="4" s="1"/>
  <c r="AO51" i="4"/>
  <c r="AU135" i="5"/>
  <c r="AT135" i="5"/>
  <c r="AU251" i="5"/>
  <c r="AT251" i="5"/>
  <c r="AT180" i="5"/>
  <c r="AU180" i="5"/>
  <c r="AE13" i="5"/>
  <c r="AD13" i="5"/>
  <c r="AS13" i="5"/>
  <c r="AJ131" i="4"/>
  <c r="AK131" i="4"/>
  <c r="AO147" i="4"/>
  <c r="AG147" i="4"/>
  <c r="AI147" i="4" s="1"/>
  <c r="AO60" i="4"/>
  <c r="AG60" i="4"/>
  <c r="AI60" i="4" s="1"/>
  <c r="AU173" i="5"/>
  <c r="AT173" i="5"/>
  <c r="AR31" i="4"/>
  <c r="AT31" i="4" s="1"/>
  <c r="AJ78" i="4"/>
  <c r="AK78" i="4"/>
  <c r="AU183" i="5"/>
  <c r="AT183" i="5"/>
  <c r="AX182" i="5" s="1"/>
  <c r="AY182" i="5" s="1"/>
  <c r="AT392" i="5"/>
  <c r="AU392" i="5"/>
  <c r="AT464" i="5"/>
  <c r="AU464" i="5"/>
  <c r="AJ60" i="4"/>
  <c r="AK60" i="4"/>
  <c r="AJ139" i="4"/>
  <c r="AK139" i="4"/>
  <c r="AG121" i="4"/>
  <c r="AI121" i="4" s="1"/>
  <c r="AO121" i="4"/>
  <c r="AU100" i="5"/>
  <c r="AT100" i="5"/>
  <c r="AT160" i="5"/>
  <c r="AU160" i="5"/>
  <c r="AU167" i="5"/>
  <c r="AT167" i="5"/>
  <c r="AT286" i="5"/>
  <c r="AU286" i="5"/>
  <c r="AU362" i="5"/>
  <c r="AT362" i="5"/>
  <c r="AO107" i="4"/>
  <c r="AG107" i="4"/>
  <c r="AI107" i="4" s="1"/>
  <c r="AJ121" i="4"/>
  <c r="AK121" i="4"/>
  <c r="AJ53" i="4"/>
  <c r="AK53" i="4"/>
  <c r="AT479" i="5"/>
  <c r="AU479" i="5"/>
  <c r="AG153" i="4"/>
  <c r="AI153" i="4" s="1"/>
  <c r="AO153" i="4"/>
  <c r="AR112" i="4"/>
  <c r="AT112" i="4" s="1"/>
  <c r="AT454" i="5"/>
  <c r="AU454" i="5"/>
  <c r="AT34" i="5"/>
  <c r="AU34" i="5"/>
  <c r="AO80" i="4"/>
  <c r="AG80" i="4"/>
  <c r="AI80" i="4" s="1"/>
  <c r="AT187" i="5"/>
  <c r="AU187" i="5"/>
  <c r="AT223" i="5"/>
  <c r="AU223" i="5"/>
  <c r="AU449" i="5"/>
  <c r="AT449" i="5"/>
  <c r="AT181" i="5"/>
  <c r="AU181" i="5"/>
  <c r="AT206" i="5"/>
  <c r="AU206" i="5"/>
  <c r="AU481" i="5"/>
  <c r="AT481" i="5"/>
  <c r="AU136" i="5"/>
  <c r="AT136" i="5"/>
  <c r="AG13" i="4"/>
  <c r="AI13" i="4" s="1"/>
  <c r="AO13" i="4"/>
  <c r="AU546" i="5"/>
  <c r="AT546" i="5"/>
  <c r="AU258" i="5"/>
  <c r="AT258" i="5"/>
  <c r="AX257" i="5" s="1"/>
  <c r="AY257" i="5" s="1"/>
  <c r="AT397" i="5"/>
  <c r="AU397" i="5"/>
  <c r="AU252" i="5"/>
  <c r="AT252" i="5"/>
  <c r="AJ147" i="4"/>
  <c r="AK147" i="4"/>
  <c r="AU254" i="5"/>
  <c r="AT254" i="5"/>
  <c r="AU365" i="5"/>
  <c r="AT365" i="5"/>
  <c r="AU85" i="5"/>
  <c r="AT85" i="5"/>
  <c r="AU165" i="5"/>
  <c r="AT165" i="5"/>
  <c r="AG113" i="4"/>
  <c r="AI113" i="4" s="1"/>
  <c r="AO113" i="4"/>
  <c r="AT448" i="5"/>
  <c r="AU448" i="5"/>
  <c r="AT161" i="5"/>
  <c r="AU161" i="5"/>
  <c r="AJ110" i="4"/>
  <c r="AK110" i="4"/>
  <c r="AT331" i="5"/>
  <c r="AU331" i="5"/>
  <c r="AU395" i="5"/>
  <c r="AT395" i="5"/>
  <c r="AT282" i="5"/>
  <c r="AU282" i="5"/>
  <c r="AT192" i="5"/>
  <c r="AU192" i="5"/>
  <c r="AU456" i="5"/>
  <c r="AT456" i="5"/>
  <c r="AU329" i="5"/>
  <c r="AT329" i="5"/>
  <c r="AU515" i="5"/>
  <c r="AT515" i="5"/>
  <c r="AT43" i="5"/>
  <c r="AU43" i="5"/>
  <c r="AU538" i="5"/>
  <c r="AT538" i="5"/>
  <c r="AT521" i="5"/>
  <c r="AU521" i="5"/>
  <c r="AU408" i="5"/>
  <c r="AT408" i="5"/>
  <c r="AU274" i="5"/>
  <c r="AT274" i="5"/>
  <c r="AG129" i="4"/>
  <c r="AI129" i="4" s="1"/>
  <c r="AO129" i="4"/>
  <c r="AF91" i="4"/>
  <c r="AK91" i="4"/>
  <c r="AO88" i="4"/>
  <c r="AG88" i="4"/>
  <c r="AI88" i="4" s="1"/>
  <c r="AU142" i="5"/>
  <c r="AT142" i="5"/>
  <c r="AU333" i="5"/>
  <c r="AT333" i="5"/>
  <c r="AT221" i="5"/>
  <c r="AU221" i="5"/>
  <c r="AT170" i="5"/>
  <c r="AU170" i="5"/>
  <c r="AU460" i="5"/>
  <c r="AT460" i="5"/>
  <c r="AU253" i="5"/>
  <c r="AT253" i="5"/>
  <c r="AJ88" i="4"/>
  <c r="AK88" i="4"/>
  <c r="AT298" i="5"/>
  <c r="AU298" i="5"/>
  <c r="AG99" i="4"/>
  <c r="AI99" i="4" s="1"/>
  <c r="AO99" i="4"/>
  <c r="AO124" i="4"/>
  <c r="AG124" i="4"/>
  <c r="AI124" i="4" s="1"/>
  <c r="AT554" i="5"/>
  <c r="AU554" i="5"/>
  <c r="AG145" i="4"/>
  <c r="AI145" i="4" s="1"/>
  <c r="AO145" i="4"/>
  <c r="AJ56" i="4"/>
  <c r="AK56" i="4"/>
  <c r="AT491" i="5"/>
  <c r="AU491" i="5"/>
  <c r="AJ149" i="4"/>
  <c r="AK149" i="4"/>
  <c r="AU348" i="5"/>
  <c r="AT348" i="5"/>
  <c r="AT485" i="5"/>
  <c r="AU485" i="5"/>
  <c r="AU87" i="5"/>
  <c r="AT87" i="5"/>
  <c r="AU432" i="5"/>
  <c r="AT432" i="5"/>
  <c r="AJ146" i="4"/>
  <c r="AK146" i="4"/>
  <c r="AG56" i="4"/>
  <c r="AI56" i="4" s="1"/>
  <c r="AO56" i="4"/>
  <c r="AU467" i="5"/>
  <c r="AT467" i="5"/>
  <c r="AT269" i="5"/>
  <c r="AU269" i="5"/>
  <c r="AR53" i="4"/>
  <c r="AT53" i="4" s="1"/>
  <c r="AJ156" i="4"/>
  <c r="AK156" i="4"/>
  <c r="AU121" i="5"/>
  <c r="AT121" i="5"/>
  <c r="AU288" i="5"/>
  <c r="AT288" i="5"/>
  <c r="AU203" i="5"/>
  <c r="AT203" i="5"/>
  <c r="AU488" i="5"/>
  <c r="AT488" i="5"/>
  <c r="AU429" i="5"/>
  <c r="AT429" i="5"/>
  <c r="AU260" i="5"/>
  <c r="AT260" i="5"/>
  <c r="AT290" i="5"/>
  <c r="AU290" i="5"/>
  <c r="AT37" i="5"/>
  <c r="AU37" i="5"/>
  <c r="AJ106" i="4"/>
  <c r="AK106" i="4"/>
  <c r="AU40" i="5"/>
  <c r="AT40" i="5"/>
  <c r="AU144" i="5"/>
  <c r="AT144" i="5"/>
  <c r="AA11" i="4"/>
  <c r="AC11" i="4" s="1"/>
  <c r="AD11" i="4" s="1"/>
  <c r="AT557" i="5"/>
  <c r="AU557" i="5"/>
  <c r="AU482" i="5"/>
  <c r="AT482" i="5"/>
  <c r="AT176" i="5"/>
  <c r="AX175" i="5" s="1"/>
  <c r="AY175" i="5" s="1"/>
  <c r="AU176" i="5"/>
  <c r="AU311" i="5"/>
  <c r="AT311" i="5"/>
  <c r="AT149" i="5"/>
  <c r="AU149" i="5"/>
  <c r="AJ33" i="4"/>
  <c r="AK33" i="4"/>
  <c r="AU471" i="5"/>
  <c r="AT471" i="5"/>
  <c r="AG146" i="4"/>
  <c r="AI146" i="4" s="1"/>
  <c r="AO146" i="4"/>
  <c r="AU341" i="5"/>
  <c r="AT341" i="5"/>
  <c r="AO42" i="4"/>
  <c r="AG42" i="4"/>
  <c r="AI42" i="4" s="1"/>
  <c r="AU338" i="5"/>
  <c r="AT338" i="5"/>
  <c r="AU379" i="5"/>
  <c r="AU498" i="5"/>
  <c r="AT498" i="5"/>
  <c r="AU417" i="5"/>
  <c r="AT417" i="5"/>
  <c r="AG28" i="4"/>
  <c r="AI28" i="4" s="1"/>
  <c r="AO28" i="4"/>
  <c r="AT525" i="5"/>
  <c r="AU525" i="5"/>
  <c r="AT275" i="5"/>
  <c r="AU275" i="5"/>
  <c r="AU422" i="5"/>
  <c r="AT422" i="5"/>
  <c r="AT343" i="5"/>
  <c r="AU343" i="5"/>
  <c r="AU280" i="5"/>
  <c r="AT280" i="5"/>
  <c r="AU319" i="5"/>
  <c r="AT319" i="5"/>
  <c r="AT74" i="5"/>
  <c r="AU74" i="5"/>
  <c r="AT465" i="5"/>
  <c r="AU465" i="5"/>
  <c r="AG29" i="4"/>
  <c r="AI29" i="4" s="1"/>
  <c r="AO29" i="4"/>
  <c r="AU427" i="5"/>
  <c r="AT427" i="5"/>
  <c r="AU268" i="5"/>
  <c r="AT268" i="5"/>
  <c r="AT304" i="5"/>
  <c r="AU304" i="5"/>
  <c r="AU386" i="5"/>
  <c r="AT386" i="5"/>
  <c r="AJ48" i="4"/>
  <c r="AK48" i="4"/>
  <c r="AT459" i="5"/>
  <c r="AU459" i="5"/>
  <c r="AG154" i="4"/>
  <c r="AI154" i="4" s="1"/>
  <c r="AO154" i="4"/>
  <c r="AT70" i="5"/>
  <c r="AU70" i="5"/>
  <c r="AT339" i="5"/>
  <c r="AU339" i="5"/>
  <c r="AU342" i="5"/>
  <c r="AT342" i="5"/>
  <c r="AU256" i="5"/>
  <c r="AT256" i="5"/>
  <c r="AG15" i="4"/>
  <c r="AI15" i="4" s="1"/>
  <c r="AO15" i="4"/>
  <c r="AK11" i="4"/>
  <c r="AT296" i="5"/>
  <c r="AU296" i="5"/>
  <c r="AU489" i="5"/>
  <c r="AT489" i="5"/>
  <c r="AU232" i="5"/>
  <c r="AT232" i="5"/>
  <c r="AU262" i="5"/>
  <c r="AT262" i="5"/>
  <c r="AU499" i="5"/>
  <c r="AT499" i="5"/>
  <c r="AJ90" i="4"/>
  <c r="AK90" i="4"/>
  <c r="AJ112" i="4"/>
  <c r="AK112" i="4"/>
  <c r="AU216" i="5"/>
  <c r="AT216" i="5"/>
  <c r="AU130" i="5"/>
  <c r="AT130" i="5"/>
  <c r="AO115" i="4"/>
  <c r="AG115" i="4"/>
  <c r="AI115" i="4" s="1"/>
  <c r="AT69" i="5"/>
  <c r="AU69" i="5"/>
  <c r="AU189" i="5"/>
  <c r="AT189" i="5"/>
  <c r="AJ43" i="4"/>
  <c r="AK43" i="4"/>
  <c r="AG92" i="4"/>
  <c r="AI92" i="4" s="1"/>
  <c r="AO92" i="4"/>
  <c r="AG119" i="4"/>
  <c r="AI119" i="4" s="1"/>
  <c r="AO119" i="4"/>
  <c r="AG65" i="4"/>
  <c r="AI65" i="4" s="1"/>
  <c r="AO65" i="4"/>
  <c r="AG110" i="4"/>
  <c r="AI110" i="4" s="1"/>
  <c r="AO110" i="4"/>
  <c r="AJ50" i="4"/>
  <c r="AK50" i="4"/>
  <c r="AJ87" i="4"/>
  <c r="AK87" i="4"/>
  <c r="AU433" i="5"/>
  <c r="AT433" i="5"/>
  <c r="AJ29" i="4"/>
  <c r="AK29" i="4"/>
  <c r="AT356" i="5"/>
  <c r="AU356" i="5"/>
  <c r="AU123" i="5"/>
  <c r="AT123" i="5"/>
  <c r="AT506" i="5"/>
  <c r="AU506" i="5"/>
  <c r="AO55" i="4"/>
  <c r="AG55" i="4"/>
  <c r="AI55" i="4" s="1"/>
  <c r="AU373" i="5"/>
  <c r="AT373" i="5"/>
  <c r="AJ42" i="4"/>
  <c r="AK42" i="4"/>
  <c r="AU215" i="5"/>
  <c r="AT215" i="5"/>
  <c r="AT484" i="5"/>
  <c r="AU484" i="5"/>
  <c r="AT332" i="5"/>
  <c r="AU332" i="5"/>
  <c r="AU151" i="5"/>
  <c r="AT151" i="5"/>
  <c r="AT436" i="5"/>
  <c r="AU436" i="5"/>
  <c r="AU371" i="5"/>
  <c r="AT371" i="5"/>
  <c r="AU399" i="5"/>
  <c r="AT399" i="5"/>
  <c r="AJ49" i="4"/>
  <c r="AK49" i="4"/>
  <c r="AT553" i="5"/>
  <c r="AU553" i="5"/>
  <c r="AT63" i="5"/>
  <c r="AU63" i="5"/>
  <c r="AT450" i="5"/>
  <c r="AU450" i="5"/>
  <c r="AU524" i="5"/>
  <c r="AT524" i="5"/>
  <c r="AR78" i="4"/>
  <c r="AT78" i="4" s="1"/>
  <c r="AG11" i="4"/>
  <c r="AI11" i="4" s="1"/>
  <c r="AO11" i="4"/>
  <c r="AT536" i="5"/>
  <c r="AU536" i="5"/>
  <c r="AU91" i="5"/>
  <c r="AT91" i="5"/>
  <c r="AU380" i="5"/>
  <c r="AT380" i="5"/>
  <c r="AU324" i="5"/>
  <c r="AT324" i="5"/>
  <c r="AT237" i="5"/>
  <c r="AU237" i="5"/>
  <c r="AU80" i="5"/>
  <c r="AT80" i="5"/>
  <c r="AQ13" i="5"/>
  <c r="AR13" i="5"/>
  <c r="AU59" i="5"/>
  <c r="AT59" i="5"/>
  <c r="AJ107" i="4"/>
  <c r="AK107" i="4"/>
  <c r="AT261" i="5"/>
  <c r="AU261" i="5"/>
  <c r="AU125" i="5"/>
  <c r="AT125" i="5"/>
  <c r="AU305" i="5"/>
  <c r="AT305" i="5"/>
  <c r="AG122" i="4"/>
  <c r="AI122" i="4" s="1"/>
  <c r="AO122" i="4"/>
  <c r="AT117" i="5"/>
  <c r="AU117" i="5"/>
  <c r="AT543" i="5"/>
  <c r="AU543" i="5"/>
  <c r="AU38" i="5"/>
  <c r="AT38" i="5"/>
  <c r="AG50" i="4"/>
  <c r="AI50" i="4" s="1"/>
  <c r="AO50" i="4"/>
  <c r="AU241" i="5"/>
  <c r="AT241" i="5"/>
  <c r="AU312" i="5"/>
  <c r="AT312" i="5"/>
  <c r="AT284" i="5"/>
  <c r="AU284" i="5"/>
  <c r="AU381" i="5"/>
  <c r="AT381" i="5"/>
  <c r="AU212" i="5"/>
  <c r="AT212" i="5"/>
  <c r="AT512" i="5"/>
  <c r="AU512" i="5"/>
  <c r="AT445" i="5"/>
  <c r="AU445" i="5"/>
  <c r="AT112" i="5"/>
  <c r="AU112" i="5"/>
  <c r="AU370" i="5"/>
  <c r="AT370" i="5"/>
  <c r="AU133" i="5"/>
  <c r="AT133" i="5"/>
  <c r="AG156" i="4"/>
  <c r="AI156" i="4" s="1"/>
  <c r="AO156" i="4"/>
  <c r="AT266" i="5"/>
  <c r="AU266" i="5"/>
  <c r="AO16" i="4"/>
  <c r="AG16" i="4"/>
  <c r="AI16" i="4" s="1"/>
  <c r="AU376" i="5" l="1"/>
  <c r="AT264" i="5"/>
  <c r="AA18" i="4"/>
  <c r="AC18" i="4" s="1"/>
  <c r="AD18" i="4" s="1"/>
  <c r="AR18" i="4" s="1"/>
  <c r="AT18" i="4" s="1"/>
  <c r="AU426" i="5"/>
  <c r="AU446" i="5"/>
  <c r="AU49" i="5"/>
  <c r="AT508" i="5"/>
  <c r="AX507" i="5" s="1"/>
  <c r="AY507" i="5" s="1"/>
  <c r="AX115" i="5"/>
  <c r="AY115" i="5" s="1"/>
  <c r="AU537" i="5"/>
  <c r="AX45" i="5"/>
  <c r="AY45" i="5" s="1"/>
  <c r="AK18" i="4"/>
  <c r="AK12" i="4"/>
  <c r="AU200" i="5"/>
  <c r="AU26" i="5"/>
  <c r="AA145" i="4"/>
  <c r="AC145" i="4" s="1"/>
  <c r="AD145" i="4" s="1"/>
  <c r="AR145" i="4" s="1"/>
  <c r="AT145" i="4" s="1"/>
  <c r="AU345" i="5"/>
  <c r="AT483" i="5"/>
  <c r="AX483" i="5" s="1"/>
  <c r="AY483" i="5" s="1"/>
  <c r="AK145" i="4"/>
  <c r="AX23" i="5"/>
  <c r="AY23" i="5" s="1"/>
  <c r="AU23" i="5"/>
  <c r="AK66" i="4"/>
  <c r="AF37" i="4"/>
  <c r="AG37" i="4" s="1"/>
  <c r="AI37" i="4" s="1"/>
  <c r="AU289" i="5"/>
  <c r="AX97" i="5"/>
  <c r="AY97" i="5" s="1"/>
  <c r="AK37" i="4"/>
  <c r="AT530" i="5"/>
  <c r="AX184" i="5"/>
  <c r="AY184" i="5" s="1"/>
  <c r="AU534" i="5"/>
  <c r="AT105" i="5"/>
  <c r="AX105" i="5" s="1"/>
  <c r="AY105" i="5" s="1"/>
  <c r="AT463" i="5"/>
  <c r="AX463" i="5" s="1"/>
  <c r="AY463" i="5" s="1"/>
  <c r="AU265" i="5"/>
  <c r="AU97" i="5"/>
  <c r="AT243" i="5"/>
  <c r="AU226" i="5"/>
  <c r="AT213" i="5"/>
  <c r="AX212" i="5" s="1"/>
  <c r="AY212" i="5" s="1"/>
  <c r="AU532" i="5"/>
  <c r="AT540" i="5"/>
  <c r="AX539" i="5" s="1"/>
  <c r="AY539" i="5" s="1"/>
  <c r="AT470" i="5"/>
  <c r="AX470" i="5" s="1"/>
  <c r="AY470" i="5" s="1"/>
  <c r="AT469" i="5"/>
  <c r="AU509" i="5"/>
  <c r="AU184" i="5"/>
  <c r="AA46" i="4"/>
  <c r="AC46" i="4" s="1"/>
  <c r="AD46" i="4" s="1"/>
  <c r="AR46" i="4" s="1"/>
  <c r="AT46" i="4" s="1"/>
  <c r="AJ46" i="4"/>
  <c r="AU359" i="5"/>
  <c r="AA20" i="4"/>
  <c r="AC20" i="4" s="1"/>
  <c r="AD20" i="4" s="1"/>
  <c r="AG66" i="4"/>
  <c r="AI66" i="4" s="1"/>
  <c r="AR66" i="4" s="1"/>
  <c r="AT66" i="4" s="1"/>
  <c r="AK20" i="4"/>
  <c r="AU327" i="5"/>
  <c r="AU297" i="5"/>
  <c r="AT466" i="5"/>
  <c r="AX466" i="5" s="1"/>
  <c r="AY466" i="5" s="1"/>
  <c r="AU188" i="5"/>
  <c r="AU166" i="5"/>
  <c r="AU477" i="5"/>
  <c r="AT518" i="5"/>
  <c r="AX517" i="5" s="1"/>
  <c r="AY517" i="5" s="1"/>
  <c r="AU514" i="5"/>
  <c r="AU22" i="5"/>
  <c r="AU511" i="5"/>
  <c r="AR43" i="4"/>
  <c r="AT43" i="4" s="1"/>
  <c r="AU62" i="5"/>
  <c r="AX49" i="5"/>
  <c r="AY49" i="5" s="1"/>
  <c r="AU349" i="5"/>
  <c r="AA14" i="4"/>
  <c r="AC14" i="4" s="1"/>
  <c r="AD14" i="4" s="1"/>
  <c r="AR149" i="4"/>
  <c r="AT149" i="4" s="1"/>
  <c r="AK14" i="4"/>
  <c r="AU148" i="5"/>
  <c r="AU137" i="5"/>
  <c r="AT201" i="5"/>
  <c r="AX201" i="5" s="1"/>
  <c r="AY201" i="5" s="1"/>
  <c r="AA61" i="4"/>
  <c r="AC61" i="4" s="1"/>
  <c r="AD61" i="4" s="1"/>
  <c r="AR61" i="4" s="1"/>
  <c r="AT61" i="4" s="1"/>
  <c r="AT42" i="5"/>
  <c r="AX42" i="5" s="1"/>
  <c r="AY42" i="5" s="1"/>
  <c r="AU351" i="5"/>
  <c r="AU21" i="5"/>
  <c r="AX21" i="5"/>
  <c r="AY21" i="5" s="1"/>
  <c r="AK61" i="4"/>
  <c r="AT214" i="5"/>
  <c r="AX214" i="5" s="1"/>
  <c r="AY214" i="5" s="1"/>
  <c r="AT267" i="5"/>
  <c r="AX267" i="5" s="1"/>
  <c r="AY267" i="5" s="1"/>
  <c r="AT186" i="5"/>
  <c r="AX186" i="5" s="1"/>
  <c r="AY186" i="5" s="1"/>
  <c r="AT301" i="5"/>
  <c r="AX300" i="5" s="1"/>
  <c r="AY300" i="5" s="1"/>
  <c r="AU300" i="5"/>
  <c r="AT313" i="5"/>
  <c r="AX313" i="5" s="1"/>
  <c r="AY313" i="5" s="1"/>
  <c r="AU382" i="5"/>
  <c r="AX148" i="5"/>
  <c r="AY148" i="5" s="1"/>
  <c r="AT451" i="5"/>
  <c r="AX450" i="5" s="1"/>
  <c r="AY450" i="5" s="1"/>
  <c r="AT486" i="5"/>
  <c r="AX485" i="5" s="1"/>
  <c r="AY485" i="5" s="1"/>
  <c r="AA57" i="4"/>
  <c r="AC57" i="4" s="1"/>
  <c r="AD57" i="4" s="1"/>
  <c r="AR57" i="4" s="1"/>
  <c r="AT57" i="4" s="1"/>
  <c r="AF22" i="4"/>
  <c r="AO22" i="4" s="1"/>
  <c r="AA142" i="4"/>
  <c r="AC142" i="4" s="1"/>
  <c r="AD142" i="4" s="1"/>
  <c r="AX147" i="5"/>
  <c r="AY147" i="5" s="1"/>
  <c r="AT248" i="5"/>
  <c r="AX247" i="5" s="1"/>
  <c r="AY247" i="5" s="1"/>
  <c r="AU205" i="5"/>
  <c r="AT478" i="5"/>
  <c r="AX477" i="5" s="1"/>
  <c r="AY477" i="5" s="1"/>
  <c r="AK15" i="4"/>
  <c r="AU31" i="5"/>
  <c r="AU283" i="5"/>
  <c r="AO142" i="4"/>
  <c r="AT390" i="5"/>
  <c r="AX389" i="5" s="1"/>
  <c r="AY389" i="5" s="1"/>
  <c r="AK57" i="4"/>
  <c r="AA15" i="4"/>
  <c r="AC15" i="4" s="1"/>
  <c r="AD15" i="4" s="1"/>
  <c r="AR15" i="4" s="1"/>
  <c r="AT15" i="4" s="1"/>
  <c r="AT316" i="5"/>
  <c r="AX316" i="5" s="1"/>
  <c r="AY316" i="5" s="1"/>
  <c r="AK142" i="4"/>
  <c r="AT444" i="5"/>
  <c r="AX444" i="5" s="1"/>
  <c r="AY444" i="5" s="1"/>
  <c r="AT58" i="5"/>
  <c r="AX58" i="5" s="1"/>
  <c r="AY58" i="5" s="1"/>
  <c r="AT374" i="5"/>
  <c r="AX373" i="5" s="1"/>
  <c r="AY373" i="5" s="1"/>
  <c r="AT455" i="5"/>
  <c r="AX454" i="5" s="1"/>
  <c r="AY454" i="5" s="1"/>
  <c r="AT360" i="5"/>
  <c r="AT308" i="5"/>
  <c r="AX308" i="5" s="1"/>
  <c r="AY308" i="5" s="1"/>
  <c r="AT361" i="5"/>
  <c r="AX361" i="5" s="1"/>
  <c r="AY361" i="5" s="1"/>
  <c r="AX278" i="5"/>
  <c r="AY278" i="5" s="1"/>
  <c r="AX62" i="5"/>
  <c r="AY62" i="5" s="1"/>
  <c r="AU400" i="5"/>
  <c r="AU32" i="5"/>
  <c r="AT48" i="5"/>
  <c r="AX48" i="5" s="1"/>
  <c r="AY48" i="5" s="1"/>
  <c r="AU363" i="5"/>
  <c r="AU138" i="5"/>
  <c r="AT306" i="5"/>
  <c r="AX306" i="5" s="1"/>
  <c r="AY306" i="5" s="1"/>
  <c r="AU245" i="5"/>
  <c r="AT145" i="5"/>
  <c r="AX144" i="5" s="1"/>
  <c r="AY144" i="5" s="1"/>
  <c r="AU421" i="5"/>
  <c r="AX20" i="5"/>
  <c r="AY20" i="5" s="1"/>
  <c r="AT113" i="5"/>
  <c r="AX113" i="5" s="1"/>
  <c r="AY113" i="5" s="1"/>
  <c r="AU552" i="5"/>
  <c r="AU55" i="5"/>
  <c r="AT222" i="5"/>
  <c r="AX222" i="5" s="1"/>
  <c r="AY222" i="5" s="1"/>
  <c r="AT366" i="5"/>
  <c r="AX365" i="5" s="1"/>
  <c r="AY365" i="5" s="1"/>
  <c r="AT36" i="5"/>
  <c r="AX35" i="5" s="1"/>
  <c r="AY35" i="5" s="1"/>
  <c r="AX116" i="5"/>
  <c r="AY116" i="5" s="1"/>
  <c r="AU309" i="5"/>
  <c r="AU336" i="5"/>
  <c r="AU416" i="5"/>
  <c r="AT140" i="5"/>
  <c r="AX139" i="5" s="1"/>
  <c r="AY139" i="5" s="1"/>
  <c r="AT295" i="5"/>
  <c r="AX294" i="5" s="1"/>
  <c r="AY294" i="5" s="1"/>
  <c r="AT302" i="5"/>
  <c r="AX302" i="5" s="1"/>
  <c r="AY302" i="5" s="1"/>
  <c r="AT90" i="5"/>
  <c r="AX90" i="5" s="1"/>
  <c r="AY90" i="5" s="1"/>
  <c r="AU353" i="5"/>
  <c r="AT178" i="5"/>
  <c r="AX177" i="5" s="1"/>
  <c r="AY177" i="5" s="1"/>
  <c r="AT378" i="5"/>
  <c r="AX378" i="5" s="1"/>
  <c r="AY378" i="5" s="1"/>
  <c r="AT475" i="5"/>
  <c r="AX475" i="5" s="1"/>
  <c r="AY475" i="5" s="1"/>
  <c r="AT462" i="5"/>
  <c r="AU517" i="5"/>
  <c r="AT344" i="5"/>
  <c r="AX343" i="5" s="1"/>
  <c r="AY343" i="5" s="1"/>
  <c r="AT94" i="5"/>
  <c r="AX94" i="5" s="1"/>
  <c r="AY94" i="5" s="1"/>
  <c r="AA135" i="4"/>
  <c r="AC135" i="4" s="1"/>
  <c r="AD135" i="4" s="1"/>
  <c r="AA125" i="4"/>
  <c r="AC125" i="4" s="1"/>
  <c r="AD125" i="4" s="1"/>
  <c r="AT158" i="5"/>
  <c r="AX158" i="5" s="1"/>
  <c r="AY158" i="5" s="1"/>
  <c r="AK125" i="4"/>
  <c r="AT259" i="5"/>
  <c r="AX258" i="5" s="1"/>
  <c r="AY258" i="5" s="1"/>
  <c r="AU438" i="5"/>
  <c r="AT119" i="5"/>
  <c r="AX118" i="5" s="1"/>
  <c r="AY118" i="5" s="1"/>
  <c r="AU394" i="5"/>
  <c r="AT155" i="5"/>
  <c r="AU504" i="5"/>
  <c r="AU193" i="5"/>
  <c r="AU270" i="5"/>
  <c r="AX46" i="5"/>
  <c r="AY46" i="5" s="1"/>
  <c r="AU385" i="5"/>
  <c r="AT194" i="5"/>
  <c r="AX193" i="5" s="1"/>
  <c r="AY193" i="5" s="1"/>
  <c r="AA39" i="4"/>
  <c r="AC39" i="4" s="1"/>
  <c r="AD39" i="4" s="1"/>
  <c r="AT428" i="5"/>
  <c r="AX427" i="5" s="1"/>
  <c r="AY427" i="5" s="1"/>
  <c r="AT556" i="5"/>
  <c r="AX556" i="5" s="1"/>
  <c r="AY556" i="5" s="1"/>
  <c r="AT494" i="5"/>
  <c r="AX494" i="5" s="1"/>
  <c r="AY494" i="5" s="1"/>
  <c r="AT76" i="5"/>
  <c r="AX76" i="5" s="1"/>
  <c r="AY76" i="5" s="1"/>
  <c r="AK39" i="4"/>
  <c r="AU502" i="5"/>
  <c r="AT404" i="5"/>
  <c r="AU541" i="5"/>
  <c r="AU46" i="5"/>
  <c r="AT244" i="5"/>
  <c r="AT383" i="5"/>
  <c r="AX382" i="5" s="1"/>
  <c r="AY382" i="5" s="1"/>
  <c r="AU440" i="5"/>
  <c r="AX53" i="5"/>
  <c r="AY53" i="5" s="1"/>
  <c r="AX54" i="5"/>
  <c r="AY54" i="5" s="1"/>
  <c r="AU425" i="5"/>
  <c r="AU126" i="5"/>
  <c r="AU106" i="5"/>
  <c r="AT174" i="5"/>
  <c r="AX173" i="5" s="1"/>
  <c r="AY173" i="5" s="1"/>
  <c r="AT335" i="5"/>
  <c r="AX335" i="5" s="1"/>
  <c r="AY335" i="5" s="1"/>
  <c r="AT111" i="5"/>
  <c r="AX111" i="5" s="1"/>
  <c r="AY111" i="5" s="1"/>
  <c r="AT277" i="5"/>
  <c r="AX277" i="5" s="1"/>
  <c r="AY277" i="5" s="1"/>
  <c r="AT325" i="5"/>
  <c r="AX324" i="5" s="1"/>
  <c r="AY324" i="5" s="1"/>
  <c r="AT67" i="5"/>
  <c r="AX67" i="5" s="1"/>
  <c r="AY67" i="5" s="1"/>
  <c r="AT210" i="5"/>
  <c r="AX209" i="5" s="1"/>
  <c r="AY209" i="5" s="1"/>
  <c r="AT310" i="5"/>
  <c r="AX309" i="5" s="1"/>
  <c r="AY309" i="5" s="1"/>
  <c r="AT555" i="5"/>
  <c r="AX122" i="5"/>
  <c r="AY122" i="5" s="1"/>
  <c r="AU50" i="5"/>
  <c r="AT402" i="5"/>
  <c r="AT551" i="5"/>
  <c r="AX551" i="5" s="1"/>
  <c r="AY551" i="5" s="1"/>
  <c r="AX80" i="5"/>
  <c r="AY80" i="5" s="1"/>
  <c r="AT318" i="5"/>
  <c r="AX318" i="5" s="1"/>
  <c r="AY318" i="5" s="1"/>
  <c r="AT12" i="5"/>
  <c r="AU476" i="5"/>
  <c r="AU122" i="5"/>
  <c r="AT354" i="5"/>
  <c r="AX353" i="5" s="1"/>
  <c r="AY353" i="5" s="1"/>
  <c r="AT60" i="5"/>
  <c r="AX59" i="5" s="1"/>
  <c r="AY59" i="5" s="1"/>
  <c r="AT452" i="5"/>
  <c r="AX451" i="5" s="1"/>
  <c r="AY451" i="5" s="1"/>
  <c r="AT120" i="5"/>
  <c r="AX120" i="5" s="1"/>
  <c r="AY120" i="5" s="1"/>
  <c r="AU116" i="5"/>
  <c r="AT104" i="5"/>
  <c r="AX103" i="5" s="1"/>
  <c r="AY103" i="5" s="1"/>
  <c r="AT150" i="5"/>
  <c r="AX150" i="5" s="1"/>
  <c r="AY150" i="5" s="1"/>
  <c r="AU533" i="5"/>
  <c r="AU369" i="5"/>
  <c r="AT403" i="5"/>
  <c r="AU163" i="5"/>
  <c r="AK22" i="4"/>
  <c r="AT217" i="5"/>
  <c r="AX216" i="5" s="1"/>
  <c r="AY216" i="5" s="1"/>
  <c r="AX240" i="5"/>
  <c r="AY240" i="5" s="1"/>
  <c r="AU25" i="5"/>
  <c r="AU453" i="5"/>
  <c r="AU198" i="5"/>
  <c r="AU384" i="5"/>
  <c r="AT231" i="5"/>
  <c r="AX231" i="5" s="1"/>
  <c r="AY231" i="5" s="1"/>
  <c r="AU505" i="5"/>
  <c r="AU77" i="5"/>
  <c r="AU350" i="5"/>
  <c r="AT263" i="5"/>
  <c r="AX262" i="5" s="1"/>
  <c r="AY262" i="5" s="1"/>
  <c r="AT239" i="5"/>
  <c r="AX239" i="5" s="1"/>
  <c r="AY239" i="5" s="1"/>
  <c r="AO125" i="4"/>
  <c r="AT411" i="5"/>
  <c r="AX411" i="5" s="1"/>
  <c r="AY411" i="5" s="1"/>
  <c r="AU398" i="5"/>
  <c r="AK135" i="4"/>
  <c r="AT110" i="5"/>
  <c r="AX109" i="5" s="1"/>
  <c r="AY109" i="5" s="1"/>
  <c r="AX73" i="5"/>
  <c r="AY73" i="5" s="1"/>
  <c r="AU420" i="5"/>
  <c r="AU285" i="5"/>
  <c r="AT501" i="5"/>
  <c r="AX500" i="5" s="1"/>
  <c r="AY500" i="5" s="1"/>
  <c r="AU114" i="5"/>
  <c r="AU44" i="5"/>
  <c r="AU73" i="5"/>
  <c r="AT220" i="5"/>
  <c r="AX219" i="5" s="1"/>
  <c r="AY219" i="5" s="1"/>
  <c r="AT82" i="5"/>
  <c r="AX81" i="5" s="1"/>
  <c r="AY81" i="5" s="1"/>
  <c r="AU406" i="5"/>
  <c r="AU24" i="5"/>
  <c r="AU548" i="5"/>
  <c r="AT236" i="5"/>
  <c r="AX236" i="5" s="1"/>
  <c r="AY236" i="5" s="1"/>
  <c r="AU128" i="5"/>
  <c r="AU468" i="5"/>
  <c r="AU387" i="5"/>
  <c r="AX143" i="5"/>
  <c r="AY143" i="5" s="1"/>
  <c r="AU115" i="5"/>
  <c r="AX202" i="5"/>
  <c r="AY202" i="5" s="1"/>
  <c r="AU437" i="5"/>
  <c r="AT513" i="5"/>
  <c r="AX512" i="5" s="1"/>
  <c r="AY512" i="5" s="1"/>
  <c r="AT377" i="5"/>
  <c r="AX376" i="5" s="1"/>
  <c r="AY376" i="5" s="1"/>
  <c r="AX127" i="5"/>
  <c r="AY127" i="5" s="1"/>
  <c r="AT441" i="5"/>
  <c r="AX440" i="5" s="1"/>
  <c r="AY440" i="5" s="1"/>
  <c r="AT492" i="5"/>
  <c r="AX491" i="5" s="1"/>
  <c r="AY491" i="5" s="1"/>
  <c r="AT168" i="5"/>
  <c r="AX168" i="5" s="1"/>
  <c r="AY168" i="5" s="1"/>
  <c r="AU19" i="5"/>
  <c r="AT410" i="5"/>
  <c r="AU375" i="5"/>
  <c r="AT558" i="5"/>
  <c r="AX557" i="5" s="1"/>
  <c r="AY557" i="5" s="1"/>
  <c r="AU204" i="5"/>
  <c r="AU314" i="5"/>
  <c r="AU240" i="5"/>
  <c r="AT228" i="5"/>
  <c r="AT229" i="5"/>
  <c r="AX229" i="5" s="1"/>
  <c r="AY229" i="5" s="1"/>
  <c r="AU320" i="5"/>
  <c r="AU560" i="5"/>
  <c r="AU153" i="5"/>
  <c r="AT99" i="5"/>
  <c r="AX99" i="5" s="1"/>
  <c r="AY99" i="5" s="1"/>
  <c r="AT157" i="5"/>
  <c r="AT238" i="5"/>
  <c r="AT405" i="5"/>
  <c r="AU108" i="5"/>
  <c r="AU143" i="5"/>
  <c r="AT134" i="5"/>
  <c r="AX134" i="5" s="1"/>
  <c r="AY134" i="5" s="1"/>
  <c r="AR68" i="4"/>
  <c r="AT68" i="4" s="1"/>
  <c r="AU218" i="5"/>
  <c r="AT496" i="5"/>
  <c r="AX495" i="5" s="1"/>
  <c r="AY495" i="5" s="1"/>
  <c r="AT27" i="5"/>
  <c r="AX26" i="5" s="1"/>
  <c r="AY26" i="5" s="1"/>
  <c r="AX72" i="5"/>
  <c r="AY72" i="5" s="1"/>
  <c r="AU293" i="5"/>
  <c r="AU472" i="5"/>
  <c r="AX19" i="5"/>
  <c r="AY19" i="5" s="1"/>
  <c r="AT132" i="5"/>
  <c r="AX132" i="5" s="1"/>
  <c r="AY132" i="5" s="1"/>
  <c r="F69" i="1"/>
  <c r="AT473" i="5"/>
  <c r="AX472" i="5" s="1"/>
  <c r="AY472" i="5" s="1"/>
  <c r="AU68" i="5"/>
  <c r="AT197" i="5"/>
  <c r="AX197" i="5" s="1"/>
  <c r="AY197" i="5" s="1"/>
  <c r="AT179" i="5"/>
  <c r="AX179" i="5" s="1"/>
  <c r="AY179" i="5" s="1"/>
  <c r="AX198" i="5"/>
  <c r="AY198" i="5" s="1"/>
  <c r="AX218" i="5"/>
  <c r="AY218" i="5" s="1"/>
  <c r="AT388" i="5"/>
  <c r="AX388" i="5" s="1"/>
  <c r="AY388" i="5" s="1"/>
  <c r="AT75" i="5"/>
  <c r="AX68" i="5"/>
  <c r="AY68" i="5" s="1"/>
  <c r="AU209" i="5"/>
  <c r="AT66" i="5"/>
  <c r="AX254" i="5"/>
  <c r="AY254" i="5" s="1"/>
  <c r="AX255" i="5"/>
  <c r="AY255" i="5" s="1"/>
  <c r="AT141" i="5"/>
  <c r="AX141" i="5" s="1"/>
  <c r="AY141" i="5" s="1"/>
  <c r="AU447" i="5"/>
  <c r="AU29" i="5"/>
  <c r="AU95" i="5"/>
  <c r="AA12" i="4"/>
  <c r="AC12" i="4" s="1"/>
  <c r="AD12" i="4" s="1"/>
  <c r="AU255" i="5"/>
  <c r="AT401" i="5"/>
  <c r="AU93" i="5"/>
  <c r="AT65" i="5"/>
  <c r="AT529" i="5"/>
  <c r="AU53" i="5"/>
  <c r="AT528" i="5"/>
  <c r="AU35" i="5"/>
  <c r="AU45" i="5"/>
  <c r="AU199" i="5"/>
  <c r="AU414" i="5"/>
  <c r="AU103" i="5"/>
  <c r="AX128" i="5"/>
  <c r="AY128" i="5" s="1"/>
  <c r="AX102" i="5"/>
  <c r="AY102" i="5" s="1"/>
  <c r="AT291" i="5"/>
  <c r="AX290" i="5" s="1"/>
  <c r="AY290" i="5" s="1"/>
  <c r="AX71" i="5"/>
  <c r="AY71" i="5" s="1"/>
  <c r="AX101" i="5"/>
  <c r="AY101" i="5" s="1"/>
  <c r="AT321" i="5"/>
  <c r="AX321" i="5" s="1"/>
  <c r="AY321" i="5" s="1"/>
  <c r="AU480" i="5"/>
  <c r="AU20" i="5"/>
  <c r="AU102" i="5"/>
  <c r="AX208" i="5"/>
  <c r="AY208" i="5" s="1"/>
  <c r="AT559" i="5"/>
  <c r="AX559" i="5" s="1"/>
  <c r="AY559" i="5" s="1"/>
  <c r="AX129" i="5"/>
  <c r="AY129" i="5" s="1"/>
  <c r="AU219" i="5"/>
  <c r="AU247" i="5"/>
  <c r="AU129" i="5"/>
  <c r="AT323" i="5"/>
  <c r="AX323" i="5" s="1"/>
  <c r="AY323" i="5" s="1"/>
  <c r="AT272" i="5"/>
  <c r="AX272" i="5" s="1"/>
  <c r="AY272" i="5" s="1"/>
  <c r="AF26" i="4"/>
  <c r="AK26" i="4"/>
  <c r="AA26" i="4"/>
  <c r="AC26" i="4" s="1"/>
  <c r="AD26" i="4" s="1"/>
  <c r="AT409" i="5"/>
  <c r="AX408" i="5" s="1"/>
  <c r="AY408" i="5" s="1"/>
  <c r="AA129" i="4"/>
  <c r="AC129" i="4" s="1"/>
  <c r="AD129" i="4" s="1"/>
  <c r="AR129" i="4" s="1"/>
  <c r="AT129" i="4" s="1"/>
  <c r="AO12" i="4"/>
  <c r="AA72" i="4"/>
  <c r="AC72" i="4" s="1"/>
  <c r="AD72" i="4" s="1"/>
  <c r="AR72" i="4" s="1"/>
  <c r="AT72" i="4" s="1"/>
  <c r="AK129" i="4"/>
  <c r="AT11" i="5"/>
  <c r="AU393" i="5"/>
  <c r="AU407" i="5"/>
  <c r="AU185" i="5"/>
  <c r="AA109" i="4"/>
  <c r="AC109" i="4" s="1"/>
  <c r="AD109" i="4" s="1"/>
  <c r="AK109" i="4"/>
  <c r="AA148" i="4"/>
  <c r="AC148" i="4" s="1"/>
  <c r="AD148" i="4" s="1"/>
  <c r="AU64" i="5"/>
  <c r="AU307" i="5"/>
  <c r="AK148" i="4"/>
  <c r="AK72" i="4"/>
  <c r="AU287" i="5"/>
  <c r="AO152" i="4"/>
  <c r="AR152" i="4" s="1"/>
  <c r="AT152" i="4" s="1"/>
  <c r="AK67" i="4"/>
  <c r="AJ67" i="4"/>
  <c r="AA133" i="4"/>
  <c r="AC133" i="4" s="1"/>
  <c r="AD133" i="4" s="1"/>
  <c r="AT340" i="5"/>
  <c r="AX339" i="5" s="1"/>
  <c r="AY339" i="5" s="1"/>
  <c r="AA79" i="4"/>
  <c r="AC79" i="4" s="1"/>
  <c r="AD79" i="4" s="1"/>
  <c r="AJ152" i="4"/>
  <c r="AR108" i="4"/>
  <c r="AT108" i="4" s="1"/>
  <c r="AT10" i="5"/>
  <c r="AT249" i="5"/>
  <c r="AO67" i="4"/>
  <c r="AR67" i="4" s="1"/>
  <c r="AT67" i="4" s="1"/>
  <c r="AK79" i="4"/>
  <c r="AK133" i="4"/>
  <c r="AF133" i="4"/>
  <c r="AG133" i="4" s="1"/>
  <c r="AI133" i="4" s="1"/>
  <c r="AK152" i="4"/>
  <c r="AU230" i="5"/>
  <c r="AU346" i="5"/>
  <c r="AT299" i="5"/>
  <c r="AX299" i="5" s="1"/>
  <c r="AY299" i="5" s="1"/>
  <c r="AA132" i="4"/>
  <c r="AC132" i="4" s="1"/>
  <c r="AD132" i="4" s="1"/>
  <c r="AJ132" i="4"/>
  <c r="AK132" i="4"/>
  <c r="AO105" i="4"/>
  <c r="AG105" i="4"/>
  <c r="AI105" i="4" s="1"/>
  <c r="AF101" i="4"/>
  <c r="AA101" i="4"/>
  <c r="AC101" i="4" s="1"/>
  <c r="AD101" i="4" s="1"/>
  <c r="AK101" i="4"/>
  <c r="AF21" i="4"/>
  <c r="AA21" i="4"/>
  <c r="AC21" i="4" s="1"/>
  <c r="AD21" i="4" s="1"/>
  <c r="AK21" i="4"/>
  <c r="AF24" i="4"/>
  <c r="AK24" i="4"/>
  <c r="AR81" i="4"/>
  <c r="AT81" i="4" s="1"/>
  <c r="AF10" i="4"/>
  <c r="AA10" i="4"/>
  <c r="AC10" i="4" s="1"/>
  <c r="AD10" i="4" s="1"/>
  <c r="AK10" i="4"/>
  <c r="AG140" i="4"/>
  <c r="AI140" i="4" s="1"/>
  <c r="AO140" i="4"/>
  <c r="AO132" i="4"/>
  <c r="AG132" i="4"/>
  <c r="AI132" i="4" s="1"/>
  <c r="AA62" i="4"/>
  <c r="AC62" i="4" s="1"/>
  <c r="AD62" i="4" s="1"/>
  <c r="AF62" i="4"/>
  <c r="AK62" i="4"/>
  <c r="AJ144" i="4"/>
  <c r="Z155" i="4"/>
  <c r="AF155" i="4" s="1"/>
  <c r="Z144" i="4"/>
  <c r="AF144" i="4" s="1"/>
  <c r="AJ155" i="4"/>
  <c r="AF59" i="4"/>
  <c r="AK59" i="4"/>
  <c r="AA59" i="4"/>
  <c r="AC59" i="4" s="1"/>
  <c r="AD59" i="4" s="1"/>
  <c r="AG79" i="4"/>
  <c r="AI79" i="4" s="1"/>
  <c r="AO79" i="4"/>
  <c r="AA94" i="4"/>
  <c r="AC94" i="4" s="1"/>
  <c r="AD94" i="4" s="1"/>
  <c r="AJ94" i="4"/>
  <c r="AF83" i="4"/>
  <c r="AA83" i="4"/>
  <c r="AC83" i="4" s="1"/>
  <c r="AD83" i="4" s="1"/>
  <c r="AK83" i="4"/>
  <c r="AU8" i="5"/>
  <c r="AJ130" i="4"/>
  <c r="Z141" i="4"/>
  <c r="AA141" i="4" s="1"/>
  <c r="AC141" i="4" s="1"/>
  <c r="AD141" i="4" s="1"/>
  <c r="AF94" i="4"/>
  <c r="AK94" i="4"/>
  <c r="AA24" i="4"/>
  <c r="AC24" i="4" s="1"/>
  <c r="AD24" i="4" s="1"/>
  <c r="AJ24" i="4"/>
  <c r="AF58" i="4"/>
  <c r="AA58" i="4"/>
  <c r="AC58" i="4" s="1"/>
  <c r="AD58" i="4" s="1"/>
  <c r="AK58" i="4"/>
  <c r="Z130" i="4"/>
  <c r="AF130" i="4" s="1"/>
  <c r="AF34" i="4"/>
  <c r="AK34" i="4"/>
  <c r="AA34" i="4"/>
  <c r="AC34" i="4" s="1"/>
  <c r="AD34" i="4" s="1"/>
  <c r="AR75" i="4"/>
  <c r="AT75" i="4" s="1"/>
  <c r="AT292" i="5"/>
  <c r="AU391" i="5"/>
  <c r="AT235" i="5"/>
  <c r="AX234" i="5" s="1"/>
  <c r="AY234" i="5" s="1"/>
  <c r="AG76" i="4"/>
  <c r="AI76" i="4" s="1"/>
  <c r="AO76" i="4"/>
  <c r="AU162" i="5"/>
  <c r="AG84" i="4"/>
  <c r="AI84" i="4" s="1"/>
  <c r="AO84" i="4"/>
  <c r="AU169" i="5"/>
  <c r="AR143" i="4"/>
  <c r="AT143" i="4" s="1"/>
  <c r="AR103" i="4"/>
  <c r="AT103" i="4" s="1"/>
  <c r="AT487" i="5"/>
  <c r="AX487" i="5" s="1"/>
  <c r="AY487" i="5" s="1"/>
  <c r="AR85" i="4"/>
  <c r="AT85" i="4" s="1"/>
  <c r="AU412" i="5"/>
  <c r="AT458" i="5"/>
  <c r="AX458" i="5" s="1"/>
  <c r="AY458" i="5" s="1"/>
  <c r="AT550" i="5"/>
  <c r="AT233" i="5"/>
  <c r="AX232" i="5" s="1"/>
  <c r="AY232" i="5" s="1"/>
  <c r="AU364" i="5"/>
  <c r="AG120" i="4"/>
  <c r="AI120" i="4" s="1"/>
  <c r="AR120" i="4" s="1"/>
  <c r="AT120" i="4" s="1"/>
  <c r="AT549" i="5"/>
  <c r="AX548" i="5" s="1"/>
  <c r="AY548" i="5" s="1"/>
  <c r="AU328" i="5"/>
  <c r="AU396" i="5"/>
  <c r="AU457" i="5"/>
  <c r="AT547" i="5"/>
  <c r="AX547" i="5" s="1"/>
  <c r="AY547" i="5" s="1"/>
  <c r="AT326" i="5"/>
  <c r="AX326" i="5" s="1"/>
  <c r="AY326" i="5" s="1"/>
  <c r="AT52" i="5"/>
  <c r="AX52" i="5" s="1"/>
  <c r="AY52" i="5" s="1"/>
  <c r="AT196" i="5"/>
  <c r="AT207" i="5"/>
  <c r="AX206" i="5" s="1"/>
  <c r="AY206" i="5" s="1"/>
  <c r="AT545" i="5"/>
  <c r="AX544" i="5" s="1"/>
  <c r="AY544" i="5" s="1"/>
  <c r="AT430" i="5"/>
  <c r="AX429" i="5" s="1"/>
  <c r="AY429" i="5" s="1"/>
  <c r="AU315" i="5"/>
  <c r="AU47" i="5"/>
  <c r="AU92" i="5"/>
  <c r="AT423" i="5"/>
  <c r="AX423" i="5" s="1"/>
  <c r="AY423" i="5" s="1"/>
  <c r="AT527" i="5"/>
  <c r="AT443" i="5"/>
  <c r="AU271" i="5"/>
  <c r="AT510" i="5"/>
  <c r="AX509" i="5" s="1"/>
  <c r="AY509" i="5" s="1"/>
  <c r="AU225" i="5"/>
  <c r="AT352" i="5"/>
  <c r="AX351" i="5" s="1"/>
  <c r="AY351" i="5" s="1"/>
  <c r="AU79" i="5"/>
  <c r="AU418" i="5"/>
  <c r="AU139" i="5"/>
  <c r="AU539" i="5"/>
  <c r="AT535" i="5"/>
  <c r="AX535" i="5" s="1"/>
  <c r="AY535" i="5" s="1"/>
  <c r="AT191" i="5"/>
  <c r="AX191" i="5" s="1"/>
  <c r="AY191" i="5" s="1"/>
  <c r="AT56" i="5"/>
  <c r="AX56" i="5" s="1"/>
  <c r="AY56" i="5" s="1"/>
  <c r="AT497" i="5"/>
  <c r="AU57" i="5"/>
  <c r="AU490" i="5"/>
  <c r="AT419" i="5"/>
  <c r="AX418" i="5" s="1"/>
  <c r="AY418" i="5" s="1"/>
  <c r="AU98" i="5"/>
  <c r="AT96" i="5"/>
  <c r="AX96" i="5" s="1"/>
  <c r="AY96" i="5" s="1"/>
  <c r="AX347" i="5"/>
  <c r="AY347" i="5" s="1"/>
  <c r="AT542" i="5"/>
  <c r="AX542" i="5" s="1"/>
  <c r="AY542" i="5" s="1"/>
  <c r="AT154" i="5"/>
  <c r="AX153" i="5" s="1"/>
  <c r="AY153" i="5" s="1"/>
  <c r="AU84" i="5"/>
  <c r="AT172" i="5"/>
  <c r="AX172" i="5" s="1"/>
  <c r="AY172" i="5" s="1"/>
  <c r="AT358" i="5"/>
  <c r="AX358" i="5" s="1"/>
  <c r="AY358" i="5" s="1"/>
  <c r="AT124" i="5"/>
  <c r="AX123" i="5" s="1"/>
  <c r="AY123" i="5" s="1"/>
  <c r="AX384" i="5"/>
  <c r="AY384" i="5" s="1"/>
  <c r="AT164" i="5"/>
  <c r="AX163" i="5" s="1"/>
  <c r="AY163" i="5" s="1"/>
  <c r="AX425" i="5"/>
  <c r="AY425" i="5" s="1"/>
  <c r="AU503" i="5"/>
  <c r="AU330" i="5"/>
  <c r="AU211" i="5"/>
  <c r="AU322" i="5"/>
  <c r="AU281" i="5"/>
  <c r="AT61" i="5"/>
  <c r="AU435" i="5"/>
  <c r="AT227" i="5"/>
  <c r="AX226" i="5" s="1"/>
  <c r="AY226" i="5" s="1"/>
  <c r="AT526" i="5"/>
  <c r="AX525" i="5" s="1"/>
  <c r="AY525" i="5" s="1"/>
  <c r="AU224" i="5"/>
  <c r="AU39" i="5"/>
  <c r="AT28" i="5"/>
  <c r="AX28" i="5" s="1"/>
  <c r="AY28" i="5" s="1"/>
  <c r="AT519" i="5"/>
  <c r="AT357" i="5"/>
  <c r="AX356" i="5" s="1"/>
  <c r="AY356" i="5" s="1"/>
  <c r="AT107" i="5"/>
  <c r="AX107" i="5" s="1"/>
  <c r="AY107" i="5" s="1"/>
  <c r="AX135" i="5"/>
  <c r="AY135" i="5" s="1"/>
  <c r="AU493" i="5"/>
  <c r="AU177" i="5"/>
  <c r="AU131" i="5"/>
  <c r="AT51" i="5"/>
  <c r="AT246" i="5"/>
  <c r="AX245" i="5" s="1"/>
  <c r="AY245" i="5" s="1"/>
  <c r="AT442" i="5"/>
  <c r="AX479" i="5"/>
  <c r="AY479" i="5" s="1"/>
  <c r="AX552" i="5"/>
  <c r="AY552" i="5" s="1"/>
  <c r="AX456" i="5"/>
  <c r="AY456" i="5" s="1"/>
  <c r="AX159" i="5"/>
  <c r="AY159" i="5" s="1"/>
  <c r="AT89" i="5"/>
  <c r="AX286" i="5"/>
  <c r="AY286" i="5" s="1"/>
  <c r="AT516" i="5"/>
  <c r="AX515" i="5" s="1"/>
  <c r="AY515" i="5" s="1"/>
  <c r="AT41" i="5"/>
  <c r="AU71" i="5"/>
  <c r="AT367" i="5"/>
  <c r="AX367" i="5" s="1"/>
  <c r="AY367" i="5" s="1"/>
  <c r="AU86" i="5"/>
  <c r="AT190" i="5"/>
  <c r="AT152" i="5"/>
  <c r="AX151" i="5" s="1"/>
  <c r="AY151" i="5" s="1"/>
  <c r="AU273" i="5"/>
  <c r="AU439" i="5"/>
  <c r="AX311" i="5"/>
  <c r="AY311" i="5" s="1"/>
  <c r="AT88" i="5"/>
  <c r="AX87" i="5" s="1"/>
  <c r="AY87" i="5" s="1"/>
  <c r="AX407" i="5"/>
  <c r="AY407" i="5" s="1"/>
  <c r="AX328" i="5"/>
  <c r="AT156" i="5"/>
  <c r="AU195" i="5"/>
  <c r="AX349" i="5"/>
  <c r="AY349" i="5" s="1"/>
  <c r="AU368" i="5"/>
  <c r="B123" i="2"/>
  <c r="H29" i="1" s="1"/>
  <c r="AU355" i="5"/>
  <c r="AT334" i="5"/>
  <c r="AX333" i="5" s="1"/>
  <c r="AY333" i="5" s="1"/>
  <c r="AU276" i="5"/>
  <c r="AT30" i="5"/>
  <c r="AX30" i="5" s="1"/>
  <c r="AY30" i="5" s="1"/>
  <c r="AX523" i="5"/>
  <c r="AY523" i="5" s="1"/>
  <c r="AX169" i="5"/>
  <c r="AY169" i="5" s="1"/>
  <c r="AT415" i="5"/>
  <c r="AX415" i="5" s="1"/>
  <c r="AY415" i="5" s="1"/>
  <c r="AT531" i="5"/>
  <c r="AX531" i="5" s="1"/>
  <c r="AY531" i="5" s="1"/>
  <c r="AX503" i="5"/>
  <c r="AY503" i="5" s="1"/>
  <c r="AT431" i="5"/>
  <c r="AX431" i="5" s="1"/>
  <c r="AY431" i="5" s="1"/>
  <c r="AU372" i="5"/>
  <c r="AT242" i="5"/>
  <c r="AX241" i="5" s="1"/>
  <c r="AY241" i="5" s="1"/>
  <c r="AU389" i="5"/>
  <c r="AR97" i="4"/>
  <c r="AT97" i="4" s="1"/>
  <c r="AR45" i="4"/>
  <c r="AT45" i="4" s="1"/>
  <c r="AX488" i="5"/>
  <c r="AY488" i="5" s="1"/>
  <c r="AU250" i="5"/>
  <c r="AX520" i="5"/>
  <c r="AY520" i="5" s="1"/>
  <c r="AX251" i="5"/>
  <c r="AY251" i="5" s="1"/>
  <c r="AX368" i="5"/>
  <c r="AY368" i="5" s="1"/>
  <c r="AU507" i="5"/>
  <c r="AU474" i="5"/>
  <c r="AX449" i="5"/>
  <c r="AY449" i="5" s="1"/>
  <c r="AO32" i="4"/>
  <c r="AR32" i="4" s="1"/>
  <c r="AT32" i="4" s="1"/>
  <c r="AR17" i="4"/>
  <c r="AT17" i="4" s="1"/>
  <c r="AX350" i="5"/>
  <c r="AY350" i="5" s="1"/>
  <c r="AX392" i="5"/>
  <c r="AY392" i="5" s="1"/>
  <c r="AX34" i="5"/>
  <c r="AY34" i="5" s="1"/>
  <c r="AR123" i="4"/>
  <c r="AT123" i="4" s="1"/>
  <c r="AR111" i="4"/>
  <c r="AT111" i="4" s="1"/>
  <c r="AX180" i="5"/>
  <c r="AY180" i="5" s="1"/>
  <c r="AX287" i="5"/>
  <c r="AY287" i="5" s="1"/>
  <c r="AX505" i="5"/>
  <c r="AY505" i="5" s="1"/>
  <c r="AX434" i="5"/>
  <c r="AY434" i="5" s="1"/>
  <c r="AO95" i="4"/>
  <c r="AG95" i="4"/>
  <c r="AI95" i="4" s="1"/>
  <c r="AO116" i="4"/>
  <c r="AG116" i="4"/>
  <c r="AI116" i="4" s="1"/>
  <c r="AG35" i="4"/>
  <c r="AI35" i="4" s="1"/>
  <c r="AO35" i="4"/>
  <c r="AG134" i="4"/>
  <c r="AI134" i="4" s="1"/>
  <c r="AO134" i="4"/>
  <c r="AG69" i="4"/>
  <c r="AI69" i="4" s="1"/>
  <c r="AO69" i="4"/>
  <c r="AG20" i="4"/>
  <c r="AI20" i="4" s="1"/>
  <c r="AO20" i="4"/>
  <c r="AG38" i="4"/>
  <c r="AI38" i="4" s="1"/>
  <c r="AO38" i="4"/>
  <c r="AO54" i="4"/>
  <c r="AG54" i="4"/>
  <c r="AI54" i="4" s="1"/>
  <c r="AO126" i="4"/>
  <c r="AG126" i="4"/>
  <c r="AI126" i="4" s="1"/>
  <c r="AR70" i="4"/>
  <c r="AT70" i="4" s="1"/>
  <c r="AG23" i="4"/>
  <c r="AI23" i="4" s="1"/>
  <c r="AO23" i="4"/>
  <c r="AG127" i="4"/>
  <c r="AI127" i="4" s="1"/>
  <c r="AO127" i="4"/>
  <c r="AG109" i="4"/>
  <c r="AI109" i="4" s="1"/>
  <c r="AO109" i="4"/>
  <c r="AO100" i="4"/>
  <c r="AG100" i="4"/>
  <c r="AI100" i="4" s="1"/>
  <c r="AO64" i="4"/>
  <c r="AG64" i="4"/>
  <c r="AI64" i="4" s="1"/>
  <c r="AR44" i="4"/>
  <c r="AT44" i="4" s="1"/>
  <c r="AG8" i="4"/>
  <c r="AI8" i="4" s="1"/>
  <c r="AO8" i="4"/>
  <c r="AO128" i="4"/>
  <c r="AG128" i="4"/>
  <c r="AI128" i="4" s="1"/>
  <c r="AG150" i="4"/>
  <c r="AI150" i="4" s="1"/>
  <c r="AO150" i="4"/>
  <c r="AG86" i="4"/>
  <c r="AI86" i="4" s="1"/>
  <c r="AO86" i="4"/>
  <c r="AG77" i="4"/>
  <c r="AI77" i="4" s="1"/>
  <c r="AO77" i="4"/>
  <c r="AO47" i="4"/>
  <c r="AG47" i="4"/>
  <c r="AI47" i="4" s="1"/>
  <c r="AG93" i="4"/>
  <c r="AI93" i="4" s="1"/>
  <c r="AO93" i="4"/>
  <c r="AO7" i="4"/>
  <c r="AG7" i="4"/>
  <c r="AI7" i="4" s="1"/>
  <c r="AG148" i="4"/>
  <c r="AI148" i="4" s="1"/>
  <c r="AO148" i="4"/>
  <c r="AX338" i="5"/>
  <c r="AY338" i="5" s="1"/>
  <c r="AO135" i="4"/>
  <c r="AG135" i="4"/>
  <c r="AI135" i="4" s="1"/>
  <c r="AO14" i="4"/>
  <c r="AG14" i="4"/>
  <c r="AI14" i="4" s="1"/>
  <c r="AO157" i="4"/>
  <c r="AG157" i="4"/>
  <c r="AI157" i="4" s="1"/>
  <c r="AO137" i="4"/>
  <c r="AG137" i="4"/>
  <c r="AI137" i="4" s="1"/>
  <c r="AO63" i="4"/>
  <c r="AG63" i="4"/>
  <c r="AI63" i="4" s="1"/>
  <c r="AO39" i="4"/>
  <c r="AG39" i="4"/>
  <c r="AI39" i="4" s="1"/>
  <c r="AO52" i="4"/>
  <c r="AG52" i="4"/>
  <c r="AI52" i="4" s="1"/>
  <c r="AT9" i="5"/>
  <c r="AU9" i="5"/>
  <c r="AX341" i="5"/>
  <c r="AY341" i="5" s="1"/>
  <c r="AX86" i="5"/>
  <c r="AY86" i="5" s="1"/>
  <c r="AX498" i="5"/>
  <c r="AY498" i="5" s="1"/>
  <c r="AX314" i="5"/>
  <c r="AY314" i="5" s="1"/>
  <c r="AX264" i="5"/>
  <c r="AY264" i="5" s="1"/>
  <c r="AX224" i="5"/>
  <c r="AY224" i="5" s="1"/>
  <c r="AX183" i="5"/>
  <c r="AY183" i="5" s="1"/>
  <c r="AX464" i="5"/>
  <c r="AY464" i="5" s="1"/>
  <c r="AX84" i="5"/>
  <c r="AY84" i="5" s="1"/>
  <c r="AX39" i="5"/>
  <c r="AY39" i="5" s="1"/>
  <c r="AX447" i="5"/>
  <c r="AY447" i="5" s="1"/>
  <c r="AX33" i="5"/>
  <c r="AY33" i="5" s="1"/>
  <c r="AX362" i="5"/>
  <c r="AY362" i="5" s="1"/>
  <c r="AR114" i="4"/>
  <c r="AT114" i="4" s="1"/>
  <c r="AX355" i="5"/>
  <c r="AY355" i="5" s="1"/>
  <c r="AX279" i="5"/>
  <c r="AY279" i="5" s="1"/>
  <c r="AX160" i="5"/>
  <c r="AY160" i="5" s="1"/>
  <c r="AX260" i="5"/>
  <c r="AY260" i="5" s="1"/>
  <c r="AX435" i="5"/>
  <c r="AY435" i="5" s="1"/>
  <c r="AX369" i="5"/>
  <c r="AY369" i="5" s="1"/>
  <c r="AX188" i="5"/>
  <c r="AY188" i="5" s="1"/>
  <c r="AX252" i="5"/>
  <c r="AY252" i="5" s="1"/>
  <c r="AX199" i="5"/>
  <c r="AY199" i="5" s="1"/>
  <c r="AX329" i="5"/>
  <c r="AY329" i="5" s="1"/>
  <c r="AX274" i="5"/>
  <c r="AY274" i="5" s="1"/>
  <c r="AX165" i="5"/>
  <c r="AY165" i="5" s="1"/>
  <c r="AX283" i="5"/>
  <c r="AY283" i="5" s="1"/>
  <c r="AX481" i="5"/>
  <c r="AY481" i="5" s="1"/>
  <c r="AX395" i="5"/>
  <c r="AY395" i="5" s="1"/>
  <c r="AX364" i="5"/>
  <c r="AY364" i="5" s="1"/>
  <c r="AX137" i="5"/>
  <c r="AY137" i="5" s="1"/>
  <c r="AX424" i="5"/>
  <c r="AY424" i="5" s="1"/>
  <c r="AX79" i="5"/>
  <c r="AY79" i="5" s="1"/>
  <c r="AX379" i="5"/>
  <c r="AY379" i="5" s="1"/>
  <c r="AX432" i="5"/>
  <c r="AY432" i="5" s="1"/>
  <c r="AX269" i="5"/>
  <c r="AY269" i="5" s="1"/>
  <c r="AX211" i="5"/>
  <c r="AY211" i="5" s="1"/>
  <c r="AX489" i="5"/>
  <c r="AY489" i="5" s="1"/>
  <c r="AX85" i="5"/>
  <c r="AY85" i="5" s="1"/>
  <c r="AX25" i="5"/>
  <c r="AY25" i="5" s="1"/>
  <c r="AX288" i="5"/>
  <c r="AY288" i="5" s="1"/>
  <c r="AX265" i="5"/>
  <c r="AY265" i="5" s="1"/>
  <c r="AX372" i="5"/>
  <c r="AY372" i="5" s="1"/>
  <c r="AX303" i="5"/>
  <c r="AY303" i="5" s="1"/>
  <c r="AX342" i="5"/>
  <c r="AY342" i="5" s="1"/>
  <c r="AX43" i="5"/>
  <c r="AY43" i="5" s="1"/>
  <c r="AX146" i="5"/>
  <c r="AY146" i="5" s="1"/>
  <c r="AX270" i="5"/>
  <c r="AY270" i="5" s="1"/>
  <c r="AX176" i="5"/>
  <c r="AY176" i="5" s="1"/>
  <c r="AX187" i="5"/>
  <c r="AY187" i="5" s="1"/>
  <c r="AX398" i="5"/>
  <c r="AY398" i="5" s="1"/>
  <c r="AX421" i="5"/>
  <c r="AY421" i="5" s="1"/>
  <c r="AX337" i="5"/>
  <c r="AY337" i="5" s="1"/>
  <c r="AX345" i="5"/>
  <c r="AY345" i="5" s="1"/>
  <c r="AX223" i="5"/>
  <c r="AY223" i="5" s="1"/>
  <c r="AX413" i="5"/>
  <c r="AY413" i="5" s="1"/>
  <c r="AX380" i="5"/>
  <c r="AY380" i="5" s="1"/>
  <c r="AX386" i="5"/>
  <c r="AY386" i="5" s="1"/>
  <c r="AX130" i="5"/>
  <c r="AY130" i="5" s="1"/>
  <c r="AX63" i="5"/>
  <c r="AY63" i="5" s="1"/>
  <c r="AX331" i="5"/>
  <c r="AY331" i="5" s="1"/>
  <c r="AX261" i="5"/>
  <c r="AY261" i="5" s="1"/>
  <c r="AX205" i="5"/>
  <c r="AY205" i="5" s="1"/>
  <c r="AX426" i="5"/>
  <c r="AY426" i="5" s="1"/>
  <c r="AX511" i="5"/>
  <c r="AY511" i="5" s="1"/>
  <c r="AX161" i="5"/>
  <c r="AY161" i="5" s="1"/>
  <c r="AX282" i="5"/>
  <c r="AY282" i="5" s="1"/>
  <c r="AX438" i="5"/>
  <c r="AY438" i="5" s="1"/>
  <c r="AX37" i="5"/>
  <c r="AY37" i="5" s="1"/>
  <c r="AX273" i="5"/>
  <c r="AY273" i="5" s="1"/>
  <c r="AX537" i="5"/>
  <c r="AY537" i="5" s="1"/>
  <c r="AX83" i="5"/>
  <c r="AY83" i="5" s="1"/>
  <c r="AR92" i="4"/>
  <c r="AT92" i="4" s="1"/>
  <c r="AR121" i="4"/>
  <c r="AT121" i="4" s="1"/>
  <c r="AR154" i="4"/>
  <c r="AT154" i="4" s="1"/>
  <c r="AR156" i="4"/>
  <c r="AT156" i="4" s="1"/>
  <c r="AR50" i="4"/>
  <c r="AT50" i="4" s="1"/>
  <c r="AR29" i="4"/>
  <c r="AT29" i="4" s="1"/>
  <c r="AR138" i="4"/>
  <c r="AT138" i="4" s="1"/>
  <c r="AR104" i="4"/>
  <c r="AT104" i="4" s="1"/>
  <c r="AR113" i="4"/>
  <c r="AT113" i="4" s="1"/>
  <c r="AR147" i="4"/>
  <c r="AT147" i="4" s="1"/>
  <c r="AR51" i="4"/>
  <c r="AT51" i="4" s="1"/>
  <c r="AR122" i="4"/>
  <c r="AT122" i="4" s="1"/>
  <c r="AR65" i="4"/>
  <c r="AT65" i="4" s="1"/>
  <c r="AR124" i="4"/>
  <c r="AT124" i="4" s="1"/>
  <c r="AR88" i="4"/>
  <c r="AT88" i="4" s="1"/>
  <c r="AR90" i="4"/>
  <c r="AT90" i="4" s="1"/>
  <c r="AR11" i="4"/>
  <c r="AT11" i="4" s="1"/>
  <c r="AR146" i="4"/>
  <c r="AT146" i="4" s="1"/>
  <c r="AR33" i="4"/>
  <c r="AT33" i="4" s="1"/>
  <c r="AR131" i="4"/>
  <c r="AT131" i="4" s="1"/>
  <c r="AX394" i="5"/>
  <c r="AY394" i="5" s="1"/>
  <c r="AX166" i="5"/>
  <c r="AY166" i="5" s="1"/>
  <c r="AT13" i="5"/>
  <c r="AU13" i="5"/>
  <c r="AX436" i="5"/>
  <c r="AY436" i="5" s="1"/>
  <c r="AX44" i="5"/>
  <c r="AY44" i="5" s="1"/>
  <c r="AX92" i="5"/>
  <c r="AY92" i="5" s="1"/>
  <c r="AX381" i="5"/>
  <c r="AY381" i="5" s="1"/>
  <c r="AX215" i="5"/>
  <c r="AY215" i="5" s="1"/>
  <c r="AR28" i="4"/>
  <c r="AT28" i="4" s="1"/>
  <c r="AX280" i="5"/>
  <c r="AY280" i="5" s="1"/>
  <c r="AX125" i="5"/>
  <c r="AY125" i="5" s="1"/>
  <c r="AX476" i="5"/>
  <c r="AY476" i="5" s="1"/>
  <c r="AX445" i="5"/>
  <c r="AY445" i="5" s="1"/>
  <c r="AO91" i="4"/>
  <c r="AG91" i="4"/>
  <c r="AI91" i="4" s="1"/>
  <c r="AX225" i="5"/>
  <c r="AY225" i="5" s="1"/>
  <c r="AX24" i="5"/>
  <c r="AY24" i="5" s="1"/>
  <c r="AX448" i="5"/>
  <c r="AY448" i="5" s="1"/>
  <c r="AR80" i="4"/>
  <c r="AT80" i="4" s="1"/>
  <c r="AX256" i="5"/>
  <c r="AY256" i="5" s="1"/>
  <c r="AX275" i="5"/>
  <c r="AY275" i="5" s="1"/>
  <c r="AX32" i="5"/>
  <c r="AY32" i="5" s="1"/>
  <c r="AX504" i="5"/>
  <c r="AY504" i="5" s="1"/>
  <c r="AX319" i="5"/>
  <c r="AY319" i="5" s="1"/>
  <c r="AX393" i="5"/>
  <c r="AY393" i="5" s="1"/>
  <c r="AX467" i="5"/>
  <c r="AY467" i="5" s="1"/>
  <c r="F70" i="1"/>
  <c r="B231" i="2"/>
  <c r="F71" i="1" s="1"/>
  <c r="AX385" i="5"/>
  <c r="AY385" i="5" s="1"/>
  <c r="AX506" i="5"/>
  <c r="AY506" i="5" s="1"/>
  <c r="AX417" i="5"/>
  <c r="AY417" i="5" s="1"/>
  <c r="AX70" i="5"/>
  <c r="AY70" i="5" s="1"/>
  <c r="AR99" i="4"/>
  <c r="AT99" i="4" s="1"/>
  <c r="AX538" i="5"/>
  <c r="AY538" i="5" s="1"/>
  <c r="AX22" i="5"/>
  <c r="AY22" i="5" s="1"/>
  <c r="AX396" i="5"/>
  <c r="AY396" i="5" s="1"/>
  <c r="AX446" i="5"/>
  <c r="AY446" i="5" s="1"/>
  <c r="AX348" i="5"/>
  <c r="AY348" i="5" s="1"/>
  <c r="AX420" i="5"/>
  <c r="AY420" i="5" s="1"/>
  <c r="AX117" i="5"/>
  <c r="AY117" i="5" s="1"/>
  <c r="AX433" i="5"/>
  <c r="AY433" i="5" s="1"/>
  <c r="AX371" i="5"/>
  <c r="AY371" i="5" s="1"/>
  <c r="AX484" i="5"/>
  <c r="AY484" i="5" s="1"/>
  <c r="AX553" i="5"/>
  <c r="AY553" i="5" s="1"/>
  <c r="AX471" i="5"/>
  <c r="AY471" i="5" s="1"/>
  <c r="AX203" i="5"/>
  <c r="AY203" i="5" s="1"/>
  <c r="AX204" i="5"/>
  <c r="AY204" i="5" s="1"/>
  <c r="AX480" i="5"/>
  <c r="AY480" i="5" s="1"/>
  <c r="AX453" i="5"/>
  <c r="AY453" i="5" s="1"/>
  <c r="AR107" i="4"/>
  <c r="AT107" i="4" s="1"/>
  <c r="AX138" i="5"/>
  <c r="AY138" i="5" s="1"/>
  <c r="AX439" i="5"/>
  <c r="AY439" i="5" s="1"/>
  <c r="AX108" i="5"/>
  <c r="AY108" i="5" s="1"/>
  <c r="AR16" i="4"/>
  <c r="AT16" i="4" s="1"/>
  <c r="AX304" i="5"/>
  <c r="AY304" i="5" s="1"/>
  <c r="AX532" i="5"/>
  <c r="AY532" i="5" s="1"/>
  <c r="AX370" i="5"/>
  <c r="AY370" i="5" s="1"/>
  <c r="AR55" i="4"/>
  <c r="AT55" i="4" s="1"/>
  <c r="AR115" i="4"/>
  <c r="AT115" i="4" s="1"/>
  <c r="AR42" i="4"/>
  <c r="AT42" i="4" s="1"/>
  <c r="AX121" i="5"/>
  <c r="AY121" i="5" s="1"/>
  <c r="AX289" i="5"/>
  <c r="AY289" i="5" s="1"/>
  <c r="AX490" i="5"/>
  <c r="AY490" i="5" s="1"/>
  <c r="AX297" i="5"/>
  <c r="AX459" i="5"/>
  <c r="AY459" i="5" s="1"/>
  <c r="AX514" i="5"/>
  <c r="AY514" i="5" s="1"/>
  <c r="AX136" i="5"/>
  <c r="AY136" i="5" s="1"/>
  <c r="AR60" i="4"/>
  <c r="AT60" i="4" s="1"/>
  <c r="AX397" i="5"/>
  <c r="AY397" i="5" s="1"/>
  <c r="AX543" i="5"/>
  <c r="AY543" i="5" s="1"/>
  <c r="AX100" i="5"/>
  <c r="AY100" i="5" s="1"/>
  <c r="AX346" i="5"/>
  <c r="AY346" i="5" s="1"/>
  <c r="AX460" i="5"/>
  <c r="AY460" i="5" s="1"/>
  <c r="AX521" i="5"/>
  <c r="AY521" i="5" s="1"/>
  <c r="AX522" i="5"/>
  <c r="AY522" i="5" s="1"/>
  <c r="AO73" i="4"/>
  <c r="AG73" i="4"/>
  <c r="AI73" i="4" s="1"/>
  <c r="AX69" i="5"/>
  <c r="AY69" i="5" s="1"/>
  <c r="AX416" i="5"/>
  <c r="AY416" i="5" s="1"/>
  <c r="AX268" i="5"/>
  <c r="AY268" i="5" s="1"/>
  <c r="AX399" i="5"/>
  <c r="AY399" i="5" s="1"/>
  <c r="AX281" i="5"/>
  <c r="AY281" i="5" s="1"/>
  <c r="AX330" i="5"/>
  <c r="AY330" i="5" s="1"/>
  <c r="AX375" i="5"/>
  <c r="AY375" i="5" s="1"/>
  <c r="AX192" i="5"/>
  <c r="AY192" i="5" s="1"/>
  <c r="AX126" i="5"/>
  <c r="AY126" i="5" s="1"/>
  <c r="AX162" i="5"/>
  <c r="AY162" i="5" s="1"/>
  <c r="AX170" i="5"/>
  <c r="AY170" i="5" s="1"/>
  <c r="AX336" i="5"/>
  <c r="AY336" i="5" s="1"/>
  <c r="AX293" i="5"/>
  <c r="AY293" i="5" s="1"/>
  <c r="AR117" i="4"/>
  <c r="AT117" i="4" s="1"/>
  <c r="AX91" i="5"/>
  <c r="AY91" i="5" s="1"/>
  <c r="AR119" i="4"/>
  <c r="AT119" i="4" s="1"/>
  <c r="AX524" i="5"/>
  <c r="AY524" i="5" s="1"/>
  <c r="AX437" i="5"/>
  <c r="AY437" i="5" s="1"/>
  <c r="AR56" i="4"/>
  <c r="AT56" i="4" s="1"/>
  <c r="AX536" i="5"/>
  <c r="AY536" i="5" s="1"/>
  <c r="AX296" i="5"/>
  <c r="AY296" i="5" s="1"/>
  <c r="AX253" i="5"/>
  <c r="AY253" i="5" s="1"/>
  <c r="AX502" i="5"/>
  <c r="AY502" i="5" s="1"/>
  <c r="AX391" i="5"/>
  <c r="AY391" i="5" s="1"/>
  <c r="AX250" i="5"/>
  <c r="AY250" i="5" s="1"/>
  <c r="AX412" i="5"/>
  <c r="AY412" i="5" s="1"/>
  <c r="AX114" i="5"/>
  <c r="AY114" i="5" s="1"/>
  <c r="AR110" i="4"/>
  <c r="AT110" i="4" s="1"/>
  <c r="AX284" i="5"/>
  <c r="AY284" i="5" s="1"/>
  <c r="AX533" i="5"/>
  <c r="AY533" i="5" s="1"/>
  <c r="AX332" i="5"/>
  <c r="AY332" i="5" s="1"/>
  <c r="AX327" i="5"/>
  <c r="AY327" i="5" s="1"/>
  <c r="AR13" i="4"/>
  <c r="AT13" i="4" s="1"/>
  <c r="AX31" i="5"/>
  <c r="AY31" i="5" s="1"/>
  <c r="AR153" i="4"/>
  <c r="AT153" i="4" s="1"/>
  <c r="AX285" i="5"/>
  <c r="AY285" i="5" s="1"/>
  <c r="AX181" i="5"/>
  <c r="AY181" i="5" s="1"/>
  <c r="AX406" i="5"/>
  <c r="AY406" i="5" s="1"/>
  <c r="AX363" i="5"/>
  <c r="AY363" i="5" s="1"/>
  <c r="AX142" i="5"/>
  <c r="AY142" i="5" s="1"/>
  <c r="AX38" i="5"/>
  <c r="AY38" i="5" s="1"/>
  <c r="AX499" i="5"/>
  <c r="AY499" i="5" s="1"/>
  <c r="AR48" i="4"/>
  <c r="AT48" i="4" s="1"/>
  <c r="AX482" i="5" l="1"/>
  <c r="AY482" i="5" s="1"/>
  <c r="AY328" i="5"/>
  <c r="AX508" i="5"/>
  <c r="AY508" i="5" s="1"/>
  <c r="AY297" i="5"/>
  <c r="AO37" i="4"/>
  <c r="AR37" i="4" s="1"/>
  <c r="AT37" i="4" s="1"/>
  <c r="AX402" i="5"/>
  <c r="AY402" i="5" s="1"/>
  <c r="AX469" i="5"/>
  <c r="AY469" i="5" s="1"/>
  <c r="AX529" i="5"/>
  <c r="AY529" i="5" s="1"/>
  <c r="AX462" i="5"/>
  <c r="AY462" i="5" s="1"/>
  <c r="AX465" i="5"/>
  <c r="AY465" i="5" s="1"/>
  <c r="AX243" i="5"/>
  <c r="AY243" i="5" s="1"/>
  <c r="AX540" i="5"/>
  <c r="AY540" i="5" s="1"/>
  <c r="AR142" i="4"/>
  <c r="AT142" i="4" s="1"/>
  <c r="AX468" i="5"/>
  <c r="AY468" i="5" s="1"/>
  <c r="AX307" i="5"/>
  <c r="AY307" i="5" s="1"/>
  <c r="AX518" i="5"/>
  <c r="AY518" i="5" s="1"/>
  <c r="AX555" i="5"/>
  <c r="AY555" i="5" s="1"/>
  <c r="AX312" i="5"/>
  <c r="AY312" i="5" s="1"/>
  <c r="AX390" i="5"/>
  <c r="AY390" i="5" s="1"/>
  <c r="AX455" i="5"/>
  <c r="AY455" i="5" s="1"/>
  <c r="AX478" i="5"/>
  <c r="AY478" i="5" s="1"/>
  <c r="AX474" i="5"/>
  <c r="AY474" i="5" s="1"/>
  <c r="AX266" i="5"/>
  <c r="AY266" i="5" s="1"/>
  <c r="AX200" i="5"/>
  <c r="AY200" i="5" s="1"/>
  <c r="AX57" i="5"/>
  <c r="AY57" i="5" s="1"/>
  <c r="AX374" i="5"/>
  <c r="AY374" i="5" s="1"/>
  <c r="AX410" i="5"/>
  <c r="AY410" i="5" s="1"/>
  <c r="AR125" i="4"/>
  <c r="AT125" i="4" s="1"/>
  <c r="AX41" i="5"/>
  <c r="AY41" i="5" s="1"/>
  <c r="AG22" i="4"/>
  <c r="AI22" i="4" s="1"/>
  <c r="AR22" i="4" s="1"/>
  <c r="AT22" i="4" s="1"/>
  <c r="AX513" i="5"/>
  <c r="AY513" i="5" s="1"/>
  <c r="AX305" i="5"/>
  <c r="AY305" i="5" s="1"/>
  <c r="AX315" i="5"/>
  <c r="AY315" i="5" s="1"/>
  <c r="AX295" i="5"/>
  <c r="AY295" i="5" s="1"/>
  <c r="AX213" i="5"/>
  <c r="AY213" i="5" s="1"/>
  <c r="AX221" i="5"/>
  <c r="AY221" i="5" s="1"/>
  <c r="AX145" i="5"/>
  <c r="AY145" i="5" s="1"/>
  <c r="AX185" i="5"/>
  <c r="AY185" i="5" s="1"/>
  <c r="AX443" i="5"/>
  <c r="AY443" i="5" s="1"/>
  <c r="AX36" i="5"/>
  <c r="AY36" i="5" s="1"/>
  <c r="AX360" i="5"/>
  <c r="AY360" i="5" s="1"/>
  <c r="AX354" i="5"/>
  <c r="AY354" i="5" s="1"/>
  <c r="AX359" i="5"/>
  <c r="AY359" i="5" s="1"/>
  <c r="AX248" i="5"/>
  <c r="AY248" i="5" s="1"/>
  <c r="AX301" i="5"/>
  <c r="AY301" i="5" s="1"/>
  <c r="AX174" i="5"/>
  <c r="AY174" i="5" s="1"/>
  <c r="AX112" i="5"/>
  <c r="AY112" i="5" s="1"/>
  <c r="AX428" i="5"/>
  <c r="AY428" i="5" s="1"/>
  <c r="AX310" i="5"/>
  <c r="AY310" i="5" s="1"/>
  <c r="AX47" i="5"/>
  <c r="AY47" i="5" s="1"/>
  <c r="AX157" i="5"/>
  <c r="AY157" i="5" s="1"/>
  <c r="AX493" i="5"/>
  <c r="AY493" i="5" s="1"/>
  <c r="AX119" i="5"/>
  <c r="AY119" i="5" s="1"/>
  <c r="AX344" i="5"/>
  <c r="AY344" i="5" s="1"/>
  <c r="AX60" i="5"/>
  <c r="AY60" i="5" s="1"/>
  <c r="AX461" i="5"/>
  <c r="AY461" i="5" s="1"/>
  <c r="AX259" i="5"/>
  <c r="AY259" i="5" s="1"/>
  <c r="AX238" i="5"/>
  <c r="AY238" i="5" s="1"/>
  <c r="AX403" i="5"/>
  <c r="AY403" i="5" s="1"/>
  <c r="AX194" i="5"/>
  <c r="AY194" i="5" s="1"/>
  <c r="AX66" i="5"/>
  <c r="AY66" i="5" s="1"/>
  <c r="AX93" i="5"/>
  <c r="AY93" i="5" s="1"/>
  <c r="AX178" i="5"/>
  <c r="AY178" i="5" s="1"/>
  <c r="AX263" i="5"/>
  <c r="AY263" i="5" s="1"/>
  <c r="AX89" i="5"/>
  <c r="AY89" i="5" s="1"/>
  <c r="AX244" i="5"/>
  <c r="AY244" i="5" s="1"/>
  <c r="AX140" i="5"/>
  <c r="AY140" i="5" s="1"/>
  <c r="AX276" i="5"/>
  <c r="AY276" i="5" s="1"/>
  <c r="AX220" i="5"/>
  <c r="AY220" i="5" s="1"/>
  <c r="AX210" i="5"/>
  <c r="AY210" i="5" s="1"/>
  <c r="AX550" i="5"/>
  <c r="AY550" i="5" s="1"/>
  <c r="AX452" i="5"/>
  <c r="AY452" i="5" s="1"/>
  <c r="AX75" i="5"/>
  <c r="AY75" i="5" s="1"/>
  <c r="AX383" i="5"/>
  <c r="AY383" i="5" s="1"/>
  <c r="AX404" i="5"/>
  <c r="AY404" i="5" s="1"/>
  <c r="AX401" i="5"/>
  <c r="AY401" i="5" s="1"/>
  <c r="AX230" i="5"/>
  <c r="AY230" i="5" s="1"/>
  <c r="AX317" i="5"/>
  <c r="AY317" i="5" s="1"/>
  <c r="AX554" i="5"/>
  <c r="AY554" i="5" s="1"/>
  <c r="AX149" i="5"/>
  <c r="AY149" i="5" s="1"/>
  <c r="AX104" i="5"/>
  <c r="AY104" i="5" s="1"/>
  <c r="AX237" i="5"/>
  <c r="AY237" i="5" s="1"/>
  <c r="AX82" i="5"/>
  <c r="AY82" i="5" s="1"/>
  <c r="AX133" i="5"/>
  <c r="AY133" i="5" s="1"/>
  <c r="AX110" i="5"/>
  <c r="AY110" i="5" s="1"/>
  <c r="AX377" i="5"/>
  <c r="AY377" i="5" s="1"/>
  <c r="AX217" i="5"/>
  <c r="AY217" i="5" s="1"/>
  <c r="AX228" i="5"/>
  <c r="AY228" i="5" s="1"/>
  <c r="AX98" i="5"/>
  <c r="AY98" i="5" s="1"/>
  <c r="AX492" i="5"/>
  <c r="AY492" i="5" s="1"/>
  <c r="AX501" i="5"/>
  <c r="AY501" i="5" s="1"/>
  <c r="AX496" i="5"/>
  <c r="AY496" i="5" s="1"/>
  <c r="AX74" i="5"/>
  <c r="AY74" i="5" s="1"/>
  <c r="AX167" i="5"/>
  <c r="AY167" i="5" s="1"/>
  <c r="AX405" i="5"/>
  <c r="AY405" i="5" s="1"/>
  <c r="AX131" i="5"/>
  <c r="AY131" i="5" s="1"/>
  <c r="AX387" i="5"/>
  <c r="AY387" i="5" s="1"/>
  <c r="AX65" i="5"/>
  <c r="AY65" i="5" s="1"/>
  <c r="AX400" i="5"/>
  <c r="AY400" i="5" s="1"/>
  <c r="AX156" i="5"/>
  <c r="AY156" i="5" s="1"/>
  <c r="AX64" i="5"/>
  <c r="AY64" i="5" s="1"/>
  <c r="AX409" i="5"/>
  <c r="AY409" i="5" s="1"/>
  <c r="AX196" i="5"/>
  <c r="AY196" i="5" s="1"/>
  <c r="AX473" i="5"/>
  <c r="AY473" i="5" s="1"/>
  <c r="AX528" i="5"/>
  <c r="AY528" i="5" s="1"/>
  <c r="AO133" i="4"/>
  <c r="AR133" i="4" s="1"/>
  <c r="AT133" i="4" s="1"/>
  <c r="AX291" i="5"/>
  <c r="AY291" i="5" s="1"/>
  <c r="AX527" i="5"/>
  <c r="AY527" i="5" s="1"/>
  <c r="AR12" i="4"/>
  <c r="AT12" i="4" s="1"/>
  <c r="AX320" i="5"/>
  <c r="AY320" i="5" s="1"/>
  <c r="AX271" i="5"/>
  <c r="AY271" i="5" s="1"/>
  <c r="AX558" i="5"/>
  <c r="AY558" i="5" s="1"/>
  <c r="AX249" i="5"/>
  <c r="AY249" i="5" s="1"/>
  <c r="AX510" i="5"/>
  <c r="AY510" i="5" s="1"/>
  <c r="AX322" i="5"/>
  <c r="AY322" i="5" s="1"/>
  <c r="AG26" i="4"/>
  <c r="AI26" i="4" s="1"/>
  <c r="AO26" i="4"/>
  <c r="AX340" i="5"/>
  <c r="AY340" i="5" s="1"/>
  <c r="AX298" i="5"/>
  <c r="AY298" i="5" s="1"/>
  <c r="AK155" i="4"/>
  <c r="AA130" i="4"/>
  <c r="AC130" i="4" s="1"/>
  <c r="AD130" i="4" s="1"/>
  <c r="AA144" i="4"/>
  <c r="AC144" i="4" s="1"/>
  <c r="AD144" i="4" s="1"/>
  <c r="AA155" i="4"/>
  <c r="AC155" i="4" s="1"/>
  <c r="AD155" i="4" s="1"/>
  <c r="AX235" i="5"/>
  <c r="AY235" i="5" s="1"/>
  <c r="AX292" i="5"/>
  <c r="AY292" i="5" s="1"/>
  <c r="AX486" i="5"/>
  <c r="AY486" i="5" s="1"/>
  <c r="AX497" i="5"/>
  <c r="AY497" i="5" s="1"/>
  <c r="AX457" i="5"/>
  <c r="AY457" i="5" s="1"/>
  <c r="AR84" i="4"/>
  <c r="AT84" i="4" s="1"/>
  <c r="AR79" i="4"/>
  <c r="AT79" i="4" s="1"/>
  <c r="AK144" i="4"/>
  <c r="AX325" i="5"/>
  <c r="AY325" i="5" s="1"/>
  <c r="AG130" i="4"/>
  <c r="AI130" i="4" s="1"/>
  <c r="AO130" i="4"/>
  <c r="AO62" i="4"/>
  <c r="AG62" i="4"/>
  <c r="AI62" i="4" s="1"/>
  <c r="AG10" i="4"/>
  <c r="AI10" i="4" s="1"/>
  <c r="AO10" i="4"/>
  <c r="AK141" i="4"/>
  <c r="AF141" i="4"/>
  <c r="AO101" i="4"/>
  <c r="AG101" i="4"/>
  <c r="AI101" i="4" s="1"/>
  <c r="AG144" i="4"/>
  <c r="AI144" i="4" s="1"/>
  <c r="AO144" i="4"/>
  <c r="AG94" i="4"/>
  <c r="AI94" i="4" s="1"/>
  <c r="AO94" i="4"/>
  <c r="AO58" i="4"/>
  <c r="AG58" i="4"/>
  <c r="AI58" i="4" s="1"/>
  <c r="AK130" i="4"/>
  <c r="AR132" i="4"/>
  <c r="AT132" i="4" s="1"/>
  <c r="AG24" i="4"/>
  <c r="AI24" i="4" s="1"/>
  <c r="AO24" i="4"/>
  <c r="AR105" i="4"/>
  <c r="AT105" i="4" s="1"/>
  <c r="AO155" i="4"/>
  <c r="AG155" i="4"/>
  <c r="AI155" i="4" s="1"/>
  <c r="AR140" i="4"/>
  <c r="AT140" i="4" s="1"/>
  <c r="AG83" i="4"/>
  <c r="AI83" i="4" s="1"/>
  <c r="AO83" i="4"/>
  <c r="AG34" i="4"/>
  <c r="AI34" i="4" s="1"/>
  <c r="AO34" i="4"/>
  <c r="AG59" i="4"/>
  <c r="AI59" i="4" s="1"/>
  <c r="AO59" i="4"/>
  <c r="AG21" i="4"/>
  <c r="AI21" i="4" s="1"/>
  <c r="AO21" i="4"/>
  <c r="AX207" i="5"/>
  <c r="AY207" i="5" s="1"/>
  <c r="AX233" i="5"/>
  <c r="AY233" i="5" s="1"/>
  <c r="AR76" i="4"/>
  <c r="AT76" i="4" s="1"/>
  <c r="AX549" i="5"/>
  <c r="AY549" i="5" s="1"/>
  <c r="AX195" i="5"/>
  <c r="AY195" i="5" s="1"/>
  <c r="AX546" i="5"/>
  <c r="AY546" i="5" s="1"/>
  <c r="AX442" i="5"/>
  <c r="AY442" i="5" s="1"/>
  <c r="AR86" i="4"/>
  <c r="AT86" i="4" s="1"/>
  <c r="AR8" i="4"/>
  <c r="AT8" i="4" s="1"/>
  <c r="AR54" i="4"/>
  <c r="AT54" i="4" s="1"/>
  <c r="AX352" i="5"/>
  <c r="AY352" i="5" s="1"/>
  <c r="AX422" i="5"/>
  <c r="AY422" i="5" s="1"/>
  <c r="AX51" i="5"/>
  <c r="AY51" i="5" s="1"/>
  <c r="AX545" i="5"/>
  <c r="AY545" i="5" s="1"/>
  <c r="AX534" i="5"/>
  <c r="AY534" i="5" s="1"/>
  <c r="AX419" i="5"/>
  <c r="AY419" i="5" s="1"/>
  <c r="AX190" i="5"/>
  <c r="AY190" i="5" s="1"/>
  <c r="AX55" i="5"/>
  <c r="AY55" i="5" s="1"/>
  <c r="AX541" i="5"/>
  <c r="AY541" i="5" s="1"/>
  <c r="AX526" i="5"/>
  <c r="AY526" i="5" s="1"/>
  <c r="AX246" i="5"/>
  <c r="AY246" i="5" s="1"/>
  <c r="AX357" i="5"/>
  <c r="AY357" i="5" s="1"/>
  <c r="AX95" i="5"/>
  <c r="AY95" i="5" s="1"/>
  <c r="AX124" i="5"/>
  <c r="AY124" i="5" s="1"/>
  <c r="AX106" i="5"/>
  <c r="AY106" i="5" s="1"/>
  <c r="AX164" i="5"/>
  <c r="AY164" i="5" s="1"/>
  <c r="AX61" i="5"/>
  <c r="AY61" i="5" s="1"/>
  <c r="AX171" i="5"/>
  <c r="AY171" i="5" s="1"/>
  <c r="AX154" i="5"/>
  <c r="AY154" i="5" s="1"/>
  <c r="AX152" i="5"/>
  <c r="AY152" i="5" s="1"/>
  <c r="AX27" i="5"/>
  <c r="AY27" i="5" s="1"/>
  <c r="AX516" i="5"/>
  <c r="AY516" i="5" s="1"/>
  <c r="AX227" i="5"/>
  <c r="AY227" i="5" s="1"/>
  <c r="AX88" i="5"/>
  <c r="AY88" i="5" s="1"/>
  <c r="AX519" i="5"/>
  <c r="AY519" i="5" s="1"/>
  <c r="AX366" i="5"/>
  <c r="AY366" i="5" s="1"/>
  <c r="AX242" i="5"/>
  <c r="AY242" i="5" s="1"/>
  <c r="AX189" i="5"/>
  <c r="AY189" i="5" s="1"/>
  <c r="AX441" i="5"/>
  <c r="AY441" i="5" s="1"/>
  <c r="B128" i="2"/>
  <c r="B134" i="2" s="1"/>
  <c r="AX50" i="5"/>
  <c r="AY50" i="5" s="1"/>
  <c r="AX40" i="5"/>
  <c r="AY40" i="5" s="1"/>
  <c r="AX29" i="5"/>
  <c r="AY29" i="5" s="1"/>
  <c r="AX414" i="5"/>
  <c r="AY414" i="5" s="1"/>
  <c r="AX155" i="5"/>
  <c r="AY155" i="5" s="1"/>
  <c r="AX334" i="5"/>
  <c r="AY334" i="5" s="1"/>
  <c r="AX430" i="5"/>
  <c r="AY430" i="5" s="1"/>
  <c r="K142" i="2"/>
  <c r="B131" i="2"/>
  <c r="B132" i="2" s="1"/>
  <c r="AR20" i="4"/>
  <c r="AT20" i="4" s="1"/>
  <c r="AX530" i="5"/>
  <c r="AY530" i="5" s="1"/>
  <c r="AR23" i="4"/>
  <c r="AT23" i="4" s="1"/>
  <c r="AR135" i="4"/>
  <c r="AT135" i="4" s="1"/>
  <c r="AR109" i="4"/>
  <c r="AT109" i="4" s="1"/>
  <c r="AR127" i="4"/>
  <c r="AT127" i="4" s="1"/>
  <c r="AR38" i="4"/>
  <c r="AT38" i="4" s="1"/>
  <c r="AR35" i="4"/>
  <c r="AT35" i="4" s="1"/>
  <c r="AR39" i="4"/>
  <c r="AT39" i="4" s="1"/>
  <c r="AR100" i="4"/>
  <c r="AT100" i="4" s="1"/>
  <c r="AR95" i="4"/>
  <c r="AT95" i="4" s="1"/>
  <c r="AR52" i="4"/>
  <c r="AT52" i="4" s="1"/>
  <c r="AR157" i="4"/>
  <c r="AT157" i="4" s="1"/>
  <c r="AR47" i="4"/>
  <c r="AT47" i="4" s="1"/>
  <c r="AR64" i="4"/>
  <c r="AT64" i="4" s="1"/>
  <c r="AR116" i="4"/>
  <c r="AT116" i="4" s="1"/>
  <c r="AR128" i="4"/>
  <c r="AT128" i="4" s="1"/>
  <c r="AR14" i="4"/>
  <c r="AT14" i="4" s="1"/>
  <c r="AR148" i="4"/>
  <c r="AT148" i="4" s="1"/>
  <c r="AR63" i="4"/>
  <c r="AT63" i="4" s="1"/>
  <c r="AR7" i="4"/>
  <c r="AT7" i="4" s="1"/>
  <c r="AR77" i="4"/>
  <c r="AT77" i="4" s="1"/>
  <c r="AR126" i="4"/>
  <c r="AT126" i="4" s="1"/>
  <c r="AR69" i="4"/>
  <c r="AT69" i="4" s="1"/>
  <c r="AR150" i="4"/>
  <c r="AT150" i="4" s="1"/>
  <c r="AR137" i="4"/>
  <c r="AT137" i="4" s="1"/>
  <c r="AR93" i="4"/>
  <c r="AT93" i="4" s="1"/>
  <c r="AR134" i="4"/>
  <c r="AT134" i="4" s="1"/>
  <c r="AR73" i="4"/>
  <c r="AT73" i="4" s="1"/>
  <c r="AR91" i="4"/>
  <c r="AT91" i="4" s="1"/>
  <c r="AR26" i="4" l="1"/>
  <c r="AT26" i="4" s="1"/>
  <c r="AR59" i="4"/>
  <c r="AT59" i="4" s="1"/>
  <c r="AR94" i="4"/>
  <c r="AT94" i="4" s="1"/>
  <c r="AR10" i="4"/>
  <c r="AT10" i="4" s="1"/>
  <c r="AR34" i="4"/>
  <c r="AT34" i="4" s="1"/>
  <c r="AR24" i="4"/>
  <c r="AT24" i="4" s="1"/>
  <c r="AR144" i="4"/>
  <c r="AT144" i="4" s="1"/>
  <c r="AR155" i="4"/>
  <c r="AT155" i="4" s="1"/>
  <c r="AR130" i="4"/>
  <c r="AT130" i="4" s="1"/>
  <c r="AR21" i="4"/>
  <c r="AT21" i="4" s="1"/>
  <c r="AG141" i="4"/>
  <c r="AI141" i="4" s="1"/>
  <c r="AO141" i="4"/>
  <c r="AR58" i="4"/>
  <c r="AT58" i="4" s="1"/>
  <c r="AR62" i="4"/>
  <c r="AT62" i="4" s="1"/>
  <c r="AR83" i="4"/>
  <c r="AT83" i="4" s="1"/>
  <c r="AR101" i="4"/>
  <c r="AT101" i="4" s="1"/>
  <c r="AY14" i="5"/>
  <c r="D69" i="5" s="1"/>
  <c r="B69" i="5" s="1"/>
  <c r="A69" i="5" s="1"/>
  <c r="L68" i="1" s="1"/>
  <c r="K136" i="2"/>
  <c r="B136" i="2" s="1"/>
  <c r="H31" i="1" s="1"/>
  <c r="AY12" i="5"/>
  <c r="D68" i="5" s="1"/>
  <c r="B68" i="5" s="1"/>
  <c r="A68" i="5" s="1"/>
  <c r="L67" i="1" s="1"/>
  <c r="B135" i="2"/>
  <c r="H30" i="1" s="1"/>
  <c r="AR141" i="4" l="1"/>
  <c r="AT141"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BMC-BCS</author>
    <author>Schauer, Stefan</author>
  </authors>
  <commentList>
    <comment ref="A3" authorId="0" shapeId="0" xr:uid="{00000000-0006-0000-0000-000001000000}">
      <text>
        <r>
          <rPr>
            <b/>
            <sz val="11"/>
            <color indexed="10"/>
            <rFont val="Tahoma"/>
            <family val="2"/>
          </rPr>
          <t>Welcome to the LM5155 Design Tool</t>
        </r>
        <r>
          <rPr>
            <sz val="9"/>
            <color indexed="81"/>
            <rFont val="Tahoma"/>
            <family val="2"/>
          </rPr>
          <t xml:space="preserve">
This stand-alone tool facilitates and assists the power supply engineer with design of a DC-DC boost converter based on the LM5155 boost controller. As such, the user can expeditiously arrive at an optimized design by virtue of the following:
- Select components
- Optimize compensation values and pole/zero placement in terms of control loop stability using crossover frquency as a performance metric
- Inspect regulator efficiency and component power dissipation
- Analyze efficiency based on selected MOSFET, inductor and diode parameters
Note: When not using an english Excel version and a #name error is displayed after change a value try pressing Shift+ALT+CTRL+F9 and change the value again.
IMPORTANT: You must enable macros if Microsoft Excel asks as the file is being opened. U.S. English notation is used throughout. Make sure to input or select values in all of the yellow shaded cells even if a value already exists in that cell. Do not over write equations in cells, as this may result in calculation errors.
</t>
        </r>
      </text>
    </comment>
    <comment ref="G7" authorId="0" shapeId="0" xr:uid="{00000000-0006-0000-0000-000003000000}">
      <text>
        <r>
          <rPr>
            <b/>
            <sz val="9"/>
            <color indexed="81"/>
            <rFont val="Tahoma"/>
            <family val="2"/>
          </rPr>
          <t xml:space="preserve">Minimum Input Voltage:
</t>
        </r>
        <r>
          <rPr>
            <sz val="9"/>
            <color indexed="81"/>
            <rFont val="Tahoma"/>
            <family val="2"/>
          </rPr>
          <t>Enter the minimum operating input voltage.
The LM5155 BIAS pin voltage operating range is 3.5V to 45V.
The LM5156 BIAS pin voltage operating range is 3.5V to 60V.
If low voltage operation is required the BIAS pin can be supplied with V</t>
        </r>
        <r>
          <rPr>
            <vertAlign val="subscript"/>
            <sz val="9"/>
            <color indexed="81"/>
            <rFont val="Tahoma"/>
            <family val="2"/>
          </rPr>
          <t>OUT</t>
        </r>
        <r>
          <rPr>
            <sz val="9"/>
            <color indexed="81"/>
            <rFont val="Tahoma"/>
            <family val="2"/>
          </rPr>
          <t xml:space="preserve"> extending operation to 1.5V</t>
        </r>
        <r>
          <rPr>
            <b/>
            <sz val="9"/>
            <color indexed="81"/>
            <rFont val="Tahoma"/>
            <family val="2"/>
          </rPr>
          <t xml:space="preserve">
</t>
        </r>
        <r>
          <rPr>
            <b/>
            <sz val="9"/>
            <color indexed="52"/>
            <rFont val="Tahoma"/>
            <family val="2"/>
          </rPr>
          <t>The text in the cell is flagged orange if:</t>
        </r>
        <r>
          <rPr>
            <b/>
            <sz val="9"/>
            <color indexed="81"/>
            <rFont val="Tahoma"/>
            <family val="2"/>
          </rPr>
          <t xml:space="preserve">
</t>
        </r>
        <r>
          <rPr>
            <sz val="9"/>
            <color indexed="81"/>
            <rFont val="Tahoma"/>
            <family val="2"/>
          </rPr>
          <t>-The input voltage is above 45V</t>
        </r>
        <r>
          <rPr>
            <b/>
            <sz val="9"/>
            <color indexed="81"/>
            <rFont val="Tahoma"/>
            <family val="2"/>
          </rPr>
          <t xml:space="preserve">
</t>
        </r>
        <r>
          <rPr>
            <b/>
            <sz val="9"/>
            <color indexed="10"/>
            <rFont val="Tahoma"/>
            <family val="2"/>
          </rPr>
          <t>The text in the cell is flagged red if:</t>
        </r>
        <r>
          <rPr>
            <b/>
            <sz val="9"/>
            <color indexed="81"/>
            <rFont val="Tahoma"/>
            <family val="2"/>
          </rPr>
          <t xml:space="preserve">
</t>
        </r>
        <r>
          <rPr>
            <sz val="9"/>
            <color indexed="81"/>
            <rFont val="Tahoma"/>
            <family val="2"/>
          </rPr>
          <t>-The input voltage is above 60V
-The input voltage is below 1.5V</t>
        </r>
      </text>
    </comment>
    <comment ref="G8" authorId="0" shapeId="0" xr:uid="{00000000-0006-0000-0000-000004000000}">
      <text>
        <r>
          <rPr>
            <b/>
            <sz val="9"/>
            <color indexed="81"/>
            <rFont val="Tahoma"/>
            <family val="2"/>
          </rPr>
          <t xml:space="preserve">Nominal Input Voltage:
</t>
        </r>
        <r>
          <rPr>
            <sz val="9"/>
            <color indexed="81"/>
            <rFont val="Tahoma"/>
            <family val="2"/>
          </rPr>
          <t>Enter the nominal operating input voltage.
The LM5155 input voltage operating range is 1.5V to 45V.</t>
        </r>
        <r>
          <rPr>
            <b/>
            <sz val="9"/>
            <color indexed="81"/>
            <rFont val="Tahoma"/>
            <family val="2"/>
          </rPr>
          <t xml:space="preserve">
</t>
        </r>
        <r>
          <rPr>
            <sz val="9"/>
            <color indexed="81"/>
            <rFont val="Tahoma"/>
            <family val="2"/>
          </rPr>
          <t xml:space="preserve">The LM5156 input voltage operating range is 1.5V to 60V.
</t>
        </r>
        <r>
          <rPr>
            <b/>
            <sz val="9"/>
            <color indexed="81"/>
            <rFont val="Tahoma"/>
            <family val="2"/>
          </rPr>
          <t xml:space="preserve">
</t>
        </r>
        <r>
          <rPr>
            <b/>
            <sz val="9"/>
            <color indexed="10"/>
            <rFont val="Tahoma"/>
            <family val="2"/>
          </rPr>
          <t>The text in the cell is flagged red if:</t>
        </r>
        <r>
          <rPr>
            <b/>
            <sz val="9"/>
            <color indexed="81"/>
            <rFont val="Tahoma"/>
            <family val="2"/>
          </rPr>
          <t xml:space="preserve">
</t>
        </r>
        <r>
          <rPr>
            <sz val="9"/>
            <color indexed="81"/>
            <rFont val="Tahoma"/>
            <family val="2"/>
          </rPr>
          <t>-The input voltage is above V</t>
        </r>
        <r>
          <rPr>
            <vertAlign val="subscript"/>
            <sz val="9"/>
            <color indexed="81"/>
            <rFont val="Tahoma"/>
            <family val="2"/>
          </rPr>
          <t>SUPPLY</t>
        </r>
        <r>
          <rPr>
            <sz val="9"/>
            <color indexed="81"/>
            <rFont val="Tahoma"/>
            <family val="2"/>
          </rPr>
          <t>(max)
-The input voltage is below V</t>
        </r>
        <r>
          <rPr>
            <vertAlign val="subscript"/>
            <sz val="9"/>
            <color indexed="81"/>
            <rFont val="Tahoma"/>
            <family val="2"/>
          </rPr>
          <t>SUPPLY</t>
        </r>
        <r>
          <rPr>
            <sz val="9"/>
            <color indexed="81"/>
            <rFont val="Tahoma"/>
            <family val="2"/>
          </rPr>
          <t>(min)</t>
        </r>
      </text>
    </comment>
    <comment ref="G9" authorId="0" shapeId="0" xr:uid="{00000000-0006-0000-0000-000005000000}">
      <text>
        <r>
          <rPr>
            <b/>
            <sz val="9"/>
            <color indexed="81"/>
            <rFont val="Tahoma"/>
            <family val="2"/>
          </rPr>
          <t>Maximum Input Voltage:</t>
        </r>
        <r>
          <rPr>
            <sz val="9"/>
            <color indexed="81"/>
            <rFont val="Tahoma"/>
            <family val="2"/>
          </rPr>
          <t xml:space="preserve">
Enter the maximum operating input voltage.
The LM5155 input voltage operating range is 1.5V to 45V.
The LM5156 input voltage operating range is 1.5V to 60V.
</t>
        </r>
        <r>
          <rPr>
            <b/>
            <sz val="9"/>
            <color indexed="10"/>
            <rFont val="Tahoma"/>
            <family val="2"/>
          </rPr>
          <t xml:space="preserve">
</t>
        </r>
        <r>
          <rPr>
            <b/>
            <sz val="9"/>
            <color indexed="52"/>
            <rFont val="Tahoma"/>
            <family val="2"/>
          </rPr>
          <t>The text in the cell is flagged orange if:</t>
        </r>
        <r>
          <rPr>
            <b/>
            <sz val="9"/>
            <color indexed="10"/>
            <rFont val="Tahoma"/>
            <family val="2"/>
          </rPr>
          <t xml:space="preserve">
</t>
        </r>
        <r>
          <rPr>
            <sz val="9"/>
            <color indexed="81"/>
            <rFont val="Tahoma"/>
            <family val="2"/>
          </rPr>
          <t>-The input voltage is above 45V</t>
        </r>
        <r>
          <rPr>
            <b/>
            <sz val="9"/>
            <color indexed="10"/>
            <rFont val="Tahoma"/>
            <family val="2"/>
          </rPr>
          <t xml:space="preserve">
The text in the cell is flagged red if:</t>
        </r>
        <r>
          <rPr>
            <sz val="9"/>
            <color indexed="81"/>
            <rFont val="Tahoma"/>
            <family val="2"/>
          </rPr>
          <t xml:space="preserve">
-The input voltage is above 60V
-The input voltage is below 1.5V
</t>
        </r>
      </text>
    </comment>
    <comment ref="G10" authorId="0" shapeId="0" xr:uid="{00000000-0006-0000-0000-000006000000}">
      <text>
        <r>
          <rPr>
            <b/>
            <sz val="9"/>
            <color indexed="81"/>
            <rFont val="Tahoma"/>
            <family val="2"/>
          </rPr>
          <t>Output Voltage:</t>
        </r>
        <r>
          <rPr>
            <sz val="9"/>
            <color indexed="81"/>
            <rFont val="Tahoma"/>
            <family val="2"/>
          </rPr>
          <t xml:space="preserve">
Enter the desired output voltage.
</t>
        </r>
      </text>
    </comment>
    <comment ref="G12" authorId="0" shapeId="0" xr:uid="{00000000-0006-0000-0000-000007000000}">
      <text>
        <r>
          <rPr>
            <b/>
            <sz val="9"/>
            <color indexed="81"/>
            <rFont val="Tahoma"/>
            <family val="2"/>
          </rPr>
          <t>Operating Frequency (set by RT):</t>
        </r>
        <r>
          <rPr>
            <sz val="9"/>
            <color indexed="81"/>
            <rFont val="Tahoma"/>
            <family val="2"/>
          </rPr>
          <t xml:space="preserve">
This cell defines the free-running switching frequency set by the RT resistor. 
</t>
        </r>
        <r>
          <rPr>
            <sz val="11"/>
            <color indexed="10"/>
            <rFont val="Calibri"/>
            <family val="2"/>
            <scheme val="minor"/>
          </rPr>
          <t>The text in the cell is flagged red if:</t>
        </r>
        <r>
          <rPr>
            <sz val="9"/>
            <color indexed="81"/>
            <rFont val="Tahoma"/>
            <family val="2"/>
          </rPr>
          <t xml:space="preserve">
-The frequency is below 100 kHz
-The frequency is above 2.2 MHz</t>
        </r>
      </text>
    </comment>
    <comment ref="G14" authorId="0" shapeId="0" xr:uid="{00000000-0006-0000-0000-000008000000}">
      <text>
        <r>
          <rPr>
            <b/>
            <sz val="9"/>
            <color indexed="81"/>
            <rFont val="Tahoma"/>
            <family val="2"/>
          </rPr>
          <t xml:space="preserve">Estimated Efficiency
</t>
        </r>
        <r>
          <rPr>
            <sz val="9"/>
            <color indexed="81"/>
            <rFont val="Tahoma"/>
            <family val="2"/>
          </rPr>
          <t>A good estimate at full load current and Vsupply(min) is around the 90% to 93% range</t>
        </r>
      </text>
    </comment>
    <comment ref="G16" authorId="0" shapeId="0" xr:uid="{00000000-0006-0000-0000-000009000000}">
      <text>
        <r>
          <rPr>
            <b/>
            <sz val="9"/>
            <color indexed="81"/>
            <rFont val="Tahoma"/>
            <family val="2"/>
          </rPr>
          <t xml:space="preserve">Maximum duty cycle
</t>
        </r>
        <r>
          <rPr>
            <sz val="9"/>
            <color indexed="81"/>
            <rFont val="Tahoma"/>
            <family val="2"/>
          </rPr>
          <t xml:space="preserve">Limit of the LM5155. See the datasheet for more detail on how the maximum duty cycle changes with switching frequency
</t>
        </r>
      </text>
    </comment>
    <comment ref="G17" authorId="1" shapeId="0" xr:uid="{08B8E066-477C-411E-B516-1DCAD11E8DA9}">
      <text>
        <r>
          <rPr>
            <b/>
            <sz val="9"/>
            <color indexed="81"/>
            <rFont val="Tahoma"/>
            <family val="2"/>
          </rPr>
          <t xml:space="preserve">Ideal Duty Cycle at Vsupply(MIN):
</t>
        </r>
        <r>
          <rPr>
            <sz val="9"/>
            <color indexed="81"/>
            <rFont val="Tahoma"/>
            <family val="2"/>
          </rPr>
          <t xml:space="preserve">
Calculated with  1- (VIN_min/VOUT). 
</t>
        </r>
        <r>
          <rPr>
            <b/>
            <sz val="9"/>
            <color indexed="10"/>
            <rFont val="Tahoma"/>
            <family val="2"/>
          </rPr>
          <t xml:space="preserve">The text in the cell is flagged red if:
</t>
        </r>
        <r>
          <rPr>
            <sz val="9"/>
            <color indexed="81"/>
            <rFont val="Tahoma"/>
            <family val="2"/>
          </rPr>
          <t xml:space="preserve">- The duty cycle is above the Limit value (in the cell above)
  Based on the limits given in the datasheet
</t>
        </r>
      </text>
    </comment>
    <comment ref="G18" authorId="1" shapeId="0" xr:uid="{74A21C24-1F16-4017-9418-3CDE4814AE31}">
      <text>
        <r>
          <rPr>
            <b/>
            <sz val="9"/>
            <color indexed="81"/>
            <rFont val="Tahoma"/>
            <family val="2"/>
          </rPr>
          <t xml:space="preserve">Select the Operation mode:
</t>
        </r>
        <r>
          <rPr>
            <sz val="9"/>
            <color indexed="81"/>
            <rFont val="Tahoma"/>
            <family val="2"/>
          </rPr>
          <t xml:space="preserve">Select the operation mode at maximum load:
CCM: Continious Contuction Mode
DCM: Discontinious Contuction Mode
</t>
        </r>
      </text>
    </comment>
    <comment ref="G21" authorId="0" shapeId="0" xr:uid="{00000000-0006-0000-0000-00000A000000}">
      <text>
        <r>
          <rPr>
            <b/>
            <sz val="9"/>
            <color indexed="81"/>
            <rFont val="Tahoma"/>
            <family val="2"/>
          </rPr>
          <t>Ripple Ratio</t>
        </r>
        <r>
          <rPr>
            <sz val="9"/>
            <color indexed="81"/>
            <rFont val="Tahoma"/>
            <family val="2"/>
          </rPr>
          <t xml:space="preserve">
Select the maximum ripple ratio of the inductor current. The maximum ripple ratio occurs when the duty cycle is 33%. 
Typically a good maximum ripple current is in the 50% to 70% range. In this range there is a good trade off between efficiency and the minimum RHP zero frequency of the plant</t>
        </r>
      </text>
    </comment>
    <comment ref="G23" authorId="0" shapeId="0" xr:uid="{00000000-0006-0000-0000-00000B000000}">
      <text>
        <r>
          <rPr>
            <b/>
            <sz val="9"/>
            <color indexed="81"/>
            <rFont val="Tahoma"/>
            <family val="2"/>
          </rPr>
          <t xml:space="preserve">Filter Inductance:
</t>
        </r>
        <r>
          <rPr>
            <sz val="9"/>
            <color indexed="81"/>
            <rFont val="Tahoma"/>
            <family val="2"/>
          </rPr>
          <t xml:space="preserve">Enter the filter inductance here.
</t>
        </r>
        <r>
          <rPr>
            <b/>
            <sz val="9"/>
            <color indexed="10"/>
            <rFont val="Tahoma"/>
            <family val="2"/>
          </rPr>
          <t xml:space="preserve">The text in the cell is flagged red if:
</t>
        </r>
        <r>
          <rPr>
            <sz val="9"/>
            <color indexed="81"/>
            <rFont val="Tahoma"/>
            <family val="2"/>
          </rPr>
          <t xml:space="preserve">The selected inductance will not be supported the above set operation mode at maximum load.
(Checked only at the 3 given Supply Voltages (Min/Nom/Max).
</t>
        </r>
      </text>
    </comment>
    <comment ref="G24" authorId="0" shapeId="0" xr:uid="{00000000-0006-0000-0000-00000C000000}">
      <text>
        <r>
          <rPr>
            <b/>
            <sz val="9"/>
            <color indexed="81"/>
            <rFont val="Tahoma"/>
            <family val="2"/>
          </rPr>
          <t xml:space="preserve">Inductor DCR:
</t>
        </r>
        <r>
          <rPr>
            <sz val="9"/>
            <color indexed="81"/>
            <rFont val="Tahoma"/>
            <family val="2"/>
          </rPr>
          <t xml:space="preserve">Enter the inductor DC resistance here. This is typically specified in the inductor datasheet at 25°C copper temperature.
</t>
        </r>
      </text>
    </comment>
    <comment ref="G25" authorId="0" shapeId="0" xr:uid="{00000000-0006-0000-0000-00000D000000}">
      <text>
        <r>
          <rPr>
            <b/>
            <sz val="9"/>
            <color indexed="81"/>
            <rFont val="Tahoma"/>
            <family val="2"/>
          </rPr>
          <t>Peak Inductor Current</t>
        </r>
        <r>
          <rPr>
            <sz val="9"/>
            <color indexed="81"/>
            <rFont val="Tahoma"/>
            <family val="2"/>
          </rPr>
          <t xml:space="preserve">
Maximum peak inductor current during normal operation.  The peak current limit calculations are based on this value</t>
        </r>
      </text>
    </comment>
    <comment ref="G28" authorId="0" shapeId="0" xr:uid="{00000000-0006-0000-0000-00000E000000}">
      <text>
        <r>
          <rPr>
            <b/>
            <sz val="9"/>
            <color indexed="81"/>
            <rFont val="Tahoma"/>
            <family val="2"/>
          </rPr>
          <t>Peak Current Limit Margin</t>
        </r>
        <r>
          <rPr>
            <sz val="9"/>
            <color indexed="81"/>
            <rFont val="Tahoma"/>
            <family val="2"/>
          </rPr>
          <t xml:space="preserve">
Margin above the calculated peak inductor current. Margin must be given to allow for load transients and component tolerances.
Value should be higher then 15% to avoid false triggers.
The recommended value from the Datasheet is 20%.</t>
        </r>
      </text>
    </comment>
    <comment ref="G29" authorId="0" shapeId="0" xr:uid="{00000000-0006-0000-0000-00000F000000}">
      <text>
        <r>
          <rPr>
            <b/>
            <sz val="9"/>
            <color indexed="81"/>
            <rFont val="Tahoma"/>
            <family val="2"/>
          </rPr>
          <t xml:space="preserve">Selected Peak Inductor Current Limt
</t>
        </r>
        <r>
          <rPr>
            <sz val="9"/>
            <color indexed="81"/>
            <rFont val="Tahoma"/>
            <family val="2"/>
          </rPr>
          <t xml:space="preserve">
Peak inductor current limit based on the margin and the steady state peak inductor current at V</t>
        </r>
        <r>
          <rPr>
            <vertAlign val="subscript"/>
            <sz val="9"/>
            <color indexed="81"/>
            <rFont val="Tahoma"/>
            <family val="2"/>
          </rPr>
          <t>IN_MIN</t>
        </r>
        <r>
          <rPr>
            <sz val="9"/>
            <color indexed="81"/>
            <rFont val="Tahoma"/>
            <family val="2"/>
          </rPr>
          <t xml:space="preserve"> and maximum output current</t>
        </r>
      </text>
    </comment>
    <comment ref="G30" authorId="0" shapeId="0" xr:uid="{00000000-0006-0000-0000-000010000000}">
      <text>
        <r>
          <rPr>
            <b/>
            <sz val="9"/>
            <color indexed="81"/>
            <rFont val="Tahoma"/>
            <family val="2"/>
          </rPr>
          <t>Current Sense Resistor Calculation</t>
        </r>
        <r>
          <rPr>
            <sz val="9"/>
            <color indexed="81"/>
            <rFont val="Tahoma"/>
            <family val="2"/>
          </rPr>
          <t xml:space="preserve">
Calculated current sense resistor based on the desired maximum peak current limit. 
</t>
        </r>
      </text>
    </comment>
    <comment ref="G31" authorId="0" shapeId="0" xr:uid="{00000000-0006-0000-0000-000011000000}">
      <text>
        <r>
          <rPr>
            <b/>
            <sz val="9"/>
            <color indexed="81"/>
            <rFont val="Tahoma"/>
            <family val="2"/>
          </rPr>
          <t>Calculated External Slope Compensation Resistor</t>
        </r>
        <r>
          <rPr>
            <sz val="9"/>
            <color indexed="81"/>
            <rFont val="Tahoma"/>
            <family val="2"/>
          </rPr>
          <t xml:space="preserve">
Calculated external slope compensation resistor based on the desired maximum peak current limit. 
</t>
        </r>
      </text>
    </comment>
    <comment ref="G35" authorId="0" shapeId="0" xr:uid="{00000000-0006-0000-0000-000013000000}">
      <text>
        <r>
          <rPr>
            <b/>
            <sz val="9"/>
            <color indexed="81"/>
            <rFont val="Tahoma"/>
            <family val="2"/>
          </rPr>
          <t>The saturation current of the inductor must be higher than the peak inductor current limint. 
Recommended Margin is ~15%</t>
        </r>
      </text>
    </comment>
    <comment ref="G38" authorId="1" shapeId="0" xr:uid="{34A1C02D-A92A-4231-935A-D27CE25D0CCD}">
      <text>
        <r>
          <rPr>
            <b/>
            <sz val="9"/>
            <color indexed="81"/>
            <rFont val="Tahoma"/>
            <family val="2"/>
          </rPr>
          <t xml:space="preserve">Peak to Peak Voltage Ripple
</t>
        </r>
        <r>
          <rPr>
            <sz val="9"/>
            <color indexed="81"/>
            <rFont val="Tahoma"/>
            <family val="2"/>
          </rPr>
          <t>Desired output voltage transient for 50% load to 100% load step.</t>
        </r>
      </text>
    </comment>
    <comment ref="G45" authorId="1" shapeId="0" xr:uid="{27BE2E58-6B05-4EB2-ACEC-FABDB0D92520}">
      <text>
        <r>
          <rPr>
            <b/>
            <sz val="9"/>
            <color indexed="81"/>
            <rFont val="Tahoma"/>
            <family val="2"/>
          </rPr>
          <t xml:space="preserve">Suggested min. Softstart Capacitor
</t>
        </r>
        <r>
          <rPr>
            <sz val="9"/>
            <color indexed="81"/>
            <rFont val="Tahoma"/>
            <family val="2"/>
          </rPr>
          <t xml:space="preserve">
The suggested min. Softstart Capacitor is set to avoid overshoot of the output voltage.
It is based on the Load Current and Output Capacitor.
</t>
        </r>
      </text>
    </comment>
    <comment ref="G57" authorId="0" shapeId="0" xr:uid="{00000000-0006-0000-0000-000014000000}">
      <text>
        <r>
          <rPr>
            <b/>
            <sz val="9"/>
            <color indexed="81"/>
            <rFont val="Tahoma"/>
            <family val="2"/>
          </rPr>
          <t xml:space="preserve">Changes the input voltage value. Allow for evaluation of the control loop and efficiency at different input voltages.
</t>
        </r>
        <r>
          <rPr>
            <b/>
            <sz val="9"/>
            <color indexed="10"/>
            <rFont val="Tahoma"/>
            <family val="2"/>
          </rPr>
          <t>The text in the cell is flagged red if:
-The variable input voltage is less than the minimum input voltage
-The variable input voltage is greater than the maximum input voltage</t>
        </r>
      </text>
    </comment>
    <comment ref="G62" authorId="1" shapeId="0" xr:uid="{CAA0D2B2-1619-4A36-A8E5-8EF89AE0C27B}">
      <text>
        <r>
          <rPr>
            <b/>
            <sz val="9"/>
            <color indexed="81"/>
            <rFont val="Tahoma"/>
            <family val="2"/>
          </rPr>
          <t>Select Bottomresistor R</t>
        </r>
        <r>
          <rPr>
            <b/>
            <sz val="8"/>
            <color indexed="81"/>
            <rFont val="Tahoma"/>
            <family val="2"/>
          </rPr>
          <t>FBB</t>
        </r>
        <r>
          <rPr>
            <b/>
            <sz val="9"/>
            <color indexed="81"/>
            <rFont val="Tahoma"/>
            <family val="2"/>
          </rPr>
          <t xml:space="preserve">
</t>
        </r>
        <r>
          <rPr>
            <sz val="9"/>
            <color indexed="81"/>
            <rFont val="Tahoma"/>
            <family val="2"/>
          </rPr>
          <t xml:space="preserve">
Select the closes value to the calculated bottom feedback resistor based on the used standard resistor series (e.g. E48).</t>
        </r>
      </text>
    </comment>
    <comment ref="F69" authorId="1" shapeId="0" xr:uid="{CA3EAB78-A137-4F5E-A063-15FB6763AD4F}">
      <text>
        <r>
          <rPr>
            <b/>
            <sz val="9"/>
            <color indexed="81"/>
            <rFont val="Tahoma"/>
            <family val="2"/>
          </rPr>
          <t xml:space="preserve">Calculated Loop Comenstation Values:
</t>
        </r>
        <r>
          <rPr>
            <sz val="9"/>
            <color indexed="81"/>
            <rFont val="Tahoma"/>
            <family val="2"/>
          </rPr>
          <t xml:space="preserve">The calculation of this loop compensation values are based on the selected bandwidth (Fco) and the minimum input Voltage Vin.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BMC-BCS</author>
  </authors>
  <commentList>
    <comment ref="K21" authorId="0" shapeId="0" xr:uid="{00000000-0006-0000-0100-000001000000}">
      <text>
        <r>
          <rPr>
            <b/>
            <sz val="9"/>
            <color indexed="81"/>
            <rFont val="Tahoma"/>
            <family val="2"/>
          </rPr>
          <t>Forced off time limit? 
[2 True, 1 False]</t>
        </r>
        <r>
          <rPr>
            <sz val="9"/>
            <color indexed="81"/>
            <rFont val="Tahoma"/>
            <family val="2"/>
          </rPr>
          <t xml:space="preserve">
</t>
        </r>
      </text>
    </comment>
    <comment ref="K141" authorId="0" shapeId="0" xr:uid="{00000000-0006-0000-0100-000002000000}">
      <text>
        <r>
          <rPr>
            <b/>
            <sz val="9"/>
            <color indexed="81"/>
            <rFont val="Tahoma"/>
            <family val="2"/>
          </rPr>
          <t xml:space="preserve">Slope Compensation flag. If this flag is tripped there is not enough slope compensation. Double check the calculated values
</t>
        </r>
        <r>
          <rPr>
            <sz val="9"/>
            <color indexed="81"/>
            <rFont val="Tahoma"/>
            <family val="2"/>
          </rPr>
          <t xml:space="preserve">
</t>
        </r>
      </text>
    </comment>
    <comment ref="K142" authorId="0" shapeId="0" xr:uid="{00000000-0006-0000-0100-000003000000}">
      <text>
        <r>
          <rPr>
            <sz val="9"/>
            <color indexed="81"/>
            <rFont val="Tahoma"/>
            <family val="2"/>
          </rPr>
          <t xml:space="preserve">Tripped if the current sense resistor results in a lower current limit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BMC-BCS</author>
  </authors>
  <commentList>
    <comment ref="V6" authorId="0" shapeId="0" xr:uid="{00000000-0006-0000-0200-000001000000}">
      <text>
        <r>
          <rPr>
            <b/>
            <sz val="9"/>
            <color indexed="81"/>
            <rFont val="Tahoma"/>
            <family val="2"/>
          </rPr>
          <t xml:space="preserve">1 = DCM operation
2 = CCM operation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BMC-BCS</author>
  </authors>
  <commentList>
    <comment ref="O18" authorId="0" shapeId="0" xr:uid="{00000000-0006-0000-0300-000001000000}">
      <text>
        <r>
          <rPr>
            <b/>
            <sz val="9"/>
            <color indexed="81"/>
            <rFont val="Tahoma"/>
            <family val="2"/>
          </rPr>
          <t>BMC-BCS:</t>
        </r>
        <r>
          <rPr>
            <sz val="9"/>
            <color indexed="81"/>
            <rFont val="Tahoma"/>
            <family val="2"/>
          </rPr>
          <t xml:space="preserve">
Need to make this log not linear at some point
</t>
        </r>
      </text>
    </comment>
  </commentList>
</comments>
</file>

<file path=xl/sharedStrings.xml><?xml version="1.0" encoding="utf-8"?>
<sst xmlns="http://schemas.openxmlformats.org/spreadsheetml/2006/main" count="987" uniqueCount="582">
  <si>
    <t>TERMS OF USE</t>
  </si>
  <si>
    <t>ABOUT</t>
  </si>
  <si>
    <t>=Input Box</t>
  </si>
  <si>
    <t>Step 1: Design Specifications</t>
  </si>
  <si>
    <r>
      <t>Minimum Input Supply Voltage , V</t>
    </r>
    <r>
      <rPr>
        <vertAlign val="subscript"/>
        <sz val="10"/>
        <color theme="1"/>
        <rFont val="Calibri"/>
        <family val="2"/>
        <scheme val="minor"/>
      </rPr>
      <t>SUPPLY(min)</t>
    </r>
    <r>
      <rPr>
        <sz val="10"/>
        <color theme="1"/>
        <rFont val="Calibri"/>
        <family val="2"/>
        <scheme val="minor"/>
      </rPr>
      <t xml:space="preserve"> </t>
    </r>
  </si>
  <si>
    <r>
      <t>Typical Input Supply Voltage, V</t>
    </r>
    <r>
      <rPr>
        <vertAlign val="subscript"/>
        <sz val="10"/>
        <color theme="1"/>
        <rFont val="Calibri"/>
        <family val="2"/>
        <scheme val="minor"/>
      </rPr>
      <t>SUPPLY(typ)</t>
    </r>
    <r>
      <rPr>
        <sz val="10"/>
        <color theme="1"/>
        <rFont val="Calibri"/>
        <family val="2"/>
        <scheme val="minor"/>
      </rPr>
      <t xml:space="preserve"> </t>
    </r>
  </si>
  <si>
    <r>
      <t>Maximum Input Supply Voltage , V</t>
    </r>
    <r>
      <rPr>
        <vertAlign val="subscript"/>
        <sz val="10"/>
        <color theme="1"/>
        <rFont val="Calibri"/>
        <family val="2"/>
        <scheme val="minor"/>
      </rPr>
      <t>SUPPLY(max)</t>
    </r>
    <r>
      <rPr>
        <sz val="10"/>
        <color theme="1"/>
        <rFont val="Calibri"/>
        <family val="2"/>
        <scheme val="minor"/>
      </rPr>
      <t xml:space="preserve"> </t>
    </r>
  </si>
  <si>
    <r>
      <t>Maximum Output Current , I</t>
    </r>
    <r>
      <rPr>
        <vertAlign val="subscript"/>
        <sz val="10"/>
        <color theme="1"/>
        <rFont val="Calibri"/>
        <family val="2"/>
        <scheme val="minor"/>
      </rPr>
      <t>LOAD</t>
    </r>
    <r>
      <rPr>
        <sz val="10"/>
        <color theme="1"/>
        <rFont val="Calibri"/>
        <family val="2"/>
        <scheme val="minor"/>
      </rPr>
      <t xml:space="preserve"> </t>
    </r>
  </si>
  <si>
    <r>
      <t>Free Running Switching Frequency, F</t>
    </r>
    <r>
      <rPr>
        <vertAlign val="subscript"/>
        <sz val="10"/>
        <color theme="1"/>
        <rFont val="Calibri"/>
        <family val="2"/>
        <scheme val="minor"/>
      </rPr>
      <t>SW</t>
    </r>
  </si>
  <si>
    <t>Estimated Efficiency</t>
  </si>
  <si>
    <t>V</t>
  </si>
  <si>
    <t>A</t>
  </si>
  <si>
    <t>kHz</t>
  </si>
  <si>
    <t>%</t>
  </si>
  <si>
    <r>
      <t>Output Power, P</t>
    </r>
    <r>
      <rPr>
        <vertAlign val="subscript"/>
        <sz val="10"/>
        <color theme="1"/>
        <rFont val="Calibri"/>
        <family val="2"/>
        <scheme val="minor"/>
      </rPr>
      <t>OUT</t>
    </r>
    <r>
      <rPr>
        <sz val="10"/>
        <color theme="1"/>
        <rFont val="Calibri"/>
        <family val="2"/>
        <scheme val="minor"/>
      </rPr>
      <t xml:space="preserve"> </t>
    </r>
  </si>
  <si>
    <t>EXCEL Variables Names/Calculations</t>
  </si>
  <si>
    <t>Input from user =</t>
  </si>
  <si>
    <t>Output =</t>
  </si>
  <si>
    <t>Constant</t>
  </si>
  <si>
    <t>Variable Name</t>
  </si>
  <si>
    <t>Value</t>
  </si>
  <si>
    <t>STD Units</t>
  </si>
  <si>
    <t>Notes</t>
  </si>
  <si>
    <t>Iteration</t>
  </si>
  <si>
    <t>Step 1: Operational Specs</t>
  </si>
  <si>
    <t>VIN_min</t>
  </si>
  <si>
    <t>VIN_nom</t>
  </si>
  <si>
    <t>VIN_max</t>
  </si>
  <si>
    <t>Minimum input voltage</t>
  </si>
  <si>
    <t>Nominal input voltage</t>
  </si>
  <si>
    <t>Maximum input voltage</t>
  </si>
  <si>
    <t>VOUT</t>
  </si>
  <si>
    <t>Target Output Voltage</t>
  </si>
  <si>
    <t>IOUT</t>
  </si>
  <si>
    <t>Maximum Output current</t>
  </si>
  <si>
    <t>ROUT</t>
  </si>
  <si>
    <t>Ω</t>
  </si>
  <si>
    <t>POUT</t>
  </si>
  <si>
    <t>W</t>
  </si>
  <si>
    <t>EFF_est</t>
  </si>
  <si>
    <t>Estimated efficiency</t>
  </si>
  <si>
    <t>Total output power</t>
  </si>
  <si>
    <t>Minimum load resistance</t>
  </si>
  <si>
    <t>Dc_max_ideal</t>
  </si>
  <si>
    <t>Maximum duty cycle at the minimum input voltage</t>
  </si>
  <si>
    <t>Dc_max_IC</t>
  </si>
  <si>
    <t>Maximum IC duty cycle. Based on the forced off time. See Mathcad Calculations</t>
  </si>
  <si>
    <t>D_2p2_min</t>
  </si>
  <si>
    <t>D_2p2_nom</t>
  </si>
  <si>
    <t>D_2p2_max</t>
  </si>
  <si>
    <t>Minimum max duty cycle at 2p2MHZ operation</t>
  </si>
  <si>
    <t>t_off_max</t>
  </si>
  <si>
    <t>T_off_nom</t>
  </si>
  <si>
    <t>T_off_min</t>
  </si>
  <si>
    <t>s</t>
  </si>
  <si>
    <t>Minimum forced off time</t>
  </si>
  <si>
    <t>nominal forced off time</t>
  </si>
  <si>
    <t>Maximum forced off time</t>
  </si>
  <si>
    <t xml:space="preserve">IC Duty Cycle Limitation: </t>
  </si>
  <si>
    <t>D_limit_min</t>
  </si>
  <si>
    <t>D_limit_nom</t>
  </si>
  <si>
    <t>D_limit_max</t>
  </si>
  <si>
    <t>Nomminal max duty cycle at low frequency</t>
  </si>
  <si>
    <t xml:space="preserve">Base Calculations of </t>
  </si>
  <si>
    <t>Spec conditions</t>
  </si>
  <si>
    <t>Min max duty cycle at low frequency</t>
  </si>
  <si>
    <t>Maximum max duty cycle at low frequency</t>
  </si>
  <si>
    <t>Nominal right now</t>
  </si>
  <si>
    <t>Fsw</t>
  </si>
  <si>
    <t>Hz</t>
  </si>
  <si>
    <t xml:space="preserve">Switching frequnecy </t>
  </si>
  <si>
    <t>Flag</t>
  </si>
  <si>
    <t>Forced off time limit? [2 True, 1 False]</t>
  </si>
  <si>
    <t>RT</t>
  </si>
  <si>
    <t>Oscillator Set resistor. Based on the datasheet equation</t>
  </si>
  <si>
    <r>
      <t>Free running Oscillator Set Resistor, R</t>
    </r>
    <r>
      <rPr>
        <vertAlign val="subscript"/>
        <sz val="10"/>
        <color theme="1"/>
        <rFont val="Calibri"/>
        <family val="2"/>
        <scheme val="minor"/>
      </rPr>
      <t>T</t>
    </r>
  </si>
  <si>
    <r>
      <t>k</t>
    </r>
    <r>
      <rPr>
        <sz val="11"/>
        <color theme="1"/>
        <rFont val="Calibri"/>
        <family val="2"/>
      </rPr>
      <t>Ω</t>
    </r>
  </si>
  <si>
    <t>Step 2: Filter Inductor</t>
  </si>
  <si>
    <t>Dc_Limit</t>
  </si>
  <si>
    <t>Max duty cycle of LM5155 at Fsw</t>
  </si>
  <si>
    <t>EXCEL Constants / Values / IC Limits</t>
  </si>
  <si>
    <r>
      <t>Max Inductor DCR, R</t>
    </r>
    <r>
      <rPr>
        <vertAlign val="subscript"/>
        <sz val="10"/>
        <color theme="1"/>
        <rFont val="Calibri"/>
        <family val="2"/>
        <scheme val="minor"/>
      </rPr>
      <t>DCR</t>
    </r>
  </si>
  <si>
    <t>Dc_VIN_min</t>
  </si>
  <si>
    <t>Dc_VIN_nom</t>
  </si>
  <si>
    <t>Dc_VIN_max</t>
  </si>
  <si>
    <t>Duty cycle at the mimum input voltage (CCM)</t>
  </si>
  <si>
    <t>Duty cycle at the nominal input voltage (CCM)</t>
  </si>
  <si>
    <t>Duty cycle at the maximum input voltage (CCM)</t>
  </si>
  <si>
    <t>ton_min</t>
  </si>
  <si>
    <t>Typical Ton minimum value</t>
  </si>
  <si>
    <t>Lcalc_VIN_min</t>
  </si>
  <si>
    <t>Inductor at Minimum input voltage</t>
  </si>
  <si>
    <t>IL_avg_VIN_min</t>
  </si>
  <si>
    <t>IL_avg_VIN_nom</t>
  </si>
  <si>
    <t>IL_avg_VIN_max</t>
  </si>
  <si>
    <t>Average input current at minimum input voltage. 100% Eff assumed</t>
  </si>
  <si>
    <t>Average input current at nominal input voltage. 100% Eff assumed</t>
  </si>
  <si>
    <t>Average input current at maximum input voltage. 100% Eff assumed</t>
  </si>
  <si>
    <t>H</t>
  </si>
  <si>
    <t>ILrip</t>
  </si>
  <si>
    <t>Lopt</t>
  </si>
  <si>
    <t>Optimal inductor. Based off the average</t>
  </si>
  <si>
    <t>Lm</t>
  </si>
  <si>
    <t>Selected filter inductor</t>
  </si>
  <si>
    <t>Rdcr</t>
  </si>
  <si>
    <r>
      <t>m</t>
    </r>
    <r>
      <rPr>
        <sz val="11"/>
        <color theme="1"/>
        <rFont val="Calibri"/>
        <family val="2"/>
      </rPr>
      <t>Ω</t>
    </r>
  </si>
  <si>
    <r>
      <t>Peak inductor current, IL</t>
    </r>
    <r>
      <rPr>
        <vertAlign val="subscript"/>
        <sz val="10"/>
        <color theme="1"/>
        <rFont val="Calibri"/>
        <family val="2"/>
        <scheme val="minor"/>
      </rPr>
      <t>PK</t>
    </r>
  </si>
  <si>
    <t>Strategy 1</t>
  </si>
  <si>
    <t>Strategy 2</t>
  </si>
  <si>
    <t>VIN_33</t>
  </si>
  <si>
    <t>IIN_33</t>
  </si>
  <si>
    <t>Lopt_2</t>
  </si>
  <si>
    <t>.</t>
  </si>
  <si>
    <t>ILp_VINmin</t>
  </si>
  <si>
    <t>Peak inductor current at VIN min. Including estimated efficiency</t>
  </si>
  <si>
    <t>ILrip_VINmin</t>
  </si>
  <si>
    <t xml:space="preserve">Inductor ripple current at VIN min. </t>
  </si>
  <si>
    <t>ILrip_VINnom</t>
  </si>
  <si>
    <t>ILp_VINnom</t>
  </si>
  <si>
    <t>ILrip_VINmax</t>
  </si>
  <si>
    <t>ILp_VINmax</t>
  </si>
  <si>
    <t>Step 3: Current Sense Resistor</t>
  </si>
  <si>
    <t>Selected indutor ripple ratio. Will be changed later to a standard value just to keep things simple</t>
  </si>
  <si>
    <t xml:space="preserve">Inductor ripple current at VIN nom. </t>
  </si>
  <si>
    <t>Peak inductor current at VIN nom. Including estimated efficiency</t>
  </si>
  <si>
    <t xml:space="preserve">Inductor ripple current at VIN max. </t>
  </si>
  <si>
    <t>Peak inductor current at VIN max. Including estimated efficiency</t>
  </si>
  <si>
    <t>Step 3: Current Sense Resistor Selection</t>
  </si>
  <si>
    <t>Ipk_margin</t>
  </si>
  <si>
    <t>Peak current limit margin. 20% is a typical value</t>
  </si>
  <si>
    <t>Ipk_selected</t>
  </si>
  <si>
    <t>Selected peak current limit based on margin selection</t>
  </si>
  <si>
    <t>Peak ripple ratio: Boost this happens at 33%</t>
  </si>
  <si>
    <t>Dc_rip_max</t>
  </si>
  <si>
    <t>This value used to make the selection</t>
  </si>
  <si>
    <t>Input current at maximum ripple duty cycle</t>
  </si>
  <si>
    <t>Input voltage at maximum ripple duty cycle. If maximum input voltage Dc is &gt;.33 this value will be used</t>
  </si>
  <si>
    <t>Filter inductor DCR</t>
  </si>
  <si>
    <t>Ltol</t>
  </si>
  <si>
    <t>Assumed inductor tolerance. Constant to help simplify the user experience</t>
  </si>
  <si>
    <t>Rcs_max</t>
  </si>
  <si>
    <t>Maximum Rcs based on internal slope compensation. Assuming slope ratio of 1/2</t>
  </si>
  <si>
    <t>Rcs_sl_ratio</t>
  </si>
  <si>
    <t>ratio of down slope to slope compensation. This can be updated to give more margin</t>
  </si>
  <si>
    <t>Isl</t>
  </si>
  <si>
    <t>Internal slope compensation ramp</t>
  </si>
  <si>
    <t>Rsl_int</t>
  </si>
  <si>
    <t>Internal Slope compensation resistor</t>
  </si>
  <si>
    <t>Rcs_wo_sl</t>
  </si>
  <si>
    <t>Current sense resistor without slope compensation</t>
  </si>
  <si>
    <t>Vcl</t>
  </si>
  <si>
    <t>Current Limit Value. See datsheet for Parameters</t>
  </si>
  <si>
    <t>Flag_ext_sl</t>
  </si>
  <si>
    <t>External Compensation? (0-no, 1-yes)</t>
  </si>
  <si>
    <t>Rcs_w_sl</t>
  </si>
  <si>
    <t>Rcs_ext_sl_ratio</t>
  </si>
  <si>
    <t>External Slope compensation ratio. Constant</t>
  </si>
  <si>
    <t>R_sl_ext</t>
  </si>
  <si>
    <t>R_cs_calc</t>
  </si>
  <si>
    <t>R_sl_calc</t>
  </si>
  <si>
    <t>R_cs</t>
  </si>
  <si>
    <t>R_sl</t>
  </si>
  <si>
    <t>Current Sense Resistor calculated</t>
  </si>
  <si>
    <t>External slope compensation resistor</t>
  </si>
  <si>
    <t>Calculated external slope compensation resistor</t>
  </si>
  <si>
    <t>Calculated current sense resistor with slope compensation included</t>
  </si>
  <si>
    <r>
      <t>Recommended external slope compensation Resistor (R</t>
    </r>
    <r>
      <rPr>
        <vertAlign val="subscript"/>
        <sz val="11"/>
        <color theme="1"/>
        <rFont val="Calibri"/>
        <family val="2"/>
        <scheme val="minor"/>
      </rPr>
      <t>SL</t>
    </r>
    <r>
      <rPr>
        <sz val="11"/>
        <color theme="1"/>
        <rFont val="Calibri"/>
        <family val="2"/>
        <scheme val="minor"/>
      </rPr>
      <t>)</t>
    </r>
  </si>
  <si>
    <t>Selected current sense Resistor</t>
  </si>
  <si>
    <t>Selected external slope compensation</t>
  </si>
  <si>
    <r>
      <t>Selected external slope compensation Resistor (R</t>
    </r>
    <r>
      <rPr>
        <vertAlign val="subscript"/>
        <sz val="11"/>
        <color theme="1"/>
        <rFont val="Calibri"/>
        <family val="2"/>
        <scheme val="minor"/>
      </rPr>
      <t>SL</t>
    </r>
    <r>
      <rPr>
        <sz val="11"/>
        <color theme="1"/>
        <rFont val="Calibri"/>
        <family val="2"/>
        <scheme val="minor"/>
      </rPr>
      <t>)</t>
    </r>
  </si>
  <si>
    <t>Check to make sure that slope compensation is high enough at the minimum input voltage</t>
  </si>
  <si>
    <t>Slope Compensation</t>
  </si>
  <si>
    <t>sl_vin_min</t>
  </si>
  <si>
    <t>Actual inductor peak current limit</t>
  </si>
  <si>
    <t>IL_pk</t>
  </si>
  <si>
    <t>IL_pk_max</t>
  </si>
  <si>
    <t>Peak current limit at the minimum input voltage</t>
  </si>
  <si>
    <t>Peak inductor current limit for saturation rating.  VIN max due to the possibility of external slope comp</t>
  </si>
  <si>
    <t>sat_mar</t>
  </si>
  <si>
    <t>Margin for saturation current of the inductor</t>
  </si>
  <si>
    <t>V/V</t>
  </si>
  <si>
    <t>IL_sat</t>
  </si>
  <si>
    <t>Recommended Saturation current rating of the selected inductor</t>
  </si>
  <si>
    <t>COMP voltage Limit checks</t>
  </si>
  <si>
    <t>Will add this later. Can be left off for APL</t>
  </si>
  <si>
    <t>Step 4: Output Capacitor Selection</t>
  </si>
  <si>
    <t>mV</t>
  </si>
  <si>
    <t xml:space="preserve">Minimum output capacitance </t>
  </si>
  <si>
    <r>
      <t>Selected Output Capacitance (C</t>
    </r>
    <r>
      <rPr>
        <vertAlign val="subscript"/>
        <sz val="11"/>
        <color theme="1"/>
        <rFont val="Calibri"/>
        <family val="2"/>
        <scheme val="minor"/>
      </rPr>
      <t>OUT</t>
    </r>
    <r>
      <rPr>
        <sz val="11"/>
        <color theme="1"/>
        <rFont val="Calibri"/>
        <family val="2"/>
        <scheme val="minor"/>
      </rPr>
      <t>)</t>
    </r>
  </si>
  <si>
    <t>Desired output ripple</t>
  </si>
  <si>
    <t>Vout_rip_sel</t>
  </si>
  <si>
    <t>Recommend Minimum Inductor Saturation Current Rating</t>
  </si>
  <si>
    <t>Cout_min</t>
  </si>
  <si>
    <t>F</t>
  </si>
  <si>
    <t>Calculate minimum capacitance based simply on the capacitive ripple</t>
  </si>
  <si>
    <r>
      <t>Capacitor RMS current (I</t>
    </r>
    <r>
      <rPr>
        <vertAlign val="subscript"/>
        <sz val="11"/>
        <color theme="1"/>
        <rFont val="Calibri"/>
        <family val="2"/>
        <scheme val="minor"/>
      </rPr>
      <t>RMS_COUT</t>
    </r>
    <r>
      <rPr>
        <sz val="11"/>
        <color theme="1"/>
        <rFont val="Calibri"/>
        <family val="2"/>
        <scheme val="minor"/>
      </rPr>
      <t>)</t>
    </r>
  </si>
  <si>
    <t>IRMS_COUT</t>
  </si>
  <si>
    <t>RMS current of the output capacitor at VIN min IOUT max. RMS current rating should be larger than this.</t>
  </si>
  <si>
    <r>
      <t>Equivalent  COUT ESR (R</t>
    </r>
    <r>
      <rPr>
        <vertAlign val="subscript"/>
        <sz val="11"/>
        <color theme="1"/>
        <rFont val="Calibri"/>
        <family val="2"/>
        <scheme val="minor"/>
      </rPr>
      <t>ESR</t>
    </r>
    <r>
      <rPr>
        <sz val="11"/>
        <color theme="1"/>
        <rFont val="Calibri"/>
        <family val="2"/>
        <scheme val="minor"/>
      </rPr>
      <t>)</t>
    </r>
  </si>
  <si>
    <t>Resr</t>
  </si>
  <si>
    <t>Selected Output Capacitance</t>
  </si>
  <si>
    <t>Selected output capacitance ESR</t>
  </si>
  <si>
    <t>Cout</t>
  </si>
  <si>
    <r>
      <t>Selected Peak Current limit(IL</t>
    </r>
    <r>
      <rPr>
        <vertAlign val="subscript"/>
        <sz val="11"/>
        <color theme="1"/>
        <rFont val="Calibri"/>
        <family val="2"/>
        <scheme val="minor"/>
      </rPr>
      <t>PK_select</t>
    </r>
    <r>
      <rPr>
        <sz val="11"/>
        <color theme="1"/>
        <rFont val="Calibri"/>
        <family val="2"/>
        <scheme val="minor"/>
      </rPr>
      <t>)</t>
    </r>
  </si>
  <si>
    <t>Step 5: Loop Compensation</t>
  </si>
  <si>
    <t>Input Parameters</t>
  </si>
  <si>
    <t>Output Voltage</t>
  </si>
  <si>
    <t>Component Selection</t>
  </si>
  <si>
    <t>LM</t>
  </si>
  <si>
    <t>filter Inductor</t>
  </si>
  <si>
    <t>Current sense resi</t>
  </si>
  <si>
    <t>External Slope Compensation Resistor</t>
  </si>
  <si>
    <t>Interanl Slope Compesnation Resistor</t>
  </si>
  <si>
    <t>Interanl Slope Compesnation current</t>
  </si>
  <si>
    <t>RCOMP</t>
  </si>
  <si>
    <t>kΩ</t>
  </si>
  <si>
    <t>Feedback Resistor Selection</t>
  </si>
  <si>
    <t>pF</t>
  </si>
  <si>
    <t>nF</t>
  </si>
  <si>
    <t>CCOMP</t>
  </si>
  <si>
    <t>CHF</t>
  </si>
  <si>
    <t>Type II compensation Resistort</t>
  </si>
  <si>
    <t>Type II compensation Capacitor</t>
  </si>
  <si>
    <t>Type II high frequency capacitor</t>
  </si>
  <si>
    <t>RFBT</t>
  </si>
  <si>
    <t>RFBB</t>
  </si>
  <si>
    <t>Compensation Components</t>
  </si>
  <si>
    <t>Top feedback resistor</t>
  </si>
  <si>
    <t>Bottom feedback resistor</t>
  </si>
  <si>
    <t>Calculations</t>
  </si>
  <si>
    <t>Frequency</t>
  </si>
  <si>
    <t>Selected VIN</t>
  </si>
  <si>
    <t>VIN_var</t>
  </si>
  <si>
    <t>VIN_VAR</t>
  </si>
  <si>
    <t>Variable input voltage</t>
  </si>
  <si>
    <t>ADC</t>
  </si>
  <si>
    <t>Gcomp</t>
  </si>
  <si>
    <t>Scale down factor of the interal comp voltage divider</t>
  </si>
  <si>
    <t>Intenal step down of the divider</t>
  </si>
  <si>
    <t>DC gain of the plant function</t>
  </si>
  <si>
    <t>Acs</t>
  </si>
  <si>
    <t>Current sense Amplifier Gain (1 for this device)</t>
  </si>
  <si>
    <t>Low Frequency Pole</t>
  </si>
  <si>
    <t>RHPz zero of boost converter</t>
  </si>
  <si>
    <t>ESR zero cause by output capacitance</t>
  </si>
  <si>
    <t>wsl</t>
  </si>
  <si>
    <t>Q</t>
  </si>
  <si>
    <t>Se</t>
  </si>
  <si>
    <t xml:space="preserve">Slope compensation </t>
  </si>
  <si>
    <t>Down slope at the selected input voltage</t>
  </si>
  <si>
    <t>Sn</t>
  </si>
  <si>
    <t>Rad</t>
  </si>
  <si>
    <t>wp_lf</t>
  </si>
  <si>
    <t>wz_rhp</t>
  </si>
  <si>
    <t>wz_esr</t>
  </si>
  <si>
    <t>Gain</t>
  </si>
  <si>
    <t>Phase</t>
  </si>
  <si>
    <t>Sampling</t>
  </si>
  <si>
    <t>Complex</t>
  </si>
  <si>
    <t>Total</t>
  </si>
  <si>
    <t>Plant Transfer Function</t>
  </si>
  <si>
    <t>Error Amplifier</t>
  </si>
  <si>
    <t>Plant Parameters</t>
  </si>
  <si>
    <t>wz_ea</t>
  </si>
  <si>
    <t>Adc_ea</t>
  </si>
  <si>
    <t>gm_ea</t>
  </si>
  <si>
    <t>Error Amplifier Gain</t>
  </si>
  <si>
    <t>A/V</t>
  </si>
  <si>
    <t>wp0_ea</t>
  </si>
  <si>
    <t>wp1_ea</t>
  </si>
  <si>
    <t>ADC_ea</t>
  </si>
  <si>
    <t xml:space="preserve">Gain </t>
  </si>
  <si>
    <t>Open Loop Response</t>
  </si>
  <si>
    <t>COMPLEX</t>
  </si>
  <si>
    <t>Gain of open loop at wp_Lf</t>
  </si>
  <si>
    <t>dB</t>
  </si>
  <si>
    <r>
      <t xml:space="preserve">Variable input voltage to model the loop. </t>
    </r>
    <r>
      <rPr>
        <b/>
        <sz val="11"/>
        <color theme="1"/>
        <rFont val="Calibri"/>
        <family val="2"/>
        <scheme val="minor"/>
      </rPr>
      <t>Currently not used. Will be updated in next rev</t>
    </r>
  </si>
  <si>
    <t>Selected by user. Feedback resistor should be &gt;100uA to help reject noise</t>
  </si>
  <si>
    <t>Error Amplifier Zero</t>
  </si>
  <si>
    <t>Error Amplifier pole at the origin</t>
  </si>
  <si>
    <t>Error Amplifier pole at high frequencies</t>
  </si>
  <si>
    <t>RFBB_CALC</t>
  </si>
  <si>
    <t>Vref</t>
  </si>
  <si>
    <t>Reference voltage</t>
  </si>
  <si>
    <t>Estimated bottom feedback resistor</t>
  </si>
  <si>
    <t>Selected botton feedback resistor</t>
  </si>
  <si>
    <t>Ifb</t>
  </si>
  <si>
    <t>Current Drawn from the feedback resistors (Typically higher than 100uA to help w/ noise)</t>
  </si>
  <si>
    <r>
      <t xml:space="preserve">Plant low frequency pole. </t>
    </r>
    <r>
      <rPr>
        <b/>
        <sz val="11"/>
        <color theme="1"/>
        <rFont val="Calibri"/>
        <family val="2"/>
        <scheme val="minor"/>
      </rPr>
      <t>IN Hz!!!</t>
    </r>
  </si>
  <si>
    <r>
      <t xml:space="preserve">Plant RHP Zero, </t>
    </r>
    <r>
      <rPr>
        <b/>
        <sz val="11"/>
        <color theme="1"/>
        <rFont val="Calibri"/>
        <family val="2"/>
        <scheme val="minor"/>
      </rPr>
      <t>(IN Hz)</t>
    </r>
  </si>
  <si>
    <r>
      <t xml:space="preserve">Plant capacitor ESR zero </t>
    </r>
    <r>
      <rPr>
        <b/>
        <sz val="11"/>
        <color theme="1"/>
        <rFont val="Calibri"/>
        <family val="2"/>
        <scheme val="minor"/>
      </rPr>
      <t>(In Hz)</t>
    </r>
  </si>
  <si>
    <t>Feedback resistor selection</t>
  </si>
  <si>
    <t>Crossover Frequency Selection</t>
  </si>
  <si>
    <t>Fcross_est</t>
  </si>
  <si>
    <r>
      <t>Calculated bottom feedback resistor (R</t>
    </r>
    <r>
      <rPr>
        <vertAlign val="subscript"/>
        <sz val="11"/>
        <color theme="1"/>
        <rFont val="Calibri"/>
        <family val="2"/>
        <scheme val="minor"/>
      </rPr>
      <t>FBB_cala</t>
    </r>
    <r>
      <rPr>
        <sz val="11"/>
        <color theme="1"/>
        <rFont val="Calibri"/>
        <family val="2"/>
        <scheme val="minor"/>
      </rPr>
      <t>)</t>
    </r>
  </si>
  <si>
    <t>fcross</t>
  </si>
  <si>
    <t>Desired Crossover frequency</t>
  </si>
  <si>
    <t>1/10 the swictching frequency</t>
  </si>
  <si>
    <t>Conservative. Set Fcross to be 1/5th the RHP zero frequency or 1/10th SW: whichever is lower</t>
  </si>
  <si>
    <t>Select the lower crossover frequency</t>
  </si>
  <si>
    <t>Gplant_fc</t>
  </si>
  <si>
    <t>Gain of the plant at the desired crossover frequency</t>
  </si>
  <si>
    <t>Fcross</t>
  </si>
  <si>
    <t>wz_RHP</t>
  </si>
  <si>
    <t>Gplant_fc_dB</t>
  </si>
  <si>
    <t>Plant gain at crossover frequency (dB)</t>
  </si>
  <si>
    <t>Gea_mid_calc</t>
  </si>
  <si>
    <t>Error Amplifier Mid-band gain to set cross over frequency correctly</t>
  </si>
  <si>
    <t>Rcomp_Calc</t>
  </si>
  <si>
    <t>Calculate on based on the desired Mid-band gain needed to set the crossover frequency</t>
  </si>
  <si>
    <t>fz_ea_est</t>
  </si>
  <si>
    <t>Set the fz_ea 1/10th the cross over frequency (Common approach)</t>
  </si>
  <si>
    <t>Set the fz_ea geometerically inbetween crossover and the wp_lf</t>
  </si>
  <si>
    <t>Fz_ea_1</t>
  </si>
  <si>
    <t>Fz_ea_2</t>
  </si>
  <si>
    <t>CCOMP_calc</t>
  </si>
  <si>
    <t>CHF_Calc</t>
  </si>
  <si>
    <t>fp_ea_est</t>
  </si>
  <si>
    <r>
      <t>Select a top feedback resistor(R</t>
    </r>
    <r>
      <rPr>
        <vertAlign val="subscript"/>
        <sz val="11"/>
        <color theme="1"/>
        <rFont val="Calibri"/>
        <family val="2"/>
        <scheme val="minor"/>
      </rPr>
      <t>FBT</t>
    </r>
    <r>
      <rPr>
        <sz val="11"/>
        <color theme="1"/>
        <rFont val="Calibri"/>
        <family val="2"/>
        <scheme val="minor"/>
      </rPr>
      <t>)</t>
    </r>
  </si>
  <si>
    <t>Step 5: Soft-Start Capacitor Selection</t>
  </si>
  <si>
    <t>Step 6: UVLO Resistor Divider Selection</t>
  </si>
  <si>
    <t>Efficiency / Power Loss Analyzer</t>
  </si>
  <si>
    <r>
      <t>R</t>
    </r>
    <r>
      <rPr>
        <vertAlign val="subscript"/>
        <sz val="11"/>
        <color theme="1"/>
        <rFont val="Calibri"/>
        <family val="2"/>
        <scheme val="minor"/>
      </rPr>
      <t>COMP</t>
    </r>
  </si>
  <si>
    <t>Calculated</t>
  </si>
  <si>
    <t>Selected</t>
  </si>
  <si>
    <t>Steps</t>
  </si>
  <si>
    <t>Step size</t>
  </si>
  <si>
    <t>VIN</t>
  </si>
  <si>
    <t>DCM/CCM</t>
  </si>
  <si>
    <t>DC</t>
  </si>
  <si>
    <t>IIN</t>
  </si>
  <si>
    <t>Icrms_min</t>
  </si>
  <si>
    <t>Minimum required RMS current rating for the output capacitor bank</t>
  </si>
  <si>
    <t>On-time of the switch</t>
  </si>
  <si>
    <t>Soft-Start</t>
  </si>
  <si>
    <t>Iss</t>
  </si>
  <si>
    <t>Soft-start capacitor charge current</t>
  </si>
  <si>
    <t>Soft-Start Charge current</t>
  </si>
  <si>
    <t>Css_min</t>
  </si>
  <si>
    <t>Suggested minimum SS capacitor to minize the over shoot.</t>
  </si>
  <si>
    <t>tss</t>
  </si>
  <si>
    <t>Desired Soft-Start Capacitor</t>
  </si>
  <si>
    <r>
      <t>Suggested minimum soft-start capacitor (C</t>
    </r>
    <r>
      <rPr>
        <vertAlign val="subscript"/>
        <sz val="11"/>
        <color theme="1"/>
        <rFont val="Calibri"/>
        <family val="2"/>
        <scheme val="minor"/>
      </rPr>
      <t>SS_MIN</t>
    </r>
    <r>
      <rPr>
        <sz val="11"/>
        <color theme="1"/>
        <rFont val="Calibri"/>
        <family val="2"/>
        <scheme val="minor"/>
      </rPr>
      <t>)</t>
    </r>
  </si>
  <si>
    <t>ms</t>
  </si>
  <si>
    <t>Css_calc</t>
  </si>
  <si>
    <t>Calcualted Soft-start capacitor</t>
  </si>
  <si>
    <r>
      <t>Calculated soft-start capacitor (C</t>
    </r>
    <r>
      <rPr>
        <vertAlign val="subscript"/>
        <sz val="11"/>
        <color theme="1"/>
        <rFont val="Calibri"/>
        <family val="2"/>
        <scheme val="minor"/>
      </rPr>
      <t>SS</t>
    </r>
    <r>
      <rPr>
        <sz val="11"/>
        <color theme="1"/>
        <rFont val="Calibri"/>
        <family val="2"/>
        <scheme val="minor"/>
      </rPr>
      <t>)</t>
    </r>
  </si>
  <si>
    <r>
      <t>Desired voltage OFF (V</t>
    </r>
    <r>
      <rPr>
        <vertAlign val="subscript"/>
        <sz val="11"/>
        <color theme="1"/>
        <rFont val="Calibri"/>
        <family val="2"/>
        <scheme val="minor"/>
      </rPr>
      <t>UVLO_OFF</t>
    </r>
    <r>
      <rPr>
        <sz val="11"/>
        <color theme="1"/>
        <rFont val="Calibri"/>
        <family val="2"/>
        <scheme val="minor"/>
      </rPr>
      <t>)</t>
    </r>
  </si>
  <si>
    <r>
      <t>Desired voltage On (V</t>
    </r>
    <r>
      <rPr>
        <vertAlign val="subscript"/>
        <sz val="11"/>
        <color theme="1"/>
        <rFont val="Calibri"/>
        <family val="2"/>
        <scheme val="minor"/>
      </rPr>
      <t>UVLO_ON</t>
    </r>
    <r>
      <rPr>
        <sz val="11"/>
        <color theme="1"/>
        <rFont val="Calibri"/>
        <family val="2"/>
        <scheme val="minor"/>
      </rPr>
      <t>)</t>
    </r>
  </si>
  <si>
    <t>Step 6: UVLO Resistor Selection</t>
  </si>
  <si>
    <t>Step 5: Soft-start Capacitor selection</t>
  </si>
  <si>
    <t>Vuvlo_on</t>
  </si>
  <si>
    <t>Vuvlo_off</t>
  </si>
  <si>
    <t>Desired turn on voltage</t>
  </si>
  <si>
    <t>Desired turn off voltage</t>
  </si>
  <si>
    <t>UVLO Thresholds</t>
  </si>
  <si>
    <t>UV_rise</t>
  </si>
  <si>
    <t>UV_fall</t>
  </si>
  <si>
    <t>Falling threshold (See datasheet for more details)</t>
  </si>
  <si>
    <t>Rising Threshold (See datasheet for more details)</t>
  </si>
  <si>
    <t>Rising UV threshold</t>
  </si>
  <si>
    <t>Falling  UV threshold</t>
  </si>
  <si>
    <t>UV_I_hyst</t>
  </si>
  <si>
    <t>UVLO current hysteresis</t>
  </si>
  <si>
    <t>UVLO circuit current hysteresis</t>
  </si>
  <si>
    <t>Ruvlo_top_calc</t>
  </si>
  <si>
    <t>Ruvlo_bottom_calc</t>
  </si>
  <si>
    <t>Vuvlo_on_act</t>
  </si>
  <si>
    <t>Vuvlo_off_act</t>
  </si>
  <si>
    <t>Actual turn on voltage</t>
  </si>
  <si>
    <t>Actual turn off voltage</t>
  </si>
  <si>
    <t>Step  7: Loop Compensation</t>
  </si>
  <si>
    <t>Operation Variables</t>
  </si>
  <si>
    <t>Duty Cycle</t>
  </si>
  <si>
    <t>dIL</t>
  </si>
  <si>
    <r>
      <t>IL</t>
    </r>
    <r>
      <rPr>
        <vertAlign val="subscript"/>
        <sz val="11"/>
        <color theme="1"/>
        <rFont val="Calibri"/>
        <family val="2"/>
        <scheme val="minor"/>
      </rPr>
      <t>RMS</t>
    </r>
  </si>
  <si>
    <r>
      <t>IL</t>
    </r>
    <r>
      <rPr>
        <vertAlign val="subscript"/>
        <sz val="11"/>
        <color theme="1"/>
        <rFont val="Calibri"/>
        <family val="2"/>
        <scheme val="minor"/>
      </rPr>
      <t>PEAK</t>
    </r>
  </si>
  <si>
    <t>DC_off</t>
  </si>
  <si>
    <r>
      <t>ID</t>
    </r>
    <r>
      <rPr>
        <vertAlign val="subscript"/>
        <sz val="11"/>
        <color theme="1"/>
        <rFont val="Calibri"/>
        <family val="2"/>
        <scheme val="minor"/>
      </rPr>
      <t>RMS</t>
    </r>
  </si>
  <si>
    <t>Step 7: Component Selection</t>
  </si>
  <si>
    <t>Vd_rect</t>
  </si>
  <si>
    <t>Rect Diode forward voltage drop</t>
  </si>
  <si>
    <r>
      <t>ID</t>
    </r>
    <r>
      <rPr>
        <vertAlign val="subscript"/>
        <sz val="11"/>
        <color theme="1"/>
        <rFont val="Calibri"/>
        <family val="2"/>
        <scheme val="minor"/>
      </rPr>
      <t xml:space="preserve">AVG </t>
    </r>
    <r>
      <rPr>
        <sz val="11"/>
        <color theme="1"/>
        <rFont val="Calibri"/>
        <family val="2"/>
        <scheme val="minor"/>
      </rPr>
      <t>(A)</t>
    </r>
  </si>
  <si>
    <r>
      <t>P</t>
    </r>
    <r>
      <rPr>
        <vertAlign val="subscript"/>
        <sz val="11"/>
        <color theme="1"/>
        <rFont val="Calibri"/>
        <family val="2"/>
        <scheme val="minor"/>
      </rPr>
      <t>Lac</t>
    </r>
    <r>
      <rPr>
        <sz val="11"/>
        <color theme="1"/>
        <rFont val="Calibri"/>
        <family val="2"/>
        <scheme val="minor"/>
      </rPr>
      <t xml:space="preserve"> (W)</t>
    </r>
  </si>
  <si>
    <r>
      <t>P</t>
    </r>
    <r>
      <rPr>
        <vertAlign val="subscript"/>
        <sz val="11"/>
        <color theme="1"/>
        <rFont val="Calibri"/>
        <family val="2"/>
        <scheme val="minor"/>
      </rPr>
      <t>L_DCR</t>
    </r>
    <r>
      <rPr>
        <sz val="11"/>
        <color theme="1"/>
        <rFont val="Calibri"/>
        <family val="2"/>
        <scheme val="minor"/>
      </rPr>
      <t xml:space="preserve"> (W)</t>
    </r>
  </si>
  <si>
    <r>
      <t>P</t>
    </r>
    <r>
      <rPr>
        <vertAlign val="subscript"/>
        <sz val="11"/>
        <color theme="1"/>
        <rFont val="Calibri"/>
        <family val="2"/>
        <scheme val="minor"/>
      </rPr>
      <t xml:space="preserve">D_COND </t>
    </r>
    <r>
      <rPr>
        <sz val="11"/>
        <color theme="1"/>
        <rFont val="Calibri"/>
        <family val="2"/>
        <scheme val="minor"/>
      </rPr>
      <t>(W)</t>
    </r>
  </si>
  <si>
    <r>
      <t>P</t>
    </r>
    <r>
      <rPr>
        <vertAlign val="subscript"/>
        <sz val="11"/>
        <color theme="1"/>
        <rFont val="Calibri"/>
        <family val="2"/>
        <scheme val="minor"/>
      </rPr>
      <t xml:space="preserve">D_SW </t>
    </r>
    <r>
      <rPr>
        <sz val="11"/>
        <color theme="1"/>
        <rFont val="Calibri"/>
        <family val="2"/>
        <scheme val="minor"/>
      </rPr>
      <t>(W)</t>
    </r>
  </si>
  <si>
    <r>
      <t>On-State Resistance, R</t>
    </r>
    <r>
      <rPr>
        <vertAlign val="subscript"/>
        <sz val="10"/>
        <rFont val="Arial"/>
        <family val="2"/>
      </rPr>
      <t>DS(on)</t>
    </r>
    <r>
      <rPr>
        <sz val="10"/>
        <rFont val="Arial"/>
        <family val="2"/>
      </rPr>
      <t xml:space="preserve"> </t>
    </r>
  </si>
  <si>
    <r>
      <t>Total Gate Charge, Q</t>
    </r>
    <r>
      <rPr>
        <vertAlign val="subscript"/>
        <sz val="10"/>
        <rFont val="Arial"/>
        <family val="2"/>
      </rPr>
      <t>G</t>
    </r>
    <r>
      <rPr>
        <sz val="10"/>
        <rFont val="Arial"/>
        <family val="2"/>
      </rPr>
      <t xml:space="preserve"> </t>
    </r>
  </si>
  <si>
    <r>
      <t>Gate-Drain Charge, Q</t>
    </r>
    <r>
      <rPr>
        <vertAlign val="subscript"/>
        <sz val="10"/>
        <rFont val="Arial"/>
        <family val="2"/>
      </rPr>
      <t>GD</t>
    </r>
    <r>
      <rPr>
        <sz val="10"/>
        <rFont val="Arial"/>
        <family val="2"/>
      </rPr>
      <t xml:space="preserve"> </t>
    </r>
  </si>
  <si>
    <r>
      <t>Gate-Source Charge, Q</t>
    </r>
    <r>
      <rPr>
        <vertAlign val="subscript"/>
        <sz val="10"/>
        <rFont val="Arial"/>
        <family val="2"/>
      </rPr>
      <t>GS</t>
    </r>
    <r>
      <rPr>
        <sz val="10"/>
        <rFont val="Arial"/>
        <family val="2"/>
      </rPr>
      <t xml:space="preserve"> </t>
    </r>
  </si>
  <si>
    <r>
      <t>Gate Resistance, R</t>
    </r>
    <r>
      <rPr>
        <vertAlign val="subscript"/>
        <sz val="10"/>
        <rFont val="Arial"/>
        <family val="2"/>
      </rPr>
      <t>G</t>
    </r>
    <r>
      <rPr>
        <sz val="10"/>
        <rFont val="Arial"/>
        <family val="2"/>
      </rPr>
      <t xml:space="preserve"> </t>
    </r>
  </si>
  <si>
    <r>
      <t>Transconductance, g</t>
    </r>
    <r>
      <rPr>
        <vertAlign val="subscript"/>
        <sz val="10"/>
        <rFont val="Arial"/>
        <family val="2"/>
      </rPr>
      <t>FS</t>
    </r>
    <r>
      <rPr>
        <sz val="10"/>
        <rFont val="Arial"/>
        <family val="2"/>
      </rPr>
      <t xml:space="preserve"> </t>
    </r>
  </si>
  <si>
    <r>
      <t>Gate-Source Threshold Voltage, V</t>
    </r>
    <r>
      <rPr>
        <vertAlign val="subscript"/>
        <sz val="10"/>
        <rFont val="Arial"/>
        <family val="2"/>
      </rPr>
      <t>TH</t>
    </r>
    <r>
      <rPr>
        <sz val="10"/>
        <rFont val="Arial"/>
        <family val="2"/>
      </rPr>
      <t xml:space="preserve"> </t>
    </r>
  </si>
  <si>
    <t>mΩ</t>
  </si>
  <si>
    <t>nC</t>
  </si>
  <si>
    <t>Ω</t>
  </si>
  <si>
    <t>S</t>
  </si>
  <si>
    <t>Diode Parameters</t>
  </si>
  <si>
    <t>MOSFET parameters</t>
  </si>
  <si>
    <r>
      <t>Forward Voltage Drop (V</t>
    </r>
    <r>
      <rPr>
        <vertAlign val="subscript"/>
        <sz val="11"/>
        <color theme="1"/>
        <rFont val="Calibri"/>
        <family val="2"/>
        <scheme val="minor"/>
      </rPr>
      <t>D</t>
    </r>
    <r>
      <rPr>
        <sz val="11"/>
        <color theme="1"/>
        <rFont val="Calibri"/>
        <family val="2"/>
        <scheme val="minor"/>
      </rPr>
      <t>)</t>
    </r>
  </si>
  <si>
    <t>MOSFET Parameters</t>
  </si>
  <si>
    <t>Qg_tot</t>
  </si>
  <si>
    <t>Qgs</t>
  </si>
  <si>
    <t>Qgd</t>
  </si>
  <si>
    <t>Rgate</t>
  </si>
  <si>
    <t>gfs</t>
  </si>
  <si>
    <t>Vth</t>
  </si>
  <si>
    <t>Reverse recovery charge of Schottky  Diode (QRR)</t>
  </si>
  <si>
    <t>C</t>
  </si>
  <si>
    <t>Shottky Reverse recovery charge</t>
  </si>
  <si>
    <t>Qrr</t>
  </si>
  <si>
    <t>RDS_on</t>
  </si>
  <si>
    <t>Rgate_int</t>
  </si>
  <si>
    <t>Internal Gate resistance of the MOSFET driver.</t>
  </si>
  <si>
    <t>Vsp</t>
  </si>
  <si>
    <t>Gate voltage when MOSFET begins conducting current</t>
  </si>
  <si>
    <t>Rise time of the switch node</t>
  </si>
  <si>
    <t>Fall time of the switch node</t>
  </si>
  <si>
    <t>VCC</t>
  </si>
  <si>
    <t>VCC regulator</t>
  </si>
  <si>
    <t>Vcc</t>
  </si>
  <si>
    <t>Regulated output voltage of internal LDO. Can change if this is externally biased.</t>
  </si>
  <si>
    <t>Need to double check this value</t>
  </si>
  <si>
    <t xml:space="preserve">VCC voltage. Can be changed with external bias. </t>
  </si>
  <si>
    <t>tr_sw</t>
  </si>
  <si>
    <t>tf_sw</t>
  </si>
  <si>
    <r>
      <t>ISW</t>
    </r>
    <r>
      <rPr>
        <vertAlign val="subscript"/>
        <sz val="11"/>
        <color theme="1"/>
        <rFont val="Calibri"/>
        <family val="2"/>
        <scheme val="minor"/>
      </rPr>
      <t xml:space="preserve">AVG </t>
    </r>
    <r>
      <rPr>
        <sz val="11"/>
        <color theme="1"/>
        <rFont val="Calibri"/>
        <family val="2"/>
        <scheme val="minor"/>
      </rPr>
      <t>(A)</t>
    </r>
  </si>
  <si>
    <r>
      <t>ISW</t>
    </r>
    <r>
      <rPr>
        <vertAlign val="subscript"/>
        <sz val="11"/>
        <color theme="1"/>
        <rFont val="Calibri"/>
        <family val="2"/>
        <scheme val="minor"/>
      </rPr>
      <t>RMS</t>
    </r>
  </si>
  <si>
    <r>
      <t>P</t>
    </r>
    <r>
      <rPr>
        <vertAlign val="subscript"/>
        <sz val="11"/>
        <color theme="1"/>
        <rFont val="Calibri"/>
        <family val="2"/>
        <scheme val="minor"/>
      </rPr>
      <t xml:space="preserve">Q_SW </t>
    </r>
    <r>
      <rPr>
        <sz val="11"/>
        <color theme="1"/>
        <rFont val="Calibri"/>
        <family val="2"/>
        <scheme val="minor"/>
      </rPr>
      <t>(W)</t>
    </r>
  </si>
  <si>
    <r>
      <t>P</t>
    </r>
    <r>
      <rPr>
        <vertAlign val="subscript"/>
        <sz val="11"/>
        <color theme="1"/>
        <rFont val="Calibri"/>
        <family val="2"/>
        <scheme val="minor"/>
      </rPr>
      <t xml:space="preserve">Q_COND </t>
    </r>
    <r>
      <rPr>
        <sz val="11"/>
        <color theme="1"/>
        <rFont val="Calibri"/>
        <family val="2"/>
        <scheme val="minor"/>
      </rPr>
      <t>(W)</t>
    </r>
  </si>
  <si>
    <r>
      <t>P</t>
    </r>
    <r>
      <rPr>
        <vertAlign val="subscript"/>
        <sz val="11"/>
        <color theme="1"/>
        <rFont val="Calibri"/>
        <family val="2"/>
        <scheme val="minor"/>
      </rPr>
      <t xml:space="preserve">Q_tot </t>
    </r>
    <r>
      <rPr>
        <sz val="11"/>
        <color theme="1"/>
        <rFont val="Calibri"/>
        <family val="2"/>
        <scheme val="minor"/>
      </rPr>
      <t>(W)</t>
    </r>
  </si>
  <si>
    <r>
      <t>P</t>
    </r>
    <r>
      <rPr>
        <vertAlign val="subscript"/>
        <sz val="11"/>
        <color theme="1"/>
        <rFont val="Calibri"/>
        <family val="2"/>
        <scheme val="minor"/>
      </rPr>
      <t xml:space="preserve">D_tot </t>
    </r>
    <r>
      <rPr>
        <sz val="11"/>
        <color theme="1"/>
        <rFont val="Calibri"/>
        <family val="2"/>
        <scheme val="minor"/>
      </rPr>
      <t>(W)</t>
    </r>
  </si>
  <si>
    <r>
      <t>P</t>
    </r>
    <r>
      <rPr>
        <vertAlign val="subscript"/>
        <sz val="11"/>
        <color theme="1"/>
        <rFont val="Calibri"/>
        <family val="2"/>
        <scheme val="minor"/>
      </rPr>
      <t>L_tot</t>
    </r>
    <r>
      <rPr>
        <sz val="11"/>
        <color theme="1"/>
        <rFont val="Calibri"/>
        <family val="2"/>
        <scheme val="minor"/>
      </rPr>
      <t xml:space="preserve"> (W)</t>
    </r>
  </si>
  <si>
    <r>
      <t>P</t>
    </r>
    <r>
      <rPr>
        <vertAlign val="subscript"/>
        <sz val="11"/>
        <color theme="1"/>
        <rFont val="Calibri"/>
        <family val="2"/>
        <scheme val="minor"/>
      </rPr>
      <t>RCS</t>
    </r>
    <r>
      <rPr>
        <sz val="11"/>
        <color theme="1"/>
        <rFont val="Calibri"/>
        <family val="2"/>
        <scheme val="minor"/>
      </rPr>
      <t xml:space="preserve"> (W)</t>
    </r>
  </si>
  <si>
    <t>Total Losses</t>
  </si>
  <si>
    <r>
      <t>P</t>
    </r>
    <r>
      <rPr>
        <vertAlign val="subscript"/>
        <sz val="11"/>
        <color theme="1"/>
        <rFont val="Calibri"/>
        <family val="2"/>
        <scheme val="minor"/>
      </rPr>
      <t>TOTAL</t>
    </r>
    <r>
      <rPr>
        <sz val="11"/>
        <color theme="1"/>
        <rFont val="Calibri"/>
        <family val="2"/>
        <scheme val="minor"/>
      </rPr>
      <t xml:space="preserve"> (W)</t>
    </r>
  </si>
  <si>
    <r>
      <t>P</t>
    </r>
    <r>
      <rPr>
        <vertAlign val="subscript"/>
        <sz val="11"/>
        <color theme="1"/>
        <rFont val="Calibri"/>
        <family val="2"/>
        <scheme val="minor"/>
      </rPr>
      <t>G_drv</t>
    </r>
    <r>
      <rPr>
        <sz val="11"/>
        <color theme="1"/>
        <rFont val="Calibri"/>
        <family val="2"/>
        <scheme val="minor"/>
      </rPr>
      <t xml:space="preserve"> (W)</t>
    </r>
  </si>
  <si>
    <r>
      <t>P</t>
    </r>
    <r>
      <rPr>
        <vertAlign val="subscript"/>
        <sz val="11"/>
        <color theme="1"/>
        <rFont val="Calibri"/>
        <family val="2"/>
        <scheme val="minor"/>
      </rPr>
      <t>IQ</t>
    </r>
    <r>
      <rPr>
        <sz val="11"/>
        <color theme="1"/>
        <rFont val="Calibri"/>
        <family val="2"/>
        <scheme val="minor"/>
      </rPr>
      <t xml:space="preserve"> (W)</t>
    </r>
  </si>
  <si>
    <t>IQ current</t>
  </si>
  <si>
    <t xml:space="preserve">IQ </t>
  </si>
  <si>
    <t>Non-switching IQ current</t>
  </si>
  <si>
    <t>Other Losses</t>
  </si>
  <si>
    <t>Eff</t>
  </si>
  <si>
    <r>
      <t>P</t>
    </r>
    <r>
      <rPr>
        <vertAlign val="subscript"/>
        <sz val="11"/>
        <color theme="1"/>
        <rFont val="Calibri"/>
        <family val="2"/>
        <scheme val="minor"/>
      </rPr>
      <t>OUT</t>
    </r>
    <r>
      <rPr>
        <sz val="11"/>
        <color theme="1"/>
        <rFont val="Calibri"/>
        <family val="2"/>
        <scheme val="minor"/>
      </rPr>
      <t xml:space="preserve"> (W)</t>
    </r>
  </si>
  <si>
    <t>MOSFET</t>
  </si>
  <si>
    <t>Inductor</t>
  </si>
  <si>
    <t>Diode</t>
  </si>
  <si>
    <r>
      <t>C</t>
    </r>
    <r>
      <rPr>
        <vertAlign val="subscript"/>
        <sz val="11"/>
        <color theme="1"/>
        <rFont val="Calibri"/>
        <family val="2"/>
        <scheme val="minor"/>
      </rPr>
      <t>COMP</t>
    </r>
  </si>
  <si>
    <r>
      <t>C</t>
    </r>
    <r>
      <rPr>
        <vertAlign val="subscript"/>
        <sz val="11"/>
        <color theme="1"/>
        <rFont val="Calibri"/>
        <family val="2"/>
        <scheme val="minor"/>
      </rPr>
      <t>HF</t>
    </r>
  </si>
  <si>
    <t>IOUT_VAR</t>
  </si>
  <si>
    <t>Variable output current (Need to add this in</t>
  </si>
  <si>
    <t>RHP_zero location based on the minimum input voltage</t>
  </si>
  <si>
    <t>Low frequency pole based on the minimum input voltage</t>
  </si>
  <si>
    <t>rad</t>
  </si>
  <si>
    <t>raf</t>
  </si>
  <si>
    <t>ESR zero based on the minimum input voltage</t>
  </si>
  <si>
    <t>This is based on the minimum input voltage. T</t>
  </si>
  <si>
    <t>Input Voltage</t>
  </si>
  <si>
    <r>
      <t>Recommended Inductance (L</t>
    </r>
    <r>
      <rPr>
        <vertAlign val="subscript"/>
        <sz val="10"/>
        <color theme="1"/>
        <rFont val="Calibri"/>
        <family val="2"/>
        <scheme val="minor"/>
      </rPr>
      <t>M_CALC</t>
    </r>
    <r>
      <rPr>
        <sz val="10"/>
        <color theme="1"/>
        <rFont val="Calibri"/>
        <family val="2"/>
        <scheme val="minor"/>
      </rPr>
      <t>)</t>
    </r>
  </si>
  <si>
    <r>
      <t>User Selection. Inductance, (L</t>
    </r>
    <r>
      <rPr>
        <vertAlign val="subscript"/>
        <sz val="10"/>
        <color theme="1"/>
        <rFont val="Calibri"/>
        <family val="2"/>
        <scheme val="minor"/>
      </rPr>
      <t>M</t>
    </r>
    <r>
      <rPr>
        <sz val="10"/>
        <color theme="1"/>
        <rFont val="Calibri"/>
        <family val="2"/>
        <scheme val="minor"/>
      </rPr>
      <t>)</t>
    </r>
  </si>
  <si>
    <t>Id_AVG</t>
  </si>
  <si>
    <t xml:space="preserve">Suggested average current rating of diode. </t>
  </si>
  <si>
    <r>
      <t>Calculated top UVLO resistor value (R</t>
    </r>
    <r>
      <rPr>
        <vertAlign val="subscript"/>
        <sz val="11"/>
        <color theme="1"/>
        <rFont val="Calibri"/>
        <family val="2"/>
        <scheme val="minor"/>
      </rPr>
      <t>UVT_CALC</t>
    </r>
    <r>
      <rPr>
        <sz val="11"/>
        <color theme="1"/>
        <rFont val="Calibri"/>
        <family val="2"/>
        <scheme val="minor"/>
      </rPr>
      <t>)</t>
    </r>
  </si>
  <si>
    <r>
      <t>Selected top UVLO resistor value (R</t>
    </r>
    <r>
      <rPr>
        <vertAlign val="subscript"/>
        <sz val="11"/>
        <color theme="1"/>
        <rFont val="Calibri"/>
        <family val="2"/>
        <scheme val="minor"/>
      </rPr>
      <t>UVT</t>
    </r>
    <r>
      <rPr>
        <sz val="11"/>
        <color theme="1"/>
        <rFont val="Calibri"/>
        <family val="2"/>
        <scheme val="minor"/>
      </rPr>
      <t>)</t>
    </r>
  </si>
  <si>
    <r>
      <t>Bottom UVLO Resistor (R</t>
    </r>
    <r>
      <rPr>
        <vertAlign val="subscript"/>
        <sz val="11"/>
        <color theme="1"/>
        <rFont val="Calibri"/>
        <family val="2"/>
        <scheme val="minor"/>
      </rPr>
      <t>UVB</t>
    </r>
    <r>
      <rPr>
        <sz val="11"/>
        <color theme="1"/>
        <rFont val="Calibri"/>
        <family val="2"/>
        <scheme val="minor"/>
      </rPr>
      <t>)</t>
    </r>
  </si>
  <si>
    <t>Calcualted top UVLO resistor</t>
  </si>
  <si>
    <t>Selected top UVLO resistor</t>
  </si>
  <si>
    <t>Calcualted Bottom UBLO Resistor</t>
  </si>
  <si>
    <t>Frcoss (VIN)min</t>
  </si>
  <si>
    <t>ADC_VINmin</t>
  </si>
  <si>
    <t>wp_lf_VINmin</t>
  </si>
  <si>
    <t>fp_lf_VINmin</t>
  </si>
  <si>
    <t>wz_esr_VINmin</t>
  </si>
  <si>
    <t>fz_esr_VINmin</t>
  </si>
  <si>
    <t>wz_RHP_VINmin</t>
  </si>
  <si>
    <t>fz_rhp_VINmin</t>
  </si>
  <si>
    <t>Se_VINmin</t>
  </si>
  <si>
    <t>Sn_VINmin</t>
  </si>
  <si>
    <t>wsl_VINmin</t>
  </si>
  <si>
    <t>Q_VINmin</t>
  </si>
  <si>
    <t>Operation Raange</t>
  </si>
  <si>
    <t>Vin_op_min</t>
  </si>
  <si>
    <t>Minimum operating voltage</t>
  </si>
  <si>
    <t>Maximum BIAS pin operating voltage</t>
  </si>
  <si>
    <t>Vin_op_max</t>
  </si>
  <si>
    <r>
      <t>Boost Converter Duty Cycle Limit by LM5155 at V</t>
    </r>
    <r>
      <rPr>
        <vertAlign val="subscript"/>
        <sz val="10"/>
        <color theme="1"/>
        <rFont val="Calibri"/>
        <family val="2"/>
        <scheme val="minor"/>
      </rPr>
      <t>SUPPLY(MIN)</t>
    </r>
  </si>
  <si>
    <r>
      <t>Desired Maximum Inductor Current Ripple Ratio (I</t>
    </r>
    <r>
      <rPr>
        <vertAlign val="subscript"/>
        <sz val="10"/>
        <color theme="1"/>
        <rFont val="Calibri"/>
        <family val="2"/>
        <scheme val="minor"/>
      </rPr>
      <t>RR_MAX</t>
    </r>
    <r>
      <rPr>
        <sz val="10"/>
        <color theme="1"/>
        <rFont val="Calibri"/>
        <family val="2"/>
        <scheme val="minor"/>
      </rPr>
      <t>)</t>
    </r>
  </si>
  <si>
    <t>Peak Current Limit Margin</t>
  </si>
  <si>
    <r>
      <t>Voltage selected (V</t>
    </r>
    <r>
      <rPr>
        <vertAlign val="subscript"/>
        <sz val="11"/>
        <rFont val="Calibri"/>
        <family val="2"/>
        <scheme val="minor"/>
      </rPr>
      <t>IN_VAR</t>
    </r>
    <r>
      <rPr>
        <sz val="11"/>
        <rFont val="Calibri"/>
        <family val="2"/>
        <scheme val="minor"/>
      </rPr>
      <t>)</t>
    </r>
  </si>
  <si>
    <t>This should be set at or near the lowest RHP zero Frequency</t>
  </si>
  <si>
    <t>Set between 1/2 fsw and the RHPz in the application note. This is aggressive</t>
  </si>
  <si>
    <r>
      <t>Recommended minimum average current rating (I</t>
    </r>
    <r>
      <rPr>
        <vertAlign val="subscript"/>
        <sz val="11"/>
        <color theme="1"/>
        <rFont val="Calibri"/>
        <family val="2"/>
        <scheme val="minor"/>
      </rPr>
      <t>D_AVG</t>
    </r>
    <r>
      <rPr>
        <sz val="11"/>
        <color theme="1"/>
        <rFont val="Calibri"/>
        <family val="2"/>
        <scheme val="minor"/>
      </rPr>
      <t>)</t>
    </r>
  </si>
  <si>
    <r>
      <t>Recommended current sense Resistor (R</t>
    </r>
    <r>
      <rPr>
        <vertAlign val="subscript"/>
        <sz val="11"/>
        <color theme="1"/>
        <rFont val="Calibri"/>
        <family val="2"/>
        <scheme val="minor"/>
      </rPr>
      <t>S</t>
    </r>
    <r>
      <rPr>
        <sz val="11"/>
        <color theme="1"/>
        <rFont val="Calibri"/>
        <family val="2"/>
        <scheme val="minor"/>
      </rPr>
      <t>)</t>
    </r>
  </si>
  <si>
    <r>
      <t>Selected current sense Resistor (R</t>
    </r>
    <r>
      <rPr>
        <vertAlign val="subscript"/>
        <sz val="11"/>
        <color theme="1"/>
        <rFont val="Calibri"/>
        <family val="2"/>
        <scheme val="minor"/>
      </rPr>
      <t>S</t>
    </r>
    <r>
      <rPr>
        <sz val="11"/>
        <color theme="1"/>
        <rFont val="Calibri"/>
        <family val="2"/>
        <scheme val="minor"/>
      </rPr>
      <t>)</t>
    </r>
  </si>
  <si>
    <t>CCM</t>
  </si>
  <si>
    <t>DCM</t>
  </si>
  <si>
    <t>Dc_DCM_max_ideal</t>
  </si>
  <si>
    <t>Duty cycle at the mimum input voltage (DCM)</t>
  </si>
  <si>
    <t>Duty cycle at the nominal input voltage (DCM)</t>
  </si>
  <si>
    <t>Duty cycle at the maximum input voltage (DCM)</t>
  </si>
  <si>
    <t>Dc_DCM_VIN_min</t>
  </si>
  <si>
    <t>IL_avg_DCM_VIN_min</t>
  </si>
  <si>
    <t>Dc_DCM_VIN_nom</t>
  </si>
  <si>
    <t>IL_avg_DCM_VIN_nom</t>
  </si>
  <si>
    <t>Dc_DCM_VIN_max</t>
  </si>
  <si>
    <t xml:space="preserve">Duty cycle at the mimum input voltage </t>
  </si>
  <si>
    <t>Duty cycle at the nominal input voltage</t>
  </si>
  <si>
    <t>Duty cycle at the maximum input voltage</t>
  </si>
  <si>
    <t>Dc_CCM_max_ideal</t>
  </si>
  <si>
    <t>Dc_CCM_VIN_min</t>
  </si>
  <si>
    <t>IL_avg_CCM_VIN_min</t>
  </si>
  <si>
    <t>Dc_CCM_VIN_nom</t>
  </si>
  <si>
    <t>IL_avg_CCM_VIN_nom</t>
  </si>
  <si>
    <t>Dc_CCM_VIN_max</t>
  </si>
  <si>
    <t>IL_avg_CCM_VIN_max</t>
  </si>
  <si>
    <t>Selected Mode for Calculation</t>
  </si>
  <si>
    <t>Possible Mode due to Load and L Selection</t>
  </si>
  <si>
    <t xml:space="preserve">Ideal Duty Cycle at VSUPPLY(MIN) </t>
  </si>
  <si>
    <t>CCM/DCM selected</t>
  </si>
  <si>
    <t>Rsl_max</t>
  </si>
  <si>
    <t>Maximum Value of Rsl (DS page 21)</t>
  </si>
  <si>
    <t>Operation Mode</t>
  </si>
  <si>
    <t>Version Number</t>
  </si>
  <si>
    <t>1.0.0</t>
  </si>
  <si>
    <t>Version History</t>
  </si>
  <si>
    <t>Version</t>
  </si>
  <si>
    <t>Change List Description</t>
  </si>
  <si>
    <t>Initial Release</t>
  </si>
  <si>
    <r>
      <t>Desired soft-start time at minimum input voltage (T</t>
    </r>
    <r>
      <rPr>
        <vertAlign val="subscript"/>
        <sz val="11"/>
        <color theme="1"/>
        <rFont val="Calibri"/>
        <family val="2"/>
        <scheme val="minor"/>
      </rPr>
      <t>SS</t>
    </r>
    <r>
      <rPr>
        <sz val="11"/>
        <color theme="1"/>
        <rFont val="Calibri"/>
        <family val="2"/>
        <scheme val="minor"/>
      </rPr>
      <t>)</t>
    </r>
  </si>
  <si>
    <r>
      <t>Select a bottom resistor based on calculated value(R</t>
    </r>
    <r>
      <rPr>
        <vertAlign val="subscript"/>
        <sz val="11"/>
        <color theme="1"/>
        <rFont val="Calibri"/>
        <family val="2"/>
        <scheme val="minor"/>
      </rPr>
      <t>FBB</t>
    </r>
    <r>
      <rPr>
        <sz val="11"/>
        <color theme="1"/>
        <rFont val="Calibri"/>
        <family val="2"/>
        <scheme val="minor"/>
      </rPr>
      <t>)</t>
    </r>
  </si>
  <si>
    <t>1.1.0</t>
  </si>
  <si>
    <t>Added DCM mode</t>
  </si>
  <si>
    <t>Sel_Cond_Mode</t>
  </si>
  <si>
    <t>ConductionMode</t>
  </si>
  <si>
    <t>Gain Cross</t>
  </si>
  <si>
    <t>Phase Cross</t>
  </si>
  <si>
    <t>XOVER SEARCH</t>
  </si>
  <si>
    <t>xover</t>
  </si>
  <si>
    <t>phase margin</t>
  </si>
  <si>
    <r>
      <t>Target Output Voltage, V</t>
    </r>
    <r>
      <rPr>
        <vertAlign val="subscript"/>
        <sz val="10"/>
        <color theme="1"/>
        <rFont val="Calibri"/>
        <family val="2"/>
        <scheme val="minor"/>
      </rPr>
      <t>LOAD</t>
    </r>
    <r>
      <rPr>
        <sz val="10"/>
        <color theme="1"/>
        <rFont val="Calibri"/>
        <family val="2"/>
        <scheme val="minor"/>
      </rPr>
      <t xml:space="preserve"> </t>
    </r>
  </si>
  <si>
    <r>
      <t>Desired Output ripple voltage (</t>
    </r>
    <r>
      <rPr>
        <sz val="11"/>
        <color theme="1"/>
        <rFont val="Calibri"/>
        <family val="2"/>
      </rPr>
      <t>Δv</t>
    </r>
    <r>
      <rPr>
        <vertAlign val="subscript"/>
        <sz val="11"/>
        <color theme="1"/>
        <rFont val="Calibri"/>
        <family val="2"/>
      </rPr>
      <t>OUT</t>
    </r>
    <r>
      <rPr>
        <sz val="11"/>
        <color theme="1"/>
        <rFont val="Calibri"/>
        <family val="2"/>
      </rPr>
      <t>)</t>
    </r>
  </si>
  <si>
    <r>
      <rPr>
        <sz val="11"/>
        <color theme="1"/>
        <rFont val="Calibri"/>
        <family val="2"/>
      </rPr>
      <t>μ</t>
    </r>
    <r>
      <rPr>
        <sz val="11"/>
        <color theme="1"/>
        <rFont val="Calibri"/>
        <family val="2"/>
        <scheme val="minor"/>
      </rPr>
      <t>H</t>
    </r>
  </si>
  <si>
    <r>
      <rPr>
        <sz val="11"/>
        <color theme="1"/>
        <rFont val="Calibri"/>
        <family val="2"/>
      </rPr>
      <t>μ</t>
    </r>
    <r>
      <rPr>
        <sz val="11"/>
        <color theme="1"/>
        <rFont val="Calibri"/>
        <family val="2"/>
        <scheme val="minor"/>
      </rPr>
      <t>F</t>
    </r>
  </si>
  <si>
    <t>wp_hf</t>
  </si>
  <si>
    <t>HF pole used for DCM</t>
  </si>
  <si>
    <t>Fn</t>
  </si>
  <si>
    <t>M</t>
  </si>
  <si>
    <t>Hd</t>
  </si>
  <si>
    <t>tauL</t>
  </si>
  <si>
    <t>Suggested maximum bandwidth</t>
  </si>
  <si>
    <r>
      <t>Selected bandwidth (F</t>
    </r>
    <r>
      <rPr>
        <vertAlign val="subscript"/>
        <sz val="11"/>
        <color theme="1"/>
        <rFont val="Calibri"/>
        <family val="2"/>
        <scheme val="minor"/>
      </rPr>
      <t>CO</t>
    </r>
    <r>
      <rPr>
        <sz val="11"/>
        <color theme="1"/>
        <rFont val="Calibri"/>
        <family val="2"/>
        <scheme val="minor"/>
      </rPr>
      <t>)</t>
    </r>
  </si>
  <si>
    <t>Mode</t>
  </si>
  <si>
    <t>Valid Lm</t>
  </si>
  <si>
    <t>L dcm/ccm</t>
  </si>
  <si>
    <t>min</t>
  </si>
  <si>
    <t>max</t>
  </si>
  <si>
    <t>min10%</t>
  </si>
  <si>
    <t>max10%</t>
  </si>
  <si>
    <t>V in min</t>
  </si>
  <si>
    <t>V in nom</t>
  </si>
  <si>
    <t>DC CCM &lt; DCM</t>
  </si>
  <si>
    <t>CCM/DCM</t>
  </si>
  <si>
    <t>Dc_Mode_Loop_Loop</t>
  </si>
  <si>
    <t>Duty Cycle mode for Loop Comenstation</t>
  </si>
  <si>
    <t>CCM only</t>
  </si>
  <si>
    <t>DCM only</t>
  </si>
  <si>
    <t>ModeCheck</t>
  </si>
  <si>
    <t>Lcalc_VIN_max</t>
  </si>
  <si>
    <t>Lcalc_VIN_nom</t>
  </si>
  <si>
    <t>Inductor at Nominal input voltage</t>
  </si>
  <si>
    <t>Inductor at Maximum input voltage</t>
  </si>
  <si>
    <t>V in max</t>
  </si>
  <si>
    <t>Strategy DCM</t>
  </si>
  <si>
    <t>L_DCM</t>
  </si>
  <si>
    <t>1.1.1</t>
  </si>
  <si>
    <t>Fixed reporting of wrong phase Margin</t>
  </si>
  <si>
    <t>Rev 1.1.1</t>
  </si>
  <si>
    <t>August-2021</t>
  </si>
  <si>
    <t>LM5155/56 DC/DC BOOST Controller Design Tool</t>
  </si>
  <si>
    <t>VIN_op_max_56</t>
  </si>
  <si>
    <t>Maximum BIAS pin operating voltage LM5156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</si>
</sst>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0.000"/>
    <numFmt numFmtId="165" formatCode="0.000E+00"/>
    <numFmt numFmtId="166" formatCode="0.0000"/>
    <numFmt numFmtId="167" formatCode="0.0000E+00"/>
    <numFmt numFmtId="168" formatCode="0.0"/>
    <numFmt numFmtId="169" formatCode="0.0E+00"/>
  </numFmts>
  <fonts count="44" x14ac:knownFonts="1">
    <font>
      <sz val="11"/>
      <color theme="1"/>
      <name val="Calibri"/>
      <family val="2"/>
      <scheme val="minor"/>
    </font>
    <font>
      <sz val="11"/>
      <color theme="1"/>
      <name val="Calibri"/>
      <family val="2"/>
      <scheme val="minor"/>
    </font>
    <font>
      <b/>
      <sz val="11"/>
      <color theme="0"/>
      <name val="Calibri"/>
      <family val="2"/>
      <scheme val="minor"/>
    </font>
    <font>
      <sz val="10"/>
      <name val="Arial"/>
      <family val="2"/>
    </font>
    <font>
      <sz val="10"/>
      <name val="Arial"/>
      <family val="2"/>
    </font>
    <font>
      <b/>
      <sz val="10"/>
      <name val="Arial"/>
      <family val="2"/>
    </font>
    <font>
      <b/>
      <sz val="22"/>
      <color indexed="44"/>
      <name val="Arial"/>
      <family val="2"/>
    </font>
    <font>
      <b/>
      <sz val="9"/>
      <color indexed="81"/>
      <name val="Tahoma"/>
      <family val="2"/>
    </font>
    <font>
      <sz val="9"/>
      <color indexed="81"/>
      <name val="Tahoma"/>
      <family val="2"/>
    </font>
    <font>
      <b/>
      <sz val="12"/>
      <color rgb="FF0000FF"/>
      <name val="Arial"/>
      <family val="2"/>
    </font>
    <font>
      <sz val="28"/>
      <color theme="0"/>
      <name val="Calibri"/>
      <family val="2"/>
      <scheme val="minor"/>
    </font>
    <font>
      <b/>
      <sz val="11"/>
      <color indexed="10"/>
      <name val="Tahoma"/>
      <family val="2"/>
    </font>
    <font>
      <sz val="10"/>
      <color theme="1"/>
      <name val="Calibri"/>
      <family val="2"/>
      <scheme val="minor"/>
    </font>
    <font>
      <vertAlign val="subscript"/>
      <sz val="10"/>
      <color theme="1"/>
      <name val="Calibri"/>
      <family val="2"/>
      <scheme val="minor"/>
    </font>
    <font>
      <sz val="11"/>
      <name val="Calibri"/>
      <family val="2"/>
      <scheme val="minor"/>
    </font>
    <font>
      <b/>
      <sz val="11"/>
      <color rgb="FF0070C0"/>
      <name val="Calibri"/>
      <family val="2"/>
      <scheme val="minor"/>
    </font>
    <font>
      <sz val="11"/>
      <color theme="1"/>
      <name val="Calibri"/>
      <family val="2"/>
    </font>
    <font>
      <u/>
      <sz val="11"/>
      <color theme="1"/>
      <name val="Calibri"/>
      <family val="2"/>
      <scheme val="minor"/>
    </font>
    <font>
      <vertAlign val="subscript"/>
      <sz val="11"/>
      <color theme="1"/>
      <name val="Calibri"/>
      <family val="2"/>
      <scheme val="minor"/>
    </font>
    <font>
      <b/>
      <sz val="12"/>
      <color theme="1"/>
      <name val="Calibri"/>
      <family val="2"/>
      <scheme val="minor"/>
    </font>
    <font>
      <vertAlign val="subscript"/>
      <sz val="11"/>
      <color theme="1"/>
      <name val="Calibri"/>
      <family val="2"/>
    </font>
    <font>
      <b/>
      <sz val="11"/>
      <color theme="3" tint="0.39997558519241921"/>
      <name val="Calibri"/>
      <family val="2"/>
      <scheme val="minor"/>
    </font>
    <font>
      <b/>
      <sz val="11"/>
      <color theme="1"/>
      <name val="Calibri"/>
      <family val="2"/>
      <scheme val="minor"/>
    </font>
    <font>
      <sz val="10"/>
      <name val="Calibri"/>
      <family val="2"/>
      <scheme val="minor"/>
    </font>
    <font>
      <b/>
      <sz val="12"/>
      <color rgb="FF00B0F0"/>
      <name val="Calibri"/>
      <family val="2"/>
      <scheme val="minor"/>
    </font>
    <font>
      <b/>
      <sz val="11"/>
      <color rgb="FF00B0F0"/>
      <name val="Calibri"/>
      <family val="2"/>
      <scheme val="minor"/>
    </font>
    <font>
      <b/>
      <sz val="10"/>
      <color rgb="FF00B0F0"/>
      <name val="Arial"/>
      <family val="2"/>
    </font>
    <font>
      <sz val="18"/>
      <color theme="0"/>
      <name val="Calibri"/>
      <family val="2"/>
      <scheme val="minor"/>
    </font>
    <font>
      <vertAlign val="subscript"/>
      <sz val="10"/>
      <name val="Arial"/>
      <family val="2"/>
    </font>
    <font>
      <vertAlign val="subscript"/>
      <sz val="11"/>
      <name val="Calibri"/>
      <family val="2"/>
      <scheme val="minor"/>
    </font>
    <font>
      <b/>
      <sz val="11"/>
      <color theme="4"/>
      <name val="Calibri"/>
      <family val="2"/>
      <scheme val="minor"/>
    </font>
    <font>
      <b/>
      <sz val="9"/>
      <color indexed="10"/>
      <name val="Tahoma"/>
      <family val="2"/>
    </font>
    <font>
      <vertAlign val="subscript"/>
      <sz val="9"/>
      <color indexed="81"/>
      <name val="Tahoma"/>
      <family val="2"/>
    </font>
    <font>
      <sz val="11"/>
      <color indexed="10"/>
      <name val="Calibri"/>
      <family val="2"/>
      <scheme val="minor"/>
    </font>
    <font>
      <sz val="11"/>
      <color rgb="FFFF0000"/>
      <name val="Calibri"/>
      <family val="2"/>
      <scheme val="minor"/>
    </font>
    <font>
      <u/>
      <sz val="11"/>
      <color theme="10"/>
      <name val="Calibri"/>
      <family val="2"/>
      <scheme val="minor"/>
    </font>
    <font>
      <sz val="11"/>
      <color theme="1"/>
      <name val="Arial"/>
      <family val="2"/>
    </font>
    <font>
      <b/>
      <sz val="10"/>
      <color theme="1"/>
      <name val="Arial"/>
      <family val="2"/>
    </font>
    <font>
      <sz val="10"/>
      <color theme="1"/>
      <name val="Arial"/>
      <family val="2"/>
    </font>
    <font>
      <b/>
      <u/>
      <sz val="10"/>
      <color theme="10"/>
      <name val="Arial"/>
      <family val="2"/>
    </font>
    <font>
      <b/>
      <sz val="10"/>
      <color theme="0"/>
      <name val="Arial"/>
      <family val="2"/>
    </font>
    <font>
      <b/>
      <u/>
      <sz val="11"/>
      <color theme="10"/>
      <name val="Arial"/>
      <family val="2"/>
    </font>
    <font>
      <b/>
      <sz val="8"/>
      <color indexed="81"/>
      <name val="Tahoma"/>
      <family val="2"/>
    </font>
    <font>
      <b/>
      <sz val="9"/>
      <color indexed="52"/>
      <name val="Tahoma"/>
      <family val="2"/>
    </font>
  </fonts>
  <fills count="20">
    <fill>
      <patternFill patternType="none"/>
    </fill>
    <fill>
      <patternFill patternType="gray125"/>
    </fill>
    <fill>
      <patternFill patternType="solid">
        <fgColor indexed="8"/>
        <bgColor indexed="64"/>
      </patternFill>
    </fill>
    <fill>
      <patternFill patternType="solid">
        <fgColor indexed="22"/>
        <bgColor indexed="64"/>
      </patternFill>
    </fill>
    <fill>
      <patternFill patternType="solid">
        <fgColor indexed="52"/>
        <bgColor indexed="64"/>
      </patternFill>
    </fill>
    <fill>
      <patternFill patternType="solid">
        <fgColor indexed="50"/>
        <bgColor indexed="64"/>
      </patternFill>
    </fill>
    <fill>
      <patternFill patternType="solid">
        <fgColor rgb="FFFF0000"/>
        <bgColor indexed="64"/>
      </patternFill>
    </fill>
    <fill>
      <patternFill patternType="solid">
        <fgColor rgb="FFFFFF00"/>
        <bgColor indexed="64"/>
      </patternFill>
    </fill>
    <fill>
      <patternFill patternType="solid">
        <fgColor theme="0" tint="-0.499984740745262"/>
        <bgColor indexed="64"/>
      </patternFill>
    </fill>
    <fill>
      <patternFill patternType="solid">
        <fgColor rgb="FFFFC000"/>
        <bgColor indexed="64"/>
      </patternFill>
    </fill>
    <fill>
      <patternFill patternType="solid">
        <fgColor theme="0" tint="-0.249977111117893"/>
        <bgColor indexed="64"/>
      </patternFill>
    </fill>
    <fill>
      <patternFill patternType="solid">
        <fgColor rgb="FF92D050"/>
        <bgColor indexed="64"/>
      </patternFill>
    </fill>
    <fill>
      <patternFill patternType="solid">
        <fgColor theme="0" tint="-0.34998626667073579"/>
        <bgColor indexed="64"/>
      </patternFill>
    </fill>
    <fill>
      <patternFill patternType="solid">
        <fgColor theme="1" tint="4.9989318521683403E-2"/>
        <bgColor indexed="64"/>
      </patternFill>
    </fill>
    <fill>
      <patternFill patternType="solid">
        <fgColor theme="5" tint="0.79998168889431442"/>
        <bgColor indexed="64"/>
      </patternFill>
    </fill>
    <fill>
      <patternFill patternType="solid">
        <fgColor theme="2" tint="-0.89999084444715716"/>
        <bgColor indexed="64"/>
      </patternFill>
    </fill>
    <fill>
      <patternFill patternType="solid">
        <fgColor theme="0"/>
        <bgColor indexed="64"/>
      </patternFill>
    </fill>
    <fill>
      <patternFill patternType="solid">
        <fgColor theme="1"/>
        <bgColor indexed="64"/>
      </patternFill>
    </fill>
    <fill>
      <patternFill patternType="solid">
        <fgColor rgb="FFDE0000"/>
        <bgColor indexed="64"/>
      </patternFill>
    </fill>
    <fill>
      <patternFill patternType="solid">
        <fgColor indexed="44"/>
        <bgColor indexed="64"/>
      </patternFill>
    </fill>
  </fills>
  <borders count="29">
    <border>
      <left/>
      <right/>
      <top/>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9">
    <xf numFmtId="0" fontId="0" fillId="0" borderId="0"/>
    <xf numFmtId="0" fontId="3" fillId="0" borderId="0"/>
    <xf numFmtId="43" fontId="4" fillId="0" borderId="0" applyFont="0" applyFill="0" applyBorder="0" applyAlignment="0" applyProtection="0"/>
    <xf numFmtId="0" fontId="4" fillId="0" borderId="0"/>
    <xf numFmtId="0" fontId="1" fillId="0" borderId="0"/>
    <xf numFmtId="43" fontId="1" fillId="0" borderId="0" applyFont="0" applyFill="0" applyBorder="0" applyAlignment="0" applyProtection="0"/>
    <xf numFmtId="0" fontId="4" fillId="0" borderId="0"/>
    <xf numFmtId="0" fontId="4" fillId="0" borderId="0"/>
    <xf numFmtId="0" fontId="35" fillId="0" borderId="0" applyNumberFormat="0" applyFill="0" applyBorder="0" applyAlignment="0" applyProtection="0"/>
  </cellStyleXfs>
  <cellXfs count="251">
    <xf numFmtId="0" fontId="0" fillId="0" borderId="0" xfId="0"/>
    <xf numFmtId="0" fontId="0" fillId="9" borderId="0" xfId="0" applyFill="1"/>
    <xf numFmtId="0" fontId="16" fillId="0" borderId="0" xfId="0" applyFont="1"/>
    <xf numFmtId="0" fontId="0" fillId="10" borderId="0" xfId="0" applyFill="1"/>
    <xf numFmtId="0" fontId="4" fillId="0" borderId="0" xfId="3"/>
    <xf numFmtId="0" fontId="5" fillId="0" borderId="0" xfId="3" applyFont="1" applyAlignment="1">
      <alignment horizontal="center"/>
    </xf>
    <xf numFmtId="0" fontId="5" fillId="3" borderId="0" xfId="3" applyFont="1" applyFill="1" applyAlignment="1">
      <alignment horizontal="center"/>
    </xf>
    <xf numFmtId="0" fontId="5" fillId="4" borderId="0" xfId="3" applyFont="1" applyFill="1" applyAlignment="1">
      <alignment horizontal="center"/>
    </xf>
    <xf numFmtId="0" fontId="5" fillId="5" borderId="0" xfId="3" applyFont="1" applyFill="1" applyAlignment="1">
      <alignment horizontal="center"/>
    </xf>
    <xf numFmtId="0" fontId="5" fillId="0" borderId="0" xfId="3" applyFont="1"/>
    <xf numFmtId="0" fontId="9" fillId="0" borderId="0" xfId="3" applyFont="1"/>
    <xf numFmtId="2" fontId="0" fillId="10" borderId="0" xfId="0" applyNumberFormat="1" applyFill="1"/>
    <xf numFmtId="0" fontId="0" fillId="11" borderId="0" xfId="0" applyFill="1"/>
    <xf numFmtId="165" fontId="0" fillId="9" borderId="0" xfId="0" applyNumberFormat="1" applyFill="1"/>
    <xf numFmtId="0" fontId="5" fillId="0" borderId="0" xfId="3" applyFont="1" applyAlignment="1">
      <alignment horizontal="right"/>
    </xf>
    <xf numFmtId="0" fontId="4" fillId="0" borderId="0" xfId="3" applyAlignment="1">
      <alignment horizontal="center"/>
    </xf>
    <xf numFmtId="164" fontId="0" fillId="9" borderId="0" xfId="0" applyNumberFormat="1" applyFill="1"/>
    <xf numFmtId="2" fontId="0" fillId="9" borderId="0" xfId="0" applyNumberFormat="1" applyFill="1"/>
    <xf numFmtId="1" fontId="0" fillId="9" borderId="0" xfId="0" applyNumberFormat="1" applyFill="1"/>
    <xf numFmtId="0" fontId="15" fillId="0" borderId="0" xfId="0" applyFont="1"/>
    <xf numFmtId="164" fontId="0" fillId="0" borderId="0" xfId="0" applyNumberFormat="1"/>
    <xf numFmtId="11" fontId="14" fillId="10" borderId="0" xfId="0" applyNumberFormat="1" applyFont="1" applyFill="1"/>
    <xf numFmtId="0" fontId="17" fillId="0" borderId="0" xfId="0" applyFont="1"/>
    <xf numFmtId="2" fontId="0" fillId="0" borderId="0" xfId="0" applyNumberFormat="1"/>
    <xf numFmtId="167" fontId="0" fillId="9" borderId="0" xfId="0" applyNumberFormat="1" applyFill="1"/>
    <xf numFmtId="11" fontId="0" fillId="9" borderId="0" xfId="0" applyNumberFormat="1" applyFill="1"/>
    <xf numFmtId="0" fontId="5" fillId="0" borderId="0" xfId="3" applyFont="1" applyAlignment="1">
      <alignment horizontal="left"/>
    </xf>
    <xf numFmtId="166" fontId="0" fillId="9" borderId="0" xfId="0" applyNumberFormat="1" applyFill="1"/>
    <xf numFmtId="0" fontId="14" fillId="10" borderId="0" xfId="0" applyFont="1" applyFill="1"/>
    <xf numFmtId="0" fontId="19" fillId="0" borderId="0" xfId="0" applyFont="1"/>
    <xf numFmtId="0" fontId="21" fillId="0" borderId="0" xfId="0" applyFont="1"/>
    <xf numFmtId="0" fontId="0" fillId="12" borderId="0" xfId="0" applyFill="1"/>
    <xf numFmtId="1" fontId="0" fillId="0" borderId="0" xfId="0" applyNumberFormat="1"/>
    <xf numFmtId="0" fontId="22" fillId="0" borderId="0" xfId="0" applyFont="1"/>
    <xf numFmtId="0" fontId="23" fillId="0" borderId="0" xfId="0" applyFont="1"/>
    <xf numFmtId="168" fontId="0" fillId="0" borderId="0" xfId="0" applyNumberFormat="1"/>
    <xf numFmtId="169" fontId="0" fillId="0" borderId="0" xfId="0" applyNumberFormat="1"/>
    <xf numFmtId="0" fontId="0" fillId="0" borderId="13" xfId="0" applyBorder="1"/>
    <xf numFmtId="0" fontId="0" fillId="14" borderId="0" xfId="0" applyFill="1"/>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0" fontId="4" fillId="0" borderId="0" xfId="3" applyAlignment="1">
      <alignment horizontal="left"/>
    </xf>
    <xf numFmtId="0" fontId="4" fillId="0" borderId="8" xfId="3" applyBorder="1" applyAlignment="1">
      <alignment horizontal="left"/>
    </xf>
    <xf numFmtId="0" fontId="0" fillId="14" borderId="13" xfId="0" applyFill="1" applyBorder="1"/>
    <xf numFmtId="0" fontId="0" fillId="0" borderId="19" xfId="0" applyBorder="1"/>
    <xf numFmtId="0" fontId="0" fillId="14" borderId="15" xfId="0" applyFill="1" applyBorder="1"/>
    <xf numFmtId="0" fontId="0" fillId="0" borderId="20" xfId="0" applyBorder="1" applyAlignment="1">
      <alignment horizontal="center" wrapText="1"/>
    </xf>
    <xf numFmtId="0" fontId="0" fillId="0" borderId="21" xfId="0" applyBorder="1"/>
    <xf numFmtId="0" fontId="0" fillId="0" borderId="22" xfId="0" applyBorder="1"/>
    <xf numFmtId="0" fontId="14" fillId="0" borderId="0" xfId="0" applyFont="1"/>
    <xf numFmtId="0" fontId="0" fillId="6" borderId="0" xfId="0" applyFill="1" applyProtection="1">
      <protection hidden="1"/>
    </xf>
    <xf numFmtId="0" fontId="10" fillId="6" borderId="0" xfId="0" applyFont="1" applyFill="1" applyAlignment="1" applyProtection="1">
      <alignment horizontal="left" vertical="center"/>
      <protection hidden="1"/>
    </xf>
    <xf numFmtId="0" fontId="0" fillId="6" borderId="0" xfId="0" applyFill="1" applyAlignment="1" applyProtection="1">
      <alignment horizontal="right"/>
      <protection hidden="1"/>
    </xf>
    <xf numFmtId="0" fontId="14" fillId="8" borderId="0" xfId="0" applyFont="1" applyFill="1" applyProtection="1">
      <protection hidden="1"/>
    </xf>
    <xf numFmtId="0" fontId="0" fillId="15" borderId="0" xfId="0" applyFill="1" applyProtection="1">
      <protection hidden="1"/>
    </xf>
    <xf numFmtId="0" fontId="0" fillId="8" borderId="0" xfId="0" applyFill="1" applyProtection="1">
      <protection hidden="1"/>
    </xf>
    <xf numFmtId="0" fontId="0" fillId="8" borderId="0" xfId="0" applyFill="1" applyAlignment="1" applyProtection="1">
      <alignment horizontal="right"/>
      <protection hidden="1"/>
    </xf>
    <xf numFmtId="0" fontId="2" fillId="8" borderId="0" xfId="0" applyFont="1" applyFill="1" applyProtection="1">
      <protection hidden="1"/>
    </xf>
    <xf numFmtId="0" fontId="0" fillId="7" borderId="0" xfId="0" applyFill="1" applyProtection="1">
      <protection hidden="1"/>
    </xf>
    <xf numFmtId="0" fontId="2" fillId="8" borderId="0" xfId="0" quotePrefix="1" applyFont="1" applyFill="1" applyProtection="1">
      <protection hidden="1"/>
    </xf>
    <xf numFmtId="0" fontId="0" fillId="8" borderId="1" xfId="0" applyFill="1" applyBorder="1" applyProtection="1">
      <protection hidden="1"/>
    </xf>
    <xf numFmtId="0" fontId="0" fillId="8" borderId="1" xfId="0" applyFill="1" applyBorder="1" applyAlignment="1" applyProtection="1">
      <alignment horizontal="right"/>
      <protection hidden="1"/>
    </xf>
    <xf numFmtId="0" fontId="14" fillId="8" borderId="1" xfId="0" applyFont="1" applyFill="1" applyBorder="1" applyProtection="1">
      <protection hidden="1"/>
    </xf>
    <xf numFmtId="0" fontId="0" fillId="15" borderId="1" xfId="0" applyFill="1" applyBorder="1" applyProtection="1">
      <protection hidden="1"/>
    </xf>
    <xf numFmtId="0" fontId="0" fillId="16" borderId="0" xfId="0" applyFill="1" applyProtection="1">
      <protection hidden="1"/>
    </xf>
    <xf numFmtId="0" fontId="0" fillId="16" borderId="0" xfId="0" applyFill="1" applyAlignment="1" applyProtection="1">
      <alignment horizontal="right"/>
      <protection hidden="1"/>
    </xf>
    <xf numFmtId="49" fontId="0" fillId="16" borderId="0" xfId="0" applyNumberFormat="1" applyFill="1" applyProtection="1">
      <protection hidden="1"/>
    </xf>
    <xf numFmtId="0" fontId="15" fillId="16" borderId="0" xfId="0" applyFont="1" applyFill="1" applyProtection="1">
      <protection hidden="1"/>
    </xf>
    <xf numFmtId="0" fontId="0" fillId="16" borderId="2" xfId="0" applyFill="1" applyBorder="1" applyProtection="1">
      <protection hidden="1"/>
    </xf>
    <xf numFmtId="0" fontId="0" fillId="16" borderId="3" xfId="0" applyFill="1" applyBorder="1" applyProtection="1">
      <protection hidden="1"/>
    </xf>
    <xf numFmtId="0" fontId="12" fillId="16" borderId="3" xfId="3" applyFont="1" applyFill="1" applyBorder="1" applyAlignment="1" applyProtection="1">
      <alignment horizontal="right"/>
      <protection hidden="1"/>
    </xf>
    <xf numFmtId="0" fontId="0" fillId="16" borderId="4" xfId="0" applyFill="1" applyBorder="1" applyProtection="1">
      <protection hidden="1"/>
    </xf>
    <xf numFmtId="0" fontId="0" fillId="16" borderId="5" xfId="0" applyFill="1" applyBorder="1" applyProtection="1">
      <protection hidden="1"/>
    </xf>
    <xf numFmtId="0" fontId="12" fillId="16" borderId="0" xfId="3" applyFont="1" applyFill="1" applyAlignment="1" applyProtection="1">
      <alignment horizontal="right"/>
      <protection hidden="1"/>
    </xf>
    <xf numFmtId="0" fontId="0" fillId="16" borderId="6" xfId="0" applyFill="1" applyBorder="1" applyProtection="1">
      <protection hidden="1"/>
    </xf>
    <xf numFmtId="0" fontId="12" fillId="16" borderId="5" xfId="0" applyFont="1" applyFill="1" applyBorder="1" applyProtection="1">
      <protection hidden="1"/>
    </xf>
    <xf numFmtId="0" fontId="12" fillId="16" borderId="0" xfId="0" applyFont="1" applyFill="1" applyProtection="1">
      <protection hidden="1"/>
    </xf>
    <xf numFmtId="0" fontId="12" fillId="16" borderId="0" xfId="0" applyFont="1" applyFill="1" applyAlignment="1" applyProtection="1">
      <alignment horizontal="right"/>
      <protection hidden="1"/>
    </xf>
    <xf numFmtId="0" fontId="12" fillId="16" borderId="7" xfId="0" applyFont="1" applyFill="1" applyBorder="1" applyProtection="1">
      <protection hidden="1"/>
    </xf>
    <xf numFmtId="0" fontId="12" fillId="16" borderId="8" xfId="0" applyFont="1" applyFill="1" applyBorder="1" applyProtection="1">
      <protection hidden="1"/>
    </xf>
    <xf numFmtId="0" fontId="0" fillId="16" borderId="8" xfId="0" applyFill="1" applyBorder="1" applyProtection="1">
      <protection hidden="1"/>
    </xf>
    <xf numFmtId="0" fontId="12" fillId="16" borderId="8" xfId="0" applyFont="1" applyFill="1" applyBorder="1" applyAlignment="1" applyProtection="1">
      <alignment horizontal="right"/>
      <protection hidden="1"/>
    </xf>
    <xf numFmtId="0" fontId="0" fillId="16" borderId="9" xfId="0" applyFill="1" applyBorder="1" applyProtection="1">
      <protection hidden="1"/>
    </xf>
    <xf numFmtId="0" fontId="12" fillId="16" borderId="2" xfId="0" applyFont="1" applyFill="1" applyBorder="1" applyProtection="1">
      <protection hidden="1"/>
    </xf>
    <xf numFmtId="0" fontId="12" fillId="16" borderId="3" xfId="0" applyFont="1" applyFill="1" applyBorder="1" applyProtection="1">
      <protection hidden="1"/>
    </xf>
    <xf numFmtId="0" fontId="0" fillId="16" borderId="7" xfId="0" applyFill="1" applyBorder="1" applyProtection="1">
      <protection hidden="1"/>
    </xf>
    <xf numFmtId="0" fontId="12" fillId="16" borderId="8" xfId="3" applyFont="1" applyFill="1" applyBorder="1" applyAlignment="1" applyProtection="1">
      <alignment horizontal="right"/>
      <protection hidden="1"/>
    </xf>
    <xf numFmtId="0" fontId="16" fillId="16" borderId="6" xfId="0" applyFont="1" applyFill="1" applyBorder="1" applyProtection="1">
      <protection hidden="1"/>
    </xf>
    <xf numFmtId="0" fontId="0" fillId="16" borderId="8" xfId="0" applyFill="1" applyBorder="1" applyAlignment="1" applyProtection="1">
      <alignment horizontal="right"/>
      <protection hidden="1"/>
    </xf>
    <xf numFmtId="0" fontId="16" fillId="16" borderId="9" xfId="0" applyFont="1" applyFill="1" applyBorder="1" applyProtection="1">
      <protection hidden="1"/>
    </xf>
    <xf numFmtId="0" fontId="0" fillId="16" borderId="3" xfId="0" applyFill="1" applyBorder="1" applyAlignment="1" applyProtection="1">
      <alignment horizontal="right"/>
      <protection hidden="1"/>
    </xf>
    <xf numFmtId="0" fontId="15" fillId="16" borderId="2" xfId="0" applyFont="1" applyFill="1" applyBorder="1" applyProtection="1">
      <protection hidden="1"/>
    </xf>
    <xf numFmtId="0" fontId="14" fillId="16" borderId="3" xfId="0" applyFont="1" applyFill="1" applyBorder="1" applyAlignment="1" applyProtection="1">
      <alignment horizontal="right"/>
      <protection hidden="1"/>
    </xf>
    <xf numFmtId="0" fontId="15" fillId="16" borderId="5" xfId="0" applyFont="1" applyFill="1" applyBorder="1" applyProtection="1">
      <protection hidden="1"/>
    </xf>
    <xf numFmtId="0" fontId="22" fillId="16" borderId="0" xfId="0" applyFont="1" applyFill="1" applyAlignment="1" applyProtection="1">
      <alignment horizontal="right"/>
      <protection hidden="1"/>
    </xf>
    <xf numFmtId="0" fontId="0" fillId="0" borderId="0" xfId="0" applyProtection="1">
      <protection hidden="1"/>
    </xf>
    <xf numFmtId="0" fontId="0" fillId="16" borderId="0" xfId="0" applyFill="1" applyAlignment="1" applyProtection="1">
      <alignment horizontal="center"/>
      <protection hidden="1"/>
    </xf>
    <xf numFmtId="0" fontId="0" fillId="16" borderId="6" xfId="0" applyFill="1" applyBorder="1" applyAlignment="1" applyProtection="1">
      <alignment horizontal="center"/>
      <protection hidden="1"/>
    </xf>
    <xf numFmtId="1" fontId="0" fillId="16" borderId="0" xfId="0" applyNumberFormat="1" applyFill="1" applyProtection="1">
      <protection hidden="1"/>
    </xf>
    <xf numFmtId="0" fontId="27" fillId="13" borderId="0" xfId="0" applyFont="1" applyFill="1" applyProtection="1">
      <protection hidden="1"/>
    </xf>
    <xf numFmtId="0" fontId="0" fillId="13" borderId="0" xfId="0" applyFill="1" applyProtection="1">
      <protection hidden="1"/>
    </xf>
    <xf numFmtId="0" fontId="0" fillId="13" borderId="0" xfId="0" applyFill="1" applyAlignment="1" applyProtection="1">
      <alignment horizontal="right"/>
      <protection hidden="1"/>
    </xf>
    <xf numFmtId="0" fontId="0" fillId="17" borderId="0" xfId="0" applyFill="1" applyProtection="1">
      <protection hidden="1"/>
    </xf>
    <xf numFmtId="0" fontId="30" fillId="16" borderId="0" xfId="0" applyFont="1" applyFill="1" applyAlignment="1" applyProtection="1">
      <alignment horizontal="left"/>
      <protection hidden="1"/>
    </xf>
    <xf numFmtId="0" fontId="4" fillId="16" borderId="3" xfId="3" applyFill="1" applyBorder="1" applyAlignment="1" applyProtection="1">
      <alignment horizontal="right"/>
      <protection hidden="1"/>
    </xf>
    <xf numFmtId="0" fontId="4" fillId="16" borderId="4" xfId="3" applyFill="1" applyBorder="1" applyProtection="1">
      <protection hidden="1"/>
    </xf>
    <xf numFmtId="0" fontId="4" fillId="16" borderId="0" xfId="3" applyFill="1" applyAlignment="1" applyProtection="1">
      <alignment horizontal="right"/>
      <protection hidden="1"/>
    </xf>
    <xf numFmtId="0" fontId="4" fillId="16" borderId="6" xfId="3" applyFill="1" applyBorder="1" applyProtection="1">
      <protection hidden="1"/>
    </xf>
    <xf numFmtId="0" fontId="4" fillId="16" borderId="8" xfId="3" applyFill="1" applyBorder="1" applyAlignment="1" applyProtection="1">
      <alignment horizontal="right"/>
      <protection hidden="1"/>
    </xf>
    <xf numFmtId="0" fontId="4" fillId="16" borderId="9" xfId="3" applyFill="1" applyBorder="1" applyProtection="1">
      <protection hidden="1"/>
    </xf>
    <xf numFmtId="0" fontId="0" fillId="15" borderId="0" xfId="0" applyFill="1" applyAlignment="1" applyProtection="1">
      <alignment horizontal="right"/>
      <protection hidden="1"/>
    </xf>
    <xf numFmtId="0" fontId="14" fillId="15" borderId="0" xfId="0" applyFont="1" applyFill="1" applyProtection="1">
      <protection hidden="1"/>
    </xf>
    <xf numFmtId="0" fontId="34" fillId="16" borderId="0" xfId="0" applyFont="1" applyFill="1" applyProtection="1">
      <protection hidden="1"/>
    </xf>
    <xf numFmtId="0" fontId="0" fillId="7" borderId="24" xfId="0" applyFill="1" applyBorder="1" applyProtection="1">
      <protection locked="0" hidden="1"/>
    </xf>
    <xf numFmtId="0" fontId="0" fillId="7" borderId="25" xfId="0" applyFill="1" applyBorder="1" applyProtection="1">
      <protection locked="0" hidden="1"/>
    </xf>
    <xf numFmtId="2" fontId="0" fillId="16" borderId="25" xfId="0" applyNumberFormat="1" applyFill="1" applyBorder="1" applyProtection="1">
      <protection hidden="1"/>
    </xf>
    <xf numFmtId="0" fontId="0" fillId="16" borderId="25" xfId="0" applyFill="1" applyBorder="1" applyProtection="1">
      <protection hidden="1"/>
    </xf>
    <xf numFmtId="164" fontId="0" fillId="0" borderId="25" xfId="0" applyNumberFormat="1" applyBorder="1" applyProtection="1">
      <protection hidden="1"/>
    </xf>
    <xf numFmtId="2" fontId="0" fillId="0" borderId="26" xfId="0" applyNumberFormat="1" applyBorder="1" applyProtection="1">
      <protection hidden="1"/>
    </xf>
    <xf numFmtId="1" fontId="0" fillId="16" borderId="25" xfId="0" applyNumberFormat="1" applyFill="1" applyBorder="1" applyProtection="1">
      <protection hidden="1"/>
    </xf>
    <xf numFmtId="2" fontId="0" fillId="16" borderId="26" xfId="0" applyNumberFormat="1" applyFill="1" applyBorder="1" applyProtection="1">
      <protection hidden="1"/>
    </xf>
    <xf numFmtId="0" fontId="0" fillId="7" borderId="26" xfId="0" applyFill="1" applyBorder="1" applyProtection="1">
      <protection locked="0" hidden="1"/>
    </xf>
    <xf numFmtId="2" fontId="0" fillId="0" borderId="25" xfId="0" applyNumberFormat="1" applyBorder="1" applyProtection="1">
      <protection hidden="1"/>
    </xf>
    <xf numFmtId="2" fontId="0" fillId="0" borderId="24" xfId="0" applyNumberFormat="1" applyBorder="1" applyProtection="1">
      <protection hidden="1"/>
    </xf>
    <xf numFmtId="1" fontId="0" fillId="0" borderId="26" xfId="0" applyNumberFormat="1" applyBorder="1" applyProtection="1">
      <protection hidden="1"/>
    </xf>
    <xf numFmtId="0" fontId="0" fillId="7" borderId="24" xfId="0" applyFill="1" applyBorder="1" applyAlignment="1" applyProtection="1">
      <alignment vertical="top"/>
      <protection hidden="1"/>
    </xf>
    <xf numFmtId="0" fontId="0" fillId="0" borderId="25" xfId="0" applyBorder="1" applyAlignment="1" applyProtection="1">
      <alignment vertical="top"/>
      <protection hidden="1"/>
    </xf>
    <xf numFmtId="0" fontId="0" fillId="16" borderId="25" xfId="0" applyFill="1" applyBorder="1" applyAlignment="1" applyProtection="1">
      <alignment horizontal="center"/>
      <protection hidden="1"/>
    </xf>
    <xf numFmtId="1" fontId="0" fillId="16" borderId="7" xfId="0" applyNumberFormat="1" applyFill="1" applyBorder="1" applyProtection="1">
      <protection hidden="1"/>
    </xf>
    <xf numFmtId="0" fontId="0" fillId="7" borderId="23" xfId="0" applyFill="1" applyBorder="1" applyProtection="1">
      <protection locked="0" hidden="1"/>
    </xf>
    <xf numFmtId="2" fontId="0" fillId="16" borderId="10" xfId="0" applyNumberFormat="1" applyFill="1" applyBorder="1" applyProtection="1">
      <protection hidden="1"/>
    </xf>
    <xf numFmtId="0" fontId="0" fillId="0" borderId="24" xfId="0" applyBorder="1" applyProtection="1">
      <protection hidden="1"/>
    </xf>
    <xf numFmtId="0" fontId="16" fillId="16" borderId="23" xfId="0" applyFont="1" applyFill="1" applyBorder="1" applyAlignment="1" applyProtection="1">
      <alignment horizontal="left"/>
      <protection hidden="1"/>
    </xf>
    <xf numFmtId="0" fontId="0" fillId="16" borderId="26" xfId="0" applyFill="1" applyBorder="1" applyAlignment="1" applyProtection="1">
      <alignment horizontal="left"/>
      <protection hidden="1"/>
    </xf>
    <xf numFmtId="48" fontId="0" fillId="0" borderId="0" xfId="0" applyNumberFormat="1"/>
    <xf numFmtId="0" fontId="0" fillId="7" borderId="26" xfId="0" applyFill="1" applyBorder="1" applyAlignment="1" applyProtection="1">
      <alignment horizontal="right"/>
      <protection locked="0" hidden="1"/>
    </xf>
    <xf numFmtId="0" fontId="3" fillId="3" borderId="0" xfId="3" applyFont="1" applyFill="1" applyAlignment="1">
      <alignment horizontal="right"/>
    </xf>
    <xf numFmtId="2" fontId="0" fillId="9" borderId="0" xfId="0" applyNumberFormat="1" applyFill="1" applyAlignment="1">
      <alignment horizontal="right"/>
    </xf>
    <xf numFmtId="168" fontId="0" fillId="16" borderId="10" xfId="0" applyNumberFormat="1" applyFill="1" applyBorder="1" applyProtection="1">
      <protection hidden="1"/>
    </xf>
    <xf numFmtId="1" fontId="0" fillId="16" borderId="26" xfId="0" applyNumberFormat="1" applyFill="1" applyBorder="1" applyProtection="1">
      <protection hidden="1"/>
    </xf>
    <xf numFmtId="4" fontId="0" fillId="16" borderId="25" xfId="0" applyNumberFormat="1" applyFill="1" applyBorder="1" applyProtection="1">
      <protection hidden="1"/>
    </xf>
    <xf numFmtId="0" fontId="36" fillId="0" borderId="0" xfId="0" applyFont="1"/>
    <xf numFmtId="0" fontId="37" fillId="0" borderId="0" xfId="0" applyFont="1" applyAlignment="1">
      <alignment horizontal="center"/>
    </xf>
    <xf numFmtId="0" fontId="37" fillId="0" borderId="0" xfId="0" applyFont="1" applyAlignment="1">
      <alignment horizontal="left"/>
    </xf>
    <xf numFmtId="0" fontId="38" fillId="0" borderId="0" xfId="0" applyFont="1"/>
    <xf numFmtId="0" fontId="39" fillId="0" borderId="0" xfId="8" applyFont="1" applyFill="1" applyBorder="1" applyAlignment="1">
      <alignment vertical="center"/>
    </xf>
    <xf numFmtId="0" fontId="39" fillId="0" borderId="0" xfId="8" applyFont="1" applyFill="1" applyBorder="1" applyAlignment="1">
      <alignment horizontal="right" vertical="center"/>
    </xf>
    <xf numFmtId="0" fontId="36" fillId="0" borderId="0" xfId="0" applyFont="1" applyAlignment="1">
      <alignment horizontal="center"/>
    </xf>
    <xf numFmtId="0" fontId="36" fillId="0" borderId="0" xfId="0" applyFont="1" applyAlignment="1">
      <alignment horizontal="left"/>
    </xf>
    <xf numFmtId="0" fontId="38" fillId="0" borderId="0" xfId="0" applyFont="1" applyAlignment="1">
      <alignment horizontal="center"/>
    </xf>
    <xf numFmtId="0" fontId="3" fillId="0" borderId="0" xfId="0" applyFont="1"/>
    <xf numFmtId="0" fontId="40" fillId="17" borderId="0" xfId="0" applyFont="1" applyFill="1" applyAlignment="1">
      <alignment horizontal="center"/>
    </xf>
    <xf numFmtId="0" fontId="41" fillId="0" borderId="0" xfId="8" applyFont="1" applyFill="1" applyBorder="1" applyAlignment="1">
      <alignment vertical="center"/>
    </xf>
    <xf numFmtId="49" fontId="38" fillId="0" borderId="0" xfId="0" applyNumberFormat="1" applyFont="1" applyAlignment="1">
      <alignment horizontal="center"/>
    </xf>
    <xf numFmtId="49" fontId="37" fillId="0" borderId="0" xfId="0" applyNumberFormat="1" applyFont="1" applyAlignment="1">
      <alignment horizontal="left"/>
    </xf>
    <xf numFmtId="0" fontId="5" fillId="0" borderId="0" xfId="3" applyFont="1" applyAlignment="1" applyProtection="1">
      <alignment horizontal="center"/>
      <protection hidden="1"/>
    </xf>
    <xf numFmtId="0" fontId="5" fillId="3" borderId="0" xfId="3" applyFont="1" applyFill="1" applyAlignment="1" applyProtection="1">
      <alignment horizontal="center"/>
      <protection hidden="1"/>
    </xf>
    <xf numFmtId="0" fontId="4" fillId="0" borderId="0" xfId="3" applyProtection="1">
      <protection hidden="1"/>
    </xf>
    <xf numFmtId="0" fontId="5" fillId="4" borderId="0" xfId="3" applyFont="1" applyFill="1" applyAlignment="1" applyProtection="1">
      <alignment horizontal="center"/>
      <protection hidden="1"/>
    </xf>
    <xf numFmtId="0" fontId="5" fillId="0" borderId="0" xfId="3" applyFont="1" applyAlignment="1" applyProtection="1">
      <alignment horizontal="right"/>
      <protection hidden="1"/>
    </xf>
    <xf numFmtId="0" fontId="4" fillId="0" borderId="0" xfId="3" applyAlignment="1" applyProtection="1">
      <alignment horizontal="center"/>
      <protection hidden="1"/>
    </xf>
    <xf numFmtId="0" fontId="5" fillId="0" borderId="0" xfId="3" applyFont="1" applyAlignment="1" applyProtection="1">
      <alignment horizontal="left"/>
      <protection hidden="1"/>
    </xf>
    <xf numFmtId="0" fontId="5" fillId="5" borderId="0" xfId="3" applyFont="1" applyFill="1" applyAlignment="1" applyProtection="1">
      <alignment horizontal="center"/>
      <protection hidden="1"/>
    </xf>
    <xf numFmtId="0" fontId="0" fillId="0" borderId="10" xfId="0" applyBorder="1" applyProtection="1">
      <protection hidden="1"/>
    </xf>
    <xf numFmtId="0" fontId="0" fillId="0" borderId="12" xfId="0" applyBorder="1" applyProtection="1">
      <protection hidden="1"/>
    </xf>
    <xf numFmtId="0" fontId="0" fillId="0" borderId="5" xfId="0" applyBorder="1" applyProtection="1">
      <protection hidden="1"/>
    </xf>
    <xf numFmtId="0" fontId="0" fillId="0" borderId="6" xfId="0" applyBorder="1" applyProtection="1">
      <protection hidden="1"/>
    </xf>
    <xf numFmtId="0" fontId="5" fillId="0" borderId="0" xfId="3" applyFont="1" applyProtection="1">
      <protection hidden="1"/>
    </xf>
    <xf numFmtId="0" fontId="4" fillId="0" borderId="5" xfId="3" applyBorder="1" applyProtection="1">
      <protection hidden="1"/>
    </xf>
    <xf numFmtId="0" fontId="4" fillId="0" borderId="6" xfId="3" applyBorder="1" applyProtection="1">
      <protection hidden="1"/>
    </xf>
    <xf numFmtId="164" fontId="4" fillId="0" borderId="11" xfId="3" applyNumberFormat="1" applyBorder="1" applyProtection="1">
      <protection hidden="1"/>
    </xf>
    <xf numFmtId="0" fontId="4" fillId="0" borderId="11" xfId="3" applyBorder="1" applyProtection="1">
      <protection hidden="1"/>
    </xf>
    <xf numFmtId="0" fontId="0" fillId="0" borderId="11" xfId="0" applyBorder="1" applyProtection="1">
      <protection hidden="1"/>
    </xf>
    <xf numFmtId="0" fontId="4" fillId="0" borderId="10" xfId="3" applyBorder="1" applyProtection="1">
      <protection hidden="1"/>
    </xf>
    <xf numFmtId="164" fontId="0" fillId="0" borderId="11" xfId="0" applyNumberFormat="1" applyBorder="1" applyProtection="1">
      <protection hidden="1"/>
    </xf>
    <xf numFmtId="0" fontId="26" fillId="0" borderId="0" xfId="3" applyFont="1" applyProtection="1">
      <protection hidden="1"/>
    </xf>
    <xf numFmtId="0" fontId="0" fillId="0" borderId="2" xfId="0" applyBorder="1" applyProtection="1">
      <protection hidden="1"/>
    </xf>
    <xf numFmtId="1" fontId="0" fillId="0" borderId="4" xfId="0" applyNumberFormat="1" applyBorder="1" applyProtection="1">
      <protection hidden="1"/>
    </xf>
    <xf numFmtId="164" fontId="4" fillId="0" borderId="3" xfId="3" applyNumberFormat="1" applyBorder="1" applyProtection="1">
      <protection hidden="1"/>
    </xf>
    <xf numFmtId="0" fontId="4" fillId="0" borderId="3" xfId="3" applyBorder="1" applyProtection="1">
      <protection hidden="1"/>
    </xf>
    <xf numFmtId="0" fontId="0" fillId="0" borderId="3" xfId="0" applyBorder="1" applyProtection="1">
      <protection hidden="1"/>
    </xf>
    <xf numFmtId="0" fontId="4" fillId="0" borderId="2" xfId="3" applyBorder="1" applyProtection="1">
      <protection hidden="1"/>
    </xf>
    <xf numFmtId="164" fontId="0" fillId="0" borderId="3" xfId="0" applyNumberFormat="1" applyBorder="1" applyProtection="1">
      <protection hidden="1"/>
    </xf>
    <xf numFmtId="0" fontId="0" fillId="0" borderId="4" xfId="0" applyBorder="1" applyProtection="1">
      <protection hidden="1"/>
    </xf>
    <xf numFmtId="0" fontId="0" fillId="10" borderId="0" xfId="0" applyFill="1" applyProtection="1">
      <protection hidden="1"/>
    </xf>
    <xf numFmtId="1" fontId="0" fillId="0" borderId="6" xfId="0" applyNumberFormat="1" applyBorder="1" applyProtection="1">
      <protection hidden="1"/>
    </xf>
    <xf numFmtId="164" fontId="4" fillId="0" borderId="0" xfId="3" applyNumberFormat="1" applyProtection="1">
      <protection hidden="1"/>
    </xf>
    <xf numFmtId="164" fontId="0" fillId="0" borderId="0" xfId="0" applyNumberFormat="1" applyProtection="1">
      <protection hidden="1"/>
    </xf>
    <xf numFmtId="0" fontId="0" fillId="0" borderId="7" xfId="0" applyBorder="1" applyProtection="1">
      <protection hidden="1"/>
    </xf>
    <xf numFmtId="1" fontId="0" fillId="0" borderId="9" xfId="0" applyNumberFormat="1" applyBorder="1" applyProtection="1">
      <protection hidden="1"/>
    </xf>
    <xf numFmtId="164" fontId="4" fillId="0" borderId="8" xfId="3" applyNumberFormat="1" applyBorder="1" applyProtection="1">
      <protection hidden="1"/>
    </xf>
    <xf numFmtId="0" fontId="4" fillId="0" borderId="8" xfId="3" applyBorder="1" applyProtection="1">
      <protection hidden="1"/>
    </xf>
    <xf numFmtId="0" fontId="0" fillId="0" borderId="8" xfId="0" applyBorder="1" applyProtection="1">
      <protection hidden="1"/>
    </xf>
    <xf numFmtId="0" fontId="4" fillId="0" borderId="7" xfId="3" applyBorder="1" applyProtection="1">
      <protection hidden="1"/>
    </xf>
    <xf numFmtId="164" fontId="0" fillId="0" borderId="8" xfId="0" applyNumberFormat="1" applyBorder="1" applyProtection="1">
      <protection hidden="1"/>
    </xf>
    <xf numFmtId="0" fontId="0" fillId="0" borderId="9" xfId="0" applyBorder="1" applyProtection="1">
      <protection hidden="1"/>
    </xf>
    <xf numFmtId="2" fontId="0" fillId="0" borderId="0" xfId="0" applyNumberFormat="1" applyProtection="1">
      <protection hidden="1"/>
    </xf>
    <xf numFmtId="0" fontId="25" fillId="0" borderId="0" xfId="0" applyFont="1" applyProtection="1">
      <protection hidden="1"/>
    </xf>
    <xf numFmtId="2" fontId="0" fillId="0" borderId="10" xfId="0" applyNumberFormat="1" applyBorder="1" applyProtection="1">
      <protection hidden="1"/>
    </xf>
    <xf numFmtId="2" fontId="0" fillId="0" borderId="5" xfId="0" applyNumberFormat="1" applyBorder="1" applyProtection="1">
      <protection hidden="1"/>
    </xf>
    <xf numFmtId="2" fontId="0" fillId="0" borderId="7" xfId="0" applyNumberFormat="1" applyBorder="1" applyProtection="1">
      <protection hidden="1"/>
    </xf>
    <xf numFmtId="0" fontId="4" fillId="0" borderId="9" xfId="3" applyBorder="1" applyProtection="1">
      <protection hidden="1"/>
    </xf>
    <xf numFmtId="0" fontId="0" fillId="12" borderId="0" xfId="0" applyFill="1" applyProtection="1">
      <protection hidden="1"/>
    </xf>
    <xf numFmtId="0" fontId="16" fillId="0" borderId="0" xfId="0" applyFont="1" applyProtection="1">
      <protection hidden="1"/>
    </xf>
    <xf numFmtId="0" fontId="0" fillId="11" borderId="0" xfId="0" applyFill="1" applyProtection="1">
      <protection hidden="1"/>
    </xf>
    <xf numFmtId="164" fontId="0" fillId="9" borderId="0" xfId="0" applyNumberFormat="1" applyFill="1" applyProtection="1">
      <protection hidden="1"/>
    </xf>
    <xf numFmtId="1" fontId="0" fillId="9" borderId="0" xfId="0" applyNumberFormat="1" applyFill="1" applyProtection="1">
      <protection hidden="1"/>
    </xf>
    <xf numFmtId="2" fontId="0" fillId="9" borderId="0" xfId="0" applyNumberFormat="1" applyFill="1" applyProtection="1">
      <protection hidden="1"/>
    </xf>
    <xf numFmtId="0" fontId="0" fillId="9" borderId="0" xfId="0" applyFill="1" applyProtection="1">
      <protection hidden="1"/>
    </xf>
    <xf numFmtId="0" fontId="24" fillId="0" borderId="0" xfId="0" applyFont="1" applyProtection="1">
      <protection hidden="1"/>
    </xf>
    <xf numFmtId="0" fontId="0" fillId="19" borderId="0" xfId="0" applyFill="1"/>
    <xf numFmtId="0" fontId="0" fillId="0" borderId="5" xfId="0" applyBorder="1"/>
    <xf numFmtId="0" fontId="5" fillId="0" borderId="0" xfId="0" applyFont="1"/>
    <xf numFmtId="2" fontId="3" fillId="0" borderId="0" xfId="0" quotePrefix="1" applyNumberFormat="1" applyFont="1"/>
    <xf numFmtId="0" fontId="0" fillId="0" borderId="0" xfId="0" applyAlignment="1">
      <alignment horizontal="left"/>
    </xf>
    <xf numFmtId="0" fontId="5" fillId="0" borderId="0" xfId="0" applyFont="1" applyAlignment="1">
      <alignment horizontal="left"/>
    </xf>
    <xf numFmtId="164" fontId="0" fillId="0" borderId="26" xfId="0" applyNumberFormat="1" applyBorder="1" applyAlignment="1" applyProtection="1">
      <alignment horizontal="right"/>
      <protection hidden="1"/>
    </xf>
    <xf numFmtId="168" fontId="0" fillId="16" borderId="25" xfId="0" applyNumberFormat="1" applyFill="1" applyBorder="1" applyProtection="1">
      <protection hidden="1"/>
    </xf>
    <xf numFmtId="0" fontId="0" fillId="0" borderId="27" xfId="0" applyBorder="1"/>
    <xf numFmtId="0" fontId="0" fillId="0" borderId="28" xfId="0" applyBorder="1"/>
    <xf numFmtId="0" fontId="0" fillId="0" borderId="24" xfId="0" applyBorder="1"/>
    <xf numFmtId="0" fontId="4" fillId="0" borderId="25" xfId="3" applyBorder="1"/>
    <xf numFmtId="2" fontId="4" fillId="0" borderId="25" xfId="3" applyNumberFormat="1" applyBorder="1" applyAlignment="1">
      <alignment horizontal="center"/>
    </xf>
    <xf numFmtId="0" fontId="38" fillId="0" borderId="0" xfId="0" applyFont="1" applyAlignment="1">
      <alignment wrapText="1"/>
    </xf>
    <xf numFmtId="48" fontId="0" fillId="9" borderId="0" xfId="0" applyNumberFormat="1" applyFill="1"/>
    <xf numFmtId="0" fontId="35" fillId="8" borderId="0" xfId="8" applyFill="1" applyBorder="1" applyAlignment="1" applyProtection="1">
      <alignment horizontal="center"/>
      <protection hidden="1"/>
    </xf>
    <xf numFmtId="0" fontId="6" fillId="2" borderId="0" xfId="3" applyFont="1" applyFill="1" applyAlignment="1">
      <alignment horizontal="center"/>
    </xf>
    <xf numFmtId="0" fontId="5" fillId="0" borderId="0" xfId="3" applyFont="1" applyAlignment="1">
      <alignment horizontal="center"/>
    </xf>
    <xf numFmtId="0" fontId="0" fillId="0" borderId="20" xfId="0" applyBorder="1" applyAlignment="1">
      <alignment horizontal="center" wrapText="1"/>
    </xf>
    <xf numFmtId="0" fontId="0" fillId="0" borderId="21" xfId="0" applyBorder="1" applyAlignment="1">
      <alignment horizontal="center" wrapText="1"/>
    </xf>
    <xf numFmtId="0" fontId="0" fillId="0" borderId="22" xfId="0" applyBorder="1" applyAlignment="1">
      <alignment horizontal="center" wrapText="1"/>
    </xf>
    <xf numFmtId="0" fontId="0" fillId="0" borderId="20"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0" fontId="0" fillId="0" borderId="5" xfId="0" applyBorder="1" applyAlignment="1" applyProtection="1">
      <alignment horizontal="center"/>
      <protection hidden="1"/>
    </xf>
    <xf numFmtId="0" fontId="0" fillId="0" borderId="0" xfId="0" applyAlignment="1" applyProtection="1">
      <alignment horizontal="center"/>
      <protection hidden="1"/>
    </xf>
    <xf numFmtId="0" fontId="0" fillId="0" borderId="6" xfId="0" applyBorder="1" applyAlignment="1" applyProtection="1">
      <alignment horizontal="center"/>
      <protection hidden="1"/>
    </xf>
    <xf numFmtId="0" fontId="22" fillId="0" borderId="10" xfId="0" applyFont="1" applyBorder="1" applyAlignment="1" applyProtection="1">
      <alignment horizontal="center"/>
      <protection hidden="1"/>
    </xf>
    <xf numFmtId="0" fontId="22" fillId="0" borderId="11" xfId="0" applyFont="1" applyBorder="1" applyAlignment="1" applyProtection="1">
      <alignment horizontal="center"/>
      <protection hidden="1"/>
    </xf>
    <xf numFmtId="0" fontId="22" fillId="0" borderId="12" xfId="0" applyFont="1" applyBorder="1" applyAlignment="1" applyProtection="1">
      <alignment horizontal="center"/>
      <protection hidden="1"/>
    </xf>
    <xf numFmtId="0" fontId="4" fillId="0" borderId="0" xfId="3" applyAlignment="1" applyProtection="1">
      <alignment horizontal="center"/>
      <protection hidden="1"/>
    </xf>
    <xf numFmtId="0" fontId="6" fillId="2" borderId="0" xfId="3" applyFont="1" applyFill="1" applyAlignment="1" applyProtection="1">
      <alignment horizontal="center"/>
      <protection hidden="1"/>
    </xf>
    <xf numFmtId="0" fontId="5" fillId="0" borderId="0" xfId="3" applyFont="1" applyAlignment="1" applyProtection="1">
      <alignment horizontal="center"/>
      <protection hidden="1"/>
    </xf>
    <xf numFmtId="0" fontId="36" fillId="0" borderId="0" xfId="0" applyFont="1" applyAlignment="1">
      <alignment horizontal="center"/>
    </xf>
    <xf numFmtId="0" fontId="36" fillId="18" borderId="0" xfId="0" applyFont="1" applyFill="1" applyAlignment="1">
      <alignment horizontal="center"/>
    </xf>
    <xf numFmtId="0" fontId="40" fillId="17" borderId="0" xfId="0" applyFont="1" applyFill="1" applyAlignment="1">
      <alignment horizontal="left"/>
    </xf>
    <xf numFmtId="0" fontId="38" fillId="0" borderId="0" xfId="0" applyFont="1" applyAlignment="1">
      <alignment horizontal="left"/>
    </xf>
    <xf numFmtId="0" fontId="38" fillId="0" borderId="0" xfId="0" applyFont="1" applyAlignment="1">
      <alignment wrapText="1"/>
    </xf>
  </cellXfs>
  <cellStyles count="9">
    <cellStyle name="Comma 2" xfId="5" xr:uid="{00000000-0005-0000-0000-000000000000}"/>
    <cellStyle name="Comma 3" xfId="2" xr:uid="{00000000-0005-0000-0000-000001000000}"/>
    <cellStyle name="Hyperlink" xfId="8" builtinId="8"/>
    <cellStyle name="Normal" xfId="0" builtinId="0"/>
    <cellStyle name="Normal 2" xfId="3" xr:uid="{00000000-0005-0000-0000-000003000000}"/>
    <cellStyle name="Normal 3" xfId="4" xr:uid="{00000000-0005-0000-0000-000004000000}"/>
    <cellStyle name="Normal 4" xfId="1" xr:uid="{00000000-0005-0000-0000-000005000000}"/>
    <cellStyle name="Normal 4 2" xfId="7" xr:uid="{00000000-0005-0000-0000-000006000000}"/>
    <cellStyle name="Normal 4 3" xfId="6" xr:uid="{00000000-0005-0000-0000-000007000000}"/>
  </cellStyles>
  <dxfs count="11">
    <dxf>
      <fill>
        <patternFill>
          <bgColor rgb="FFFF0000"/>
        </patternFill>
      </fill>
    </dxf>
    <dxf>
      <fill>
        <patternFill>
          <bgColor rgb="FFFF0000"/>
        </patternFill>
      </fill>
    </dxf>
    <dxf>
      <font>
        <color rgb="FFC00000"/>
      </font>
      <fill>
        <patternFill>
          <bgColor theme="5" tint="0.59996337778862885"/>
        </patternFill>
      </fill>
    </dxf>
    <dxf>
      <font>
        <color rgb="FF9C0006"/>
      </font>
      <fill>
        <patternFill>
          <bgColor rgb="FFFFC7CE"/>
        </patternFill>
      </fill>
    </dxf>
    <dxf>
      <fill>
        <patternFill>
          <bgColor rgb="FFFF0000"/>
        </patternFill>
      </fill>
    </dxf>
    <dxf>
      <fill>
        <patternFill>
          <bgColor rgb="FFFFC000"/>
        </patternFill>
      </fill>
    </dxf>
    <dxf>
      <fill>
        <patternFill>
          <bgColor rgb="FFFF0000"/>
        </patternFill>
      </fill>
    </dxf>
    <dxf>
      <fill>
        <patternFill>
          <bgColor rgb="FFFF0000"/>
        </patternFill>
      </fill>
    </dxf>
    <dxf>
      <fill>
        <patternFill>
          <bgColor rgb="FFFF0000"/>
        </patternFill>
      </fill>
    </dxf>
    <dxf>
      <font>
        <color auto="1"/>
      </font>
      <fill>
        <patternFill>
          <bgColor rgb="FFFFC000"/>
        </patternFill>
      </fill>
    </dxf>
    <dxf>
      <fill>
        <patternFill>
          <bgColor rgb="FFFF0000"/>
        </patternFill>
      </fill>
    </dxf>
  </dxfs>
  <tableStyles count="0" defaultTableStyle="TableStyleMedium2" defaultPivotStyle="PivotStyleLight16"/>
  <colors>
    <mruColors>
      <color rgb="FF9C0006"/>
      <color rgb="FFFFC7CE"/>
      <color rgb="FFEAEAE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600" baseline="0"/>
              <a:t>Bode Plot</a:t>
            </a:r>
          </a:p>
        </c:rich>
      </c:tx>
      <c:layout>
        <c:manualLayout>
          <c:xMode val="edge"/>
          <c:yMode val="edge"/>
          <c:x val="9.4354157174953393E-2"/>
          <c:y val="3.9916010498687662E-3"/>
        </c:manualLayout>
      </c:layout>
      <c:overlay val="0"/>
    </c:title>
    <c:autoTitleDeleted val="0"/>
    <c:plotArea>
      <c:layout>
        <c:manualLayout>
          <c:layoutTarget val="inner"/>
          <c:xMode val="edge"/>
          <c:yMode val="edge"/>
          <c:x val="9.0594052720499751E-2"/>
          <c:y val="8.9158108013693851E-2"/>
          <c:w val="0.80965876742891785"/>
          <c:h val="0.76159168715027026"/>
        </c:manualLayout>
      </c:layout>
      <c:scatterChart>
        <c:scatterStyle val="smoothMarker"/>
        <c:varyColors val="0"/>
        <c:ser>
          <c:idx val="0"/>
          <c:order val="0"/>
          <c:tx>
            <c:v>Gain (dB)</c:v>
          </c:tx>
          <c:spPr>
            <a:ln w="28575">
              <a:solidFill>
                <a:srgbClr val="FF0000"/>
              </a:solidFill>
            </a:ln>
          </c:spPr>
          <c:marker>
            <c:symbol val="none"/>
          </c:marker>
          <c:xVal>
            <c:numRef>
              <c:f>Loop_Modeling!$O$19:$O$560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Loop_Modeling!$AT$19:$AT$560</c:f>
              <c:numCache>
                <c:formatCode>0.000</c:formatCode>
                <c:ptCount val="542"/>
                <c:pt idx="0">
                  <c:v>59.759386011598686</c:v>
                </c:pt>
                <c:pt idx="1">
                  <c:v>59.559313401627641</c:v>
                </c:pt>
                <c:pt idx="2">
                  <c:v>59.35923737133615</c:v>
                </c:pt>
                <c:pt idx="3">
                  <c:v>59.159157759691681</c:v>
                </c:pt>
                <c:pt idx="4">
                  <c:v>58.959074398088219</c:v>
                </c:pt>
                <c:pt idx="5">
                  <c:v>58.758987109990521</c:v>
                </c:pt>
                <c:pt idx="6">
                  <c:v>58.558895710562396</c:v>
                </c:pt>
                <c:pt idx="7">
                  <c:v>58.358800006277306</c:v>
                </c:pt>
                <c:pt idx="8">
                  <c:v>58.158699794510504</c:v>
                </c:pt>
                <c:pt idx="9">
                  <c:v>57.958594863112729</c:v>
                </c:pt>
                <c:pt idx="10">
                  <c:v>57.758484989963577</c:v>
                </c:pt>
                <c:pt idx="11">
                  <c:v>57.5583699425041</c:v>
                </c:pt>
                <c:pt idx="12">
                  <c:v>57.358249477247981</c:v>
                </c:pt>
                <c:pt idx="13">
                  <c:v>57.158123339269466</c:v>
                </c:pt>
                <c:pt idx="14">
                  <c:v>56.957991261667715</c:v>
                </c:pt>
                <c:pt idx="15">
                  <c:v>56.757852965006357</c:v>
                </c:pt>
                <c:pt idx="16">
                  <c:v>56.557708156726605</c:v>
                </c:pt>
                <c:pt idx="17">
                  <c:v>56.357556530533593</c:v>
                </c:pt>
                <c:pt idx="18">
                  <c:v>56.15739776575392</c:v>
                </c:pt>
                <c:pt idx="19">
                  <c:v>55.957231526663335</c:v>
                </c:pt>
                <c:pt idx="20">
                  <c:v>55.757057461783717</c:v>
                </c:pt>
                <c:pt idx="21">
                  <c:v>55.556875203146703</c:v>
                </c:pt>
                <c:pt idx="22">
                  <c:v>55.356684365524067</c:v>
                </c:pt>
                <c:pt idx="23">
                  <c:v>55.156484545622206</c:v>
                </c:pt>
                <c:pt idx="24">
                  <c:v>54.956275321238948</c:v>
                </c:pt>
                <c:pt idx="25">
                  <c:v>54.756056250382549</c:v>
                </c:pt>
                <c:pt idx="26">
                  <c:v>54.555826870348767</c:v>
                </c:pt>
                <c:pt idx="27">
                  <c:v>54.355586696756511</c:v>
                </c:pt>
                <c:pt idx="28">
                  <c:v>54.155335222538326</c:v>
                </c:pt>
                <c:pt idx="29">
                  <c:v>53.955071916885416</c:v>
                </c:pt>
                <c:pt idx="30">
                  <c:v>53.754796224143163</c:v>
                </c:pt>
                <c:pt idx="31">
                  <c:v>53.554507562656894</c:v>
                </c:pt>
                <c:pt idx="32">
                  <c:v>53.354205323564585</c:v>
                </c:pt>
                <c:pt idx="33">
                  <c:v>53.153888869533894</c:v>
                </c:pt>
                <c:pt idx="34">
                  <c:v>52.953557533442641</c:v>
                </c:pt>
                <c:pt idx="35">
                  <c:v>52.753210616997876</c:v>
                </c:pt>
                <c:pt idx="36">
                  <c:v>52.552847389293127</c:v>
                </c:pt>
                <c:pt idx="37">
                  <c:v>52.352467085299836</c:v>
                </c:pt>
                <c:pt idx="38">
                  <c:v>52.152068904290218</c:v>
                </c:pt>
                <c:pt idx="39">
                  <c:v>51.951652008188873</c:v>
                </c:pt>
                <c:pt idx="40">
                  <c:v>51.751215519850319</c:v>
                </c:pt>
                <c:pt idx="41">
                  <c:v>51.550758521258196</c:v>
                </c:pt>
                <c:pt idx="42">
                  <c:v>51.350280051644489</c:v>
                </c:pt>
                <c:pt idx="43">
                  <c:v>51.149779105523336</c:v>
                </c:pt>
                <c:pt idx="44">
                  <c:v>50.949254630637981</c:v>
                </c:pt>
                <c:pt idx="45">
                  <c:v>50.74870552581487</c:v>
                </c:pt>
                <c:pt idx="46">
                  <c:v>50.548130638723507</c:v>
                </c:pt>
                <c:pt idx="47">
                  <c:v>50.347528763536047</c:v>
                </c:pt>
                <c:pt idx="48">
                  <c:v>50.146898638483549</c:v>
                </c:pt>
                <c:pt idx="49">
                  <c:v>49.946238943304849</c:v>
                </c:pt>
                <c:pt idx="50">
                  <c:v>49.745548296582207</c:v>
                </c:pt>
                <c:pt idx="51">
                  <c:v>49.544825252962099</c:v>
                </c:pt>
                <c:pt idx="52">
                  <c:v>49.344068300252545</c:v>
                </c:pt>
                <c:pt idx="53">
                  <c:v>49.143275856396109</c:v>
                </c:pt>
                <c:pt idx="54">
                  <c:v>48.942446266310512</c:v>
                </c:pt>
                <c:pt idx="55">
                  <c:v>48.741577798593909</c:v>
                </c:pt>
                <c:pt idx="56">
                  <c:v>48.540668642088349</c:v>
                </c:pt>
                <c:pt idx="57">
                  <c:v>48.339716902296857</c:v>
                </c:pt>
                <c:pt idx="58">
                  <c:v>48.138720597647769</c:v>
                </c:pt>
                <c:pt idx="59">
                  <c:v>47.937677655601433</c:v>
                </c:pt>
                <c:pt idx="60">
                  <c:v>47.736585908593803</c:v>
                </c:pt>
                <c:pt idx="61">
                  <c:v>47.535443089809647</c:v>
                </c:pt>
                <c:pt idx="62">
                  <c:v>47.334246828781346</c:v>
                </c:pt>
                <c:pt idx="63">
                  <c:v>47.132994646805571</c:v>
                </c:pt>
                <c:pt idx="64">
                  <c:v>46.931683952172605</c:v>
                </c:pt>
                <c:pt idx="65">
                  <c:v>46.73031203520199</c:v>
                </c:pt>
                <c:pt idx="66">
                  <c:v>46.52887606307786</c:v>
                </c:pt>
                <c:pt idx="67">
                  <c:v>46.327373074478551</c:v>
                </c:pt>
                <c:pt idx="68">
                  <c:v>46.125799973992969</c:v>
                </c:pt>
                <c:pt idx="69">
                  <c:v>45.924153526318186</c:v>
                </c:pt>
                <c:pt idx="70">
                  <c:v>45.722430350232131</c:v>
                </c:pt>
                <c:pt idx="71">
                  <c:v>45.520626912335018</c:v>
                </c:pt>
                <c:pt idx="72">
                  <c:v>45.318739520552747</c:v>
                </c:pt>
                <c:pt idx="73">
                  <c:v>45.116764317397809</c:v>
                </c:pt>
                <c:pt idx="74">
                  <c:v>44.914697272980405</c:v>
                </c:pt>
                <c:pt idx="75">
                  <c:v>44.712534177765434</c:v>
                </c:pt>
                <c:pt idx="76">
                  <c:v>44.510270635069091</c:v>
                </c:pt>
                <c:pt idx="77">
                  <c:v>44.307902053291429</c:v>
                </c:pt>
                <c:pt idx="78">
                  <c:v>44.10542363787907</c:v>
                </c:pt>
                <c:pt idx="79">
                  <c:v>43.902830383015008</c:v>
                </c:pt>
                <c:pt idx="80">
                  <c:v>43.700117063031286</c:v>
                </c:pt>
                <c:pt idx="81">
                  <c:v>43.49727822354307</c:v>
                </c:pt>
                <c:pt idx="82">
                  <c:v>43.294308172299637</c:v>
                </c:pt>
                <c:pt idx="83">
                  <c:v>43.091200969754226</c:v>
                </c:pt>
                <c:pt idx="84">
                  <c:v>42.887950419349025</c:v>
                </c:pt>
                <c:pt idx="85">
                  <c:v>42.684550057518891</c:v>
                </c:pt>
                <c:pt idx="86">
                  <c:v>42.480993143413784</c:v>
                </c:pt>
                <c:pt idx="87">
                  <c:v>42.277272648344749</c:v>
                </c:pt>
                <c:pt idx="88">
                  <c:v>42.073381244956224</c:v>
                </c:pt>
                <c:pt idx="89">
                  <c:v>41.869311296133318</c:v>
                </c:pt>
                <c:pt idx="90">
                  <c:v>41.665054843650168</c:v>
                </c:pt>
                <c:pt idx="91">
                  <c:v>41.460603596571836</c:v>
                </c:pt>
                <c:pt idx="92">
                  <c:v>41.255948919418813</c:v>
                </c:pt>
                <c:pt idx="93">
                  <c:v>41.051081820113282</c:v>
                </c:pt>
                <c:pt idx="94">
                  <c:v>40.845992937720361</c:v>
                </c:pt>
                <c:pt idx="95">
                  <c:v>40.640672530007706</c:v>
                </c:pt>
                <c:pt idx="96">
                  <c:v>40.435110460845401</c:v>
                </c:pt>
                <c:pt idx="97">
                  <c:v>40.229296187473366</c:v>
                </c:pt>
                <c:pt idx="98">
                  <c:v>40.023218747666583</c:v>
                </c:pt>
                <c:pt idx="99">
                  <c:v>39.816866746833306</c:v>
                </c:pt>
                <c:pt idx="100">
                  <c:v>39.610228345084188</c:v>
                </c:pt>
                <c:pt idx="101">
                  <c:v>39.403291244316101</c:v>
                </c:pt>
                <c:pt idx="102">
                  <c:v>39.196042675358669</c:v>
                </c:pt>
                <c:pt idx="103">
                  <c:v>38.988469385237075</c:v>
                </c:pt>
                <c:pt idx="104">
                  <c:v>38.780557624610168</c:v>
                </c:pt>
                <c:pt idx="105">
                  <c:v>38.572293135448248</c:v>
                </c:pt>
                <c:pt idx="106">
                  <c:v>38.363661139022959</c:v>
                </c:pt>
                <c:pt idx="107">
                  <c:v>38.154646324285267</c:v>
                </c:pt>
                <c:pt idx="108">
                  <c:v>37.945232836717075</c:v>
                </c:pt>
                <c:pt idx="109">
                  <c:v>37.735404267748592</c:v>
                </c:pt>
                <c:pt idx="110">
                  <c:v>37.525143644839297</c:v>
                </c:pt>
                <c:pt idx="111">
                  <c:v>37.314433422331142</c:v>
                </c:pt>
                <c:pt idx="112">
                  <c:v>37.103255473188071</c:v>
                </c:pt>
                <c:pt idx="113">
                  <c:v>36.891591081744266</c:v>
                </c:pt>
                <c:pt idx="114">
                  <c:v>36.67942093759499</c:v>
                </c:pt>
                <c:pt idx="115">
                  <c:v>36.466725130767287</c:v>
                </c:pt>
                <c:pt idx="116">
                  <c:v>36.253483148320235</c:v>
                </c:pt>
                <c:pt idx="117">
                  <c:v>36.039673872532099</c:v>
                </c:pt>
                <c:pt idx="118">
                  <c:v>35.82527558083769</c:v>
                </c:pt>
                <c:pt idx="119">
                  <c:v>35.610265947690607</c:v>
                </c:pt>
                <c:pt idx="120">
                  <c:v>35.394622048530088</c:v>
                </c:pt>
                <c:pt idx="121">
                  <c:v>35.178320366040701</c:v>
                </c:pt>
                <c:pt idx="122">
                  <c:v>34.96133679889914</c:v>
                </c:pt>
                <c:pt idx="123">
                  <c:v>34.743646673208382</c:v>
                </c:pt>
                <c:pt idx="124">
                  <c:v>34.525224756823889</c:v>
                </c:pt>
                <c:pt idx="125">
                  <c:v>34.306045276780651</c:v>
                </c:pt>
                <c:pt idx="126">
                  <c:v>34.086081940032713</c:v>
                </c:pt>
                <c:pt idx="127">
                  <c:v>33.865307957715217</c:v>
                </c:pt>
                <c:pt idx="128">
                  <c:v>33.643696073141967</c:v>
                </c:pt>
                <c:pt idx="129">
                  <c:v>33.421218593745344</c:v>
                </c:pt>
                <c:pt idx="130">
                  <c:v>33.197847427161648</c:v>
                </c:pt>
                <c:pt idx="131">
                  <c:v>32.973554121657969</c:v>
                </c:pt>
                <c:pt idx="132">
                  <c:v>32.748309911085293</c:v>
                </c:pt>
                <c:pt idx="133">
                  <c:v>32.522085764531397</c:v>
                </c:pt>
                <c:pt idx="134">
                  <c:v>32.294852440829445</c:v>
                </c:pt>
                <c:pt idx="135">
                  <c:v>32.06658054805974</c:v>
                </c:pt>
                <c:pt idx="136">
                  <c:v>31.837240608160315</c:v>
                </c:pt>
                <c:pt idx="137">
                  <c:v>31.606803126733787</c:v>
                </c:pt>
                <c:pt idx="138">
                  <c:v>31.375238668111834</c:v>
                </c:pt>
                <c:pt idx="139">
                  <c:v>31.142517935700319</c:v>
                </c:pt>
                <c:pt idx="140">
                  <c:v>30.908611857596856</c:v>
                </c:pt>
                <c:pt idx="141">
                  <c:v>30.673491677426131</c:v>
                </c:pt>
                <c:pt idx="142">
                  <c:v>30.437129050300111</c:v>
                </c:pt>
                <c:pt idx="143">
                  <c:v>30.199496143757678</c:v>
                </c:pt>
                <c:pt idx="144">
                  <c:v>29.960565743491024</c:v>
                </c:pt>
                <c:pt idx="145">
                  <c:v>29.720311363613199</c:v>
                </c:pt>
                <c:pt idx="146">
                  <c:v>29.478707361163075</c:v>
                </c:pt>
                <c:pt idx="147">
                  <c:v>29.235729054491571</c:v>
                </c:pt>
                <c:pt idx="148">
                  <c:v>28.991352845109883</c:v>
                </c:pt>
                <c:pt idx="149">
                  <c:v>28.745556342526587</c:v>
                </c:pt>
                <c:pt idx="150">
                  <c:v>28.498318491538321</c:v>
                </c:pt>
                <c:pt idx="151">
                  <c:v>28.249619701384848</c:v>
                </c:pt>
                <c:pt idx="152">
                  <c:v>27.999441976121528</c:v>
                </c:pt>
                <c:pt idx="153">
                  <c:v>27.747769045511603</c:v>
                </c:pt>
                <c:pt idx="154">
                  <c:v>27.494586495691237</c:v>
                </c:pt>
                <c:pt idx="155">
                  <c:v>27.239881898816797</c:v>
                </c:pt>
                <c:pt idx="156">
                  <c:v>26.983644940865034</c:v>
                </c:pt>
                <c:pt idx="157">
                  <c:v>26.725867546725492</c:v>
                </c:pt>
                <c:pt idx="158">
                  <c:v>26.466544001700743</c:v>
                </c:pt>
                <c:pt idx="159">
                  <c:v>26.20567106851016</c:v>
                </c:pt>
                <c:pt idx="160">
                  <c:v>25.943248098890521</c:v>
                </c:pt>
                <c:pt idx="161">
                  <c:v>25.67927713888237</c:v>
                </c:pt>
                <c:pt idx="162">
                  <c:v>25.413763026905567</c:v>
                </c:pt>
                <c:pt idx="163">
                  <c:v>25.146713483747689</c:v>
                </c:pt>
                <c:pt idx="164">
                  <c:v>24.878139193616143</c:v>
                </c:pt>
                <c:pt idx="165">
                  <c:v>24.608053875449073</c:v>
                </c:pt>
                <c:pt idx="166">
                  <c:v>24.336474343727478</c:v>
                </c:pt>
                <c:pt idx="167">
                  <c:v>24.063420558087124</c:v>
                </c:pt>
                <c:pt idx="168">
                  <c:v>23.788915661100059</c:v>
                </c:pt>
                <c:pt idx="169">
                  <c:v>23.512986003664487</c:v>
                </c:pt>
                <c:pt idx="170">
                  <c:v>23.235661157526234</c:v>
                </c:pt>
                <c:pt idx="171">
                  <c:v>22.956973914537148</c:v>
                </c:pt>
                <c:pt idx="172">
                  <c:v>22.676960272349515</c:v>
                </c:pt>
                <c:pt idx="173">
                  <c:v>22.395659406337</c:v>
                </c:pt>
                <c:pt idx="174">
                  <c:v>22.113113627628493</c:v>
                </c:pt>
                <c:pt idx="175">
                  <c:v>21.829368327236285</c:v>
                </c:pt>
                <c:pt idx="176">
                  <c:v>21.54447190635905</c:v>
                </c:pt>
                <c:pt idx="177">
                  <c:v>21.258475693029947</c:v>
                </c:pt>
                <c:pt idx="178">
                  <c:v>20.971433845374197</c:v>
                </c:pt>
                <c:pt idx="179">
                  <c:v>20.683403241828593</c:v>
                </c:pt>
                <c:pt idx="180">
                  <c:v>20.394443358758476</c:v>
                </c:pt>
                <c:pt idx="181">
                  <c:v>20.104616135985797</c:v>
                </c:pt>
                <c:pt idx="182">
                  <c:v>19.813985830816662</c:v>
                </c:pt>
                <c:pt idx="183">
                  <c:v>19.522618861223048</c:v>
                </c:pt>
                <c:pt idx="184">
                  <c:v>19.230583638895617</c:v>
                </c:pt>
                <c:pt idx="185">
                  <c:v>18.937950392936944</c:v>
                </c:pt>
                <c:pt idx="186">
                  <c:v>18.644790985018094</c:v>
                </c:pt>
                <c:pt idx="187">
                  <c:v>18.351178716859643</c:v>
                </c:pt>
                <c:pt idx="188">
                  <c:v>18.05718813093673</c:v>
                </c:pt>
                <c:pt idx="189">
                  <c:v>17.762894805341737</c:v>
                </c:pt>
                <c:pt idx="190">
                  <c:v>17.468375143759001</c:v>
                </c:pt>
                <c:pt idx="191">
                  <c:v>17.173706161532408</c:v>
                </c:pt>
                <c:pt idx="192">
                  <c:v>16.878965268818121</c:v>
                </c:pt>
                <c:pt idx="193">
                  <c:v>16.584230051831227</c:v>
                </c:pt>
                <c:pt idx="194">
                  <c:v>16.289578053197971</c:v>
                </c:pt>
                <c:pt idx="195">
                  <c:v>15.995086552433682</c:v>
                </c:pt>
                <c:pt idx="196">
                  <c:v>15.700832347559793</c:v>
                </c:pt>
                <c:pt idx="197">
                  <c:v>15.406891538875753</c:v>
                </c:pt>
                <c:pt idx="198">
                  <c:v>15.113339315885742</c:v>
                </c:pt>
                <c:pt idx="199">
                  <c:v>14.820249748372889</c:v>
                </c:pt>
                <c:pt idx="200">
                  <c:v>14.527695582591253</c:v>
                </c:pt>
                <c:pt idx="201">
                  <c:v>14.235748043527357</c:v>
                </c:pt>
                <c:pt idx="202">
                  <c:v>13.944476644151589</c:v>
                </c:pt>
                <c:pt idx="203">
                  <c:v>13.653949002549744</c:v>
                </c:pt>
                <c:pt idx="204">
                  <c:v>13.364230667785478</c:v>
                </c:pt>
                <c:pt idx="205">
                  <c:v>13.075384955298539</c:v>
                </c:pt>
                <c:pt idx="206">
                  <c:v>12.78747279259435</c:v>
                </c:pt>
                <c:pt idx="207">
                  <c:v>12.500552575923683</c:v>
                </c:pt>
                <c:pt idx="208">
                  <c:v>12.214680038586888</c:v>
                </c:pt>
                <c:pt idx="209">
                  <c:v>11.929908131427982</c:v>
                </c:pt>
                <c:pt idx="210">
                  <c:v>11.646286916011428</c:v>
                </c:pt>
                <c:pt idx="211">
                  <c:v>11.363863470889864</c:v>
                </c:pt>
                <c:pt idx="212">
                  <c:v>11.082681811290303</c:v>
                </c:pt>
                <c:pt idx="213">
                  <c:v>10.80278282245378</c:v>
                </c:pt>
                <c:pt idx="214">
                  <c:v>10.524204206772598</c:v>
                </c:pt>
                <c:pt idx="215">
                  <c:v>10.246980444774731</c:v>
                </c:pt>
                <c:pt idx="216">
                  <c:v>9.9711427699072903</c:v>
                </c:pt>
                <c:pt idx="217">
                  <c:v>9.6967191569771725</c:v>
                </c:pt>
                <c:pt idx="218">
                  <c:v>9.4237343240095974</c:v>
                </c:pt>
                <c:pt idx="219">
                  <c:v>9.1522097471952275</c:v>
                </c:pt>
                <c:pt idx="220">
                  <c:v>8.8821636885040398</c:v>
                </c:pt>
                <c:pt idx="221">
                  <c:v>8.613611235463047</c:v>
                </c:pt>
                <c:pt idx="222">
                  <c:v>8.3465643525144788</c:v>
                </c:pt>
                <c:pt idx="223">
                  <c:v>8.0810319432984166</c:v>
                </c:pt>
                <c:pt idx="224">
                  <c:v>7.8170199231427411</c:v>
                </c:pt>
                <c:pt idx="225">
                  <c:v>7.5545313009831103</c:v>
                </c:pt>
                <c:pt idx="226">
                  <c:v>7.2935662698938568</c:v>
                </c:pt>
                <c:pt idx="227">
                  <c:v>7.0341223053692179</c:v>
                </c:pt>
                <c:pt idx="228">
                  <c:v>6.7761942704699667</c:v>
                </c:pt>
                <c:pt idx="229">
                  <c:v>6.5197745269307052</c:v>
                </c:pt>
                <c:pt idx="230">
                  <c:v>6.2648530513171066</c:v>
                </c:pt>
                <c:pt idx="231">
                  <c:v>6.0114175553212066</c:v>
                </c:pt>
                <c:pt idx="232">
                  <c:v>5.7594536092960302</c:v>
                </c:pt>
                <c:pt idx="233">
                  <c:v>5.5089447681488179</c:v>
                </c:pt>
                <c:pt idx="234">
                  <c:v>5.2598726987374302</c:v>
                </c:pt>
                <c:pt idx="235">
                  <c:v>5.0122173079517811</c:v>
                </c:pt>
                <c:pt idx="236">
                  <c:v>4.7659568706986057</c:v>
                </c:pt>
                <c:pt idx="237">
                  <c:v>4.5210681570557067</c:v>
                </c:pt>
                <c:pt idx="238">
                  <c:v>4.277526557911731</c:v>
                </c:pt>
                <c:pt idx="239">
                  <c:v>4.0353062084595468</c:v>
                </c:pt>
                <c:pt idx="240">
                  <c:v>3.7943801089690519</c:v>
                </c:pt>
                <c:pt idx="241">
                  <c:v>3.5547202423215958</c:v>
                </c:pt>
                <c:pt idx="242">
                  <c:v>3.3162976878486079</c:v>
                </c:pt>
                <c:pt idx="243">
                  <c:v>3.0790827310744695</c:v>
                </c:pt>
                <c:pt idx="244">
                  <c:v>2.8430449690218844</c:v>
                </c:pt>
                <c:pt idx="245">
                  <c:v>2.6081534107971964</c:v>
                </c:pt>
                <c:pt idx="246">
                  <c:v>2.3743765732247142</c:v>
                </c:pt>
                <c:pt idx="247">
                  <c:v>2.1416825713544823</c:v>
                </c:pt>
                <c:pt idx="248">
                  <c:v>1.9100392037188441</c:v>
                </c:pt>
                <c:pt idx="249">
                  <c:v>1.6794140322563016</c:v>
                </c:pt>
                <c:pt idx="250">
                  <c:v>1.4497744568707724</c:v>
                </c:pt>
                <c:pt idx="251">
                  <c:v>1.2210877846280139</c:v>
                </c:pt>
                <c:pt idx="252">
                  <c:v>0.9933212936357193</c:v>
                </c:pt>
                <c:pt idx="253">
                  <c:v>0.76644229167950439</c:v>
                </c:pt>
                <c:pt idx="254">
                  <c:v>0.54041816972193801</c:v>
                </c:pt>
                <c:pt idx="255">
                  <c:v>0.31521645039610185</c:v>
                </c:pt>
                <c:pt idx="256">
                  <c:v>9.0804831648436127E-2</c:v>
                </c:pt>
                <c:pt idx="257">
                  <c:v>-0.13284877429571568</c:v>
                </c:pt>
                <c:pt idx="258">
                  <c:v>-0.35577620645053104</c:v>
                </c:pt>
                <c:pt idx="259">
                  <c:v>-0.57800902487076289</c:v>
                </c:pt>
                <c:pt idx="260">
                  <c:v>-0.79957848451590163</c:v>
                </c:pt>
                <c:pt idx="261">
                  <c:v>-1.0205155129555119</c:v>
                </c:pt>
                <c:pt idx="262">
                  <c:v>-1.240850691683439</c:v>
                </c:pt>
                <c:pt idx="263">
                  <c:v>-1.4606142408058838</c:v>
                </c:pt>
                <c:pt idx="264">
                  <c:v>-1.6798360068643325</c:v>
                </c:pt>
                <c:pt idx="265">
                  <c:v>-1.8985454535544934</c:v>
                </c:pt>
                <c:pt idx="266">
                  <c:v>-2.116771655102164</c:v>
                </c:pt>
                <c:pt idx="267">
                  <c:v>-2.3345432920567468</c:v>
                </c:pt>
                <c:pt idx="268">
                  <c:v>-2.5518886492680313</c:v>
                </c:pt>
                <c:pt idx="269">
                  <c:v>-2.7688356158129599</c:v>
                </c:pt>
                <c:pt idx="270">
                  <c:v>-2.9854116866426517</c:v>
                </c:pt>
                <c:pt idx="271">
                  <c:v>-3.2016439657261326</c:v>
                </c:pt>
                <c:pt idx="272">
                  <c:v>-3.4175591704690338</c:v>
                </c:pt>
                <c:pt idx="273">
                  <c:v>-3.6331836371934561</c:v>
                </c:pt>
                <c:pt idx="274">
                  <c:v>-3.8485433274669374</c:v>
                </c:pt>
                <c:pt idx="275">
                  <c:v>-4.0636638350766372</c:v>
                </c:pt>
                <c:pt idx="276">
                  <c:v>-4.2785703934487689</c:v>
                </c:pt>
                <c:pt idx="277">
                  <c:v>-4.4932878833183985</c:v>
                </c:pt>
                <c:pt idx="278">
                  <c:v>-4.7078408404601797</c:v>
                </c:pt>
                <c:pt idx="279">
                  <c:v>-4.9222534632981851</c:v>
                </c:pt>
                <c:pt idx="280">
                  <c:v>-5.1365496202150425</c:v>
                </c:pt>
                <c:pt idx="281">
                  <c:v>-5.3507528563894402</c:v>
                </c:pt>
                <c:pt idx="282">
                  <c:v>-5.5648863999934051</c:v>
                </c:pt>
                <c:pt idx="283">
                  <c:v>-5.7789731675920883</c:v>
                </c:pt>
                <c:pt idx="284">
                  <c:v>-5.9930357685884612</c:v>
                </c:pt>
                <c:pt idx="285">
                  <c:v>-6.2070965085681618</c:v>
                </c:pt>
                <c:pt idx="286">
                  <c:v>-6.421177391401919</c:v>
                </c:pt>
                <c:pt idx="287">
                  <c:v>-6.6353001199750263</c:v>
                </c:pt>
                <c:pt idx="288">
                  <c:v>-6.8494860954187029</c:v>
                </c:pt>
                <c:pt idx="289">
                  <c:v>-7.0637564147286174</c:v>
                </c:pt>
                <c:pt idx="290">
                  <c:v>-7.2781318666672865</c:v>
                </c:pt>
                <c:pt idx="291">
                  <c:v>-7.4926329258546751</c:v>
                </c:pt>
                <c:pt idx="292">
                  <c:v>-7.7072797449709096</c:v>
                </c:pt>
                <c:pt idx="293">
                  <c:v>-7.9220921449998301</c:v>
                </c:pt>
                <c:pt idx="294">
                  <c:v>-8.1370896034660998</c:v>
                </c:pt>
                <c:pt idx="295">
                  <c:v>-8.3522912406292562</c:v>
                </c:pt>
                <c:pt idx="296">
                  <c:v>-8.5677158036218977</c:v>
                </c:pt>
                <c:pt idx="297">
                  <c:v>-8.7833816485341938</c:v>
                </c:pt>
                <c:pt idx="298">
                  <c:v>-8.9993067204747543</c:v>
                </c:pt>
                <c:pt idx="299">
                  <c:v>-9.2155085316575445</c:v>
                </c:pt>
                <c:pt idx="300">
                  <c:v>-9.4320041375925712</c:v>
                </c:pt>
                <c:pt idx="301">
                  <c:v>-9.6488101114855152</c:v>
                </c:pt>
                <c:pt idx="302">
                  <c:v>-9.8659425169789099</c:v>
                </c:pt>
                <c:pt idx="303">
                  <c:v>-10.083416879401874</c:v>
                </c:pt>
                <c:pt idx="304">
                  <c:v>-10.301248155722472</c:v>
                </c:pt>
                <c:pt idx="305">
                  <c:v>-10.51945070343373</c:v>
                </c:pt>
                <c:pt idx="306">
                  <c:v>-10.738038248636654</c:v>
                </c:pt>
                <c:pt idx="307">
                  <c:v>-10.957023853615421</c:v>
                </c:pt>
                <c:pt idx="308">
                  <c:v>-11.176419884237983</c:v>
                </c:pt>
                <c:pt idx="309">
                  <c:v>-11.396237977543699</c:v>
                </c:pt>
                <c:pt idx="310">
                  <c:v>-11.616489009914066</c:v>
                </c:pt>
                <c:pt idx="311">
                  <c:v>-11.837183066251535</c:v>
                </c:pt>
                <c:pt idx="312">
                  <c:v>-12.058329410618292</c:v>
                </c:pt>
                <c:pt idx="313">
                  <c:v>-12.279936458810791</c:v>
                </c:pt>
                <c:pt idx="314">
                  <c:v>-12.502011753365348</c:v>
                </c:pt>
                <c:pt idx="315">
                  <c:v>-12.724561941505186</c:v>
                </c:pt>
                <c:pt idx="316">
                  <c:v>-12.947592756548293</c:v>
                </c:pt>
                <c:pt idx="317">
                  <c:v>-13.171109003297834</c:v>
                </c:pt>
                <c:pt idx="318">
                  <c:v>-13.395114547934595</c:v>
                </c:pt>
                <c:pt idx="319">
                  <c:v>-13.619612312915583</c:v>
                </c:pt>
                <c:pt idx="320">
                  <c:v>-13.844604277369603</c:v>
                </c:pt>
                <c:pt idx="321">
                  <c:v>-14.070091483444598</c:v>
                </c:pt>
                <c:pt idx="322">
                  <c:v>-14.296074049031706</c:v>
                </c:pt>
                <c:pt idx="323">
                  <c:v>-14.522551187242003</c:v>
                </c:pt>
                <c:pt idx="324">
                  <c:v>-14.749521232958386</c:v>
                </c:pt>
                <c:pt idx="325">
                  <c:v>-14.976981676724463</c:v>
                </c:pt>
                <c:pt idx="326">
                  <c:v>-15.204929206159445</c:v>
                </c:pt>
                <c:pt idx="327">
                  <c:v>-15.433359755013903</c:v>
                </c:pt>
                <c:pt idx="328">
                  <c:v>-15.662268559896011</c:v>
                </c:pt>
                <c:pt idx="329">
                  <c:v>-15.891650224611203</c:v>
                </c:pt>
                <c:pt idx="330">
                  <c:v>-16.121498791963397</c:v>
                </c:pt>
                <c:pt idx="331">
                  <c:v>-16.35180782277649</c:v>
                </c:pt>
                <c:pt idx="332">
                  <c:v>-16.582570481793898</c:v>
                </c:pt>
                <c:pt idx="333">
                  <c:v>-16.813779630025003</c:v>
                </c:pt>
                <c:pt idx="334">
                  <c:v>-17.045427923012532</c:v>
                </c:pt>
                <c:pt idx="335">
                  <c:v>-17.27750791440738</c:v>
                </c:pt>
                <c:pt idx="336">
                  <c:v>-17.51001216416023</c:v>
                </c:pt>
                <c:pt idx="337">
                  <c:v>-17.742933350559863</c:v>
                </c:pt>
                <c:pt idx="338">
                  <c:v>-17.976264385287386</c:v>
                </c:pt>
                <c:pt idx="339">
                  <c:v>-18.209998530599542</c:v>
                </c:pt>
                <c:pt idx="340">
                  <c:v>-18.444129517711058</c:v>
                </c:pt>
                <c:pt idx="341">
                  <c:v>-18.678651665416094</c:v>
                </c:pt>
                <c:pt idx="342">
                  <c:v>-18.913559997967766</c:v>
                </c:pt>
                <c:pt idx="343">
                  <c:v>-19.148850361233137</c:v>
                </c:pt>
                <c:pt idx="344">
                  <c:v>-19.384519536145753</c:v>
                </c:pt>
                <c:pt idx="345">
                  <c:v>-19.620565348497955</c:v>
                </c:pt>
                <c:pt idx="346">
                  <c:v>-19.856986774150482</c:v>
                </c:pt>
                <c:pt idx="347">
                  <c:v>-20.093784038774931</c:v>
                </c:pt>
                <c:pt idx="348">
                  <c:v>-20.330958711304142</c:v>
                </c:pt>
                <c:pt idx="349">
                  <c:v>-20.568513790322211</c:v>
                </c:pt>
                <c:pt idx="350">
                  <c:v>-20.806453782700331</c:v>
                </c:pt>
                <c:pt idx="351">
                  <c:v>-21.044784773855817</c:v>
                </c:pt>
                <c:pt idx="352">
                  <c:v>-21.283514489096159</c:v>
                </c:pt>
                <c:pt idx="353">
                  <c:v>-21.522652345587336</c:v>
                </c:pt>
                <c:pt idx="354">
                  <c:v>-21.762209494575011</c:v>
                </c:pt>
                <c:pt idx="355">
                  <c:v>-22.002198853565275</c:v>
                </c:pt>
                <c:pt idx="356">
                  <c:v>-22.242635128256364</c:v>
                </c:pt>
                <c:pt idx="357">
                  <c:v>-22.483534824091866</c:v>
                </c:pt>
                <c:pt idx="358">
                  <c:v>-22.724916247376544</c:v>
                </c:pt>
                <c:pt idx="359">
                  <c:v>-22.966799495971966</c:v>
                </c:pt>
                <c:pt idx="360">
                  <c:v>-23.209206439646373</c:v>
                </c:pt>
                <c:pt idx="361">
                  <c:v>-23.452160690217696</c:v>
                </c:pt>
                <c:pt idx="362">
                  <c:v>-23.695687561676699</c:v>
                </c:pt>
                <c:pt idx="363">
                  <c:v>-23.939814020523677</c:v>
                </c:pt>
                <c:pt idx="364">
                  <c:v>-24.184568626594086</c:v>
                </c:pt>
                <c:pt idx="365">
                  <c:v>-24.429981464679091</c:v>
                </c:pt>
                <c:pt idx="366">
                  <c:v>-24.676084067278481</c:v>
                </c:pt>
                <c:pt idx="367">
                  <c:v>-24.922909328846995</c:v>
                </c:pt>
                <c:pt idx="368">
                  <c:v>-25.1704914119119</c:v>
                </c:pt>
                <c:pt idx="369">
                  <c:v>-25.418865645462517</c:v>
                </c:pt>
                <c:pt idx="370">
                  <c:v>-25.66806841602077</c:v>
                </c:pt>
                <c:pt idx="371">
                  <c:v>-25.918137051818402</c:v>
                </c:pt>
                <c:pt idx="372">
                  <c:v>-26.169109700515385</c:v>
                </c:pt>
                <c:pt idx="373">
                  <c:v>-26.421025200909387</c:v>
                </c:pt>
                <c:pt idx="374">
                  <c:v>-26.673922949093935</c:v>
                </c:pt>
                <c:pt idx="375">
                  <c:v>-26.927842759537583</c:v>
                </c:pt>
                <c:pt idx="376">
                  <c:v>-27.182824721574921</c:v>
                </c:pt>
                <c:pt idx="377">
                  <c:v>-27.438909051808324</c:v>
                </c:pt>
                <c:pt idx="378">
                  <c:v>-27.696135942944128</c:v>
                </c:pt>
                <c:pt idx="379">
                  <c:v>-27.954545409606958</c:v>
                </c:pt>
                <c:pt idx="380">
                  <c:v>-28.214177131692445</c:v>
                </c:pt>
                <c:pt idx="381">
                  <c:v>-28.475070295850436</c:v>
                </c:pt>
                <c:pt idx="382">
                  <c:v>-28.737263435707582</c:v>
                </c:pt>
                <c:pt idx="383">
                  <c:v>-29.000794271470607</c:v>
                </c:pt>
                <c:pt idx="384">
                  <c:v>-29.265699549574787</c:v>
                </c:pt>
                <c:pt idx="385">
                  <c:v>-29.532014883066289</c:v>
                </c:pt>
                <c:pt idx="386">
                  <c:v>-29.799774593433185</c:v>
                </c:pt>
                <c:pt idx="387">
                  <c:v>-30.069011554621557</c:v>
                </c:pt>
                <c:pt idx="388">
                  <c:v>-30.339757039990953</c:v>
                </c:pt>
                <c:pt idx="389">
                  <c:v>-30.612040572978731</c:v>
                </c:pt>
                <c:pt idx="390">
                  <c:v>-30.885889782252782</c:v>
                </c:pt>
                <c:pt idx="391">
                  <c:v>-31.16133026213695</c:v>
                </c:pt>
                <c:pt idx="392">
                  <c:v>-31.438385439091117</c:v>
                </c:pt>
                <c:pt idx="393">
                  <c:v>-31.717076445019664</c:v>
                </c:pt>
                <c:pt idx="394">
                  <c:v>-31.99742199816491</c:v>
                </c:pt>
                <c:pt idx="395">
                  <c:v>-32.279438292318474</c:v>
                </c:pt>
                <c:pt idx="396">
                  <c:v>-32.563138895052738</c:v>
                </c:pt>
                <c:pt idx="397">
                  <c:v>-32.848534655632776</c:v>
                </c:pt>
                <c:pt idx="398">
                  <c:v>-33.135633623222837</c:v>
                </c:pt>
                <c:pt idx="399">
                  <c:v>-33.424440975945416</c:v>
                </c:pt>
                <c:pt idx="400">
                  <c:v>-33.714958961290769</c:v>
                </c:pt>
                <c:pt idx="401">
                  <c:v>-34.007186848304201</c:v>
                </c:pt>
                <c:pt idx="402">
                  <c:v>-34.301120891908226</c:v>
                </c:pt>
                <c:pt idx="403">
                  <c:v>-34.596754309636232</c:v>
                </c:pt>
                <c:pt idx="404">
                  <c:v>-34.894077270976261</c:v>
                </c:pt>
                <c:pt idx="405">
                  <c:v>-35.193076899438921</c:v>
                </c:pt>
                <c:pt idx="406">
                  <c:v>-35.493737287383091</c:v>
                </c:pt>
                <c:pt idx="407">
                  <c:v>-35.796039523546298</c:v>
                </c:pt>
                <c:pt idx="408">
                  <c:v>-36.099961733151659</c:v>
                </c:pt>
                <c:pt idx="409">
                  <c:v>-36.405479130380215</c:v>
                </c:pt>
                <c:pt idx="410">
                  <c:v>-36.712564082928132</c:v>
                </c:pt>
                <c:pt idx="411">
                  <c:v>-37.021186188297655</c:v>
                </c:pt>
                <c:pt idx="412">
                  <c:v>-37.331312361410944</c:v>
                </c:pt>
                <c:pt idx="413">
                  <c:v>-37.642906933076503</c:v>
                </c:pt>
                <c:pt idx="414">
                  <c:v>-37.955931758795863</c:v>
                </c:pt>
                <c:pt idx="415">
                  <c:v>-38.270346337349871</c:v>
                </c:pt>
                <c:pt idx="416">
                  <c:v>-38.586107938579879</c:v>
                </c:pt>
                <c:pt idx="417">
                  <c:v>-38.903171739745048</c:v>
                </c:pt>
                <c:pt idx="418">
                  <c:v>-39.221490969826796</c:v>
                </c:pt>
                <c:pt idx="419">
                  <c:v>-39.541017061134532</c:v>
                </c:pt>
                <c:pt idx="420">
                  <c:v>-39.861699807567483</c:v>
                </c:pt>
                <c:pt idx="421">
                  <c:v>-40.183487528885529</c:v>
                </c:pt>
                <c:pt idx="422">
                  <c:v>-40.506327240346735</c:v>
                </c:pt>
                <c:pt idx="423">
                  <c:v>-40.830164827085625</c:v>
                </c:pt>
                <c:pt idx="424">
                  <c:v>-41.154945222611339</c:v>
                </c:pt>
                <c:pt idx="425">
                  <c:v>-41.480612590824812</c:v>
                </c:pt>
                <c:pt idx="426">
                  <c:v>-41.807110510970048</c:v>
                </c:pt>
                <c:pt idx="427">
                  <c:v>-42.134382164944952</c:v>
                </c:pt>
                <c:pt idx="428">
                  <c:v>-42.46237052642001</c:v>
                </c:pt>
                <c:pt idx="429">
                  <c:v>-42.791018551219523</c:v>
                </c:pt>
                <c:pt idx="430">
                  <c:v>-43.120269368431742</c:v>
                </c:pt>
                <c:pt idx="431">
                  <c:v>-43.450066471724618</c:v>
                </c:pt>
                <c:pt idx="432">
                  <c:v>-43.780353910341191</c:v>
                </c:pt>
                <c:pt idx="433">
                  <c:v>-44.111076479254152</c:v>
                </c:pt>
                <c:pt idx="434">
                  <c:v>-44.442179907947718</c:v>
                </c:pt>
                <c:pt idx="435">
                  <c:v>-44.773611047290913</c:v>
                </c:pt>
                <c:pt idx="436">
                  <c:v>-45.10531805394821</c:v>
                </c:pt>
                <c:pt idx="437">
                  <c:v>-45.437250571760053</c:v>
                </c:pt>
                <c:pt idx="438">
                  <c:v>-45.769359909501894</c:v>
                </c:pt>
                <c:pt idx="439">
                  <c:v>-46.101599214408616</c:v>
                </c:pt>
                <c:pt idx="440">
                  <c:v>-46.433923640825753</c:v>
                </c:pt>
                <c:pt idx="441">
                  <c:v>-46.766290513324066</c:v>
                </c:pt>
                <c:pt idx="442">
                  <c:v>-47.098659483585131</c:v>
                </c:pt>
                <c:pt idx="443">
                  <c:v>-47.430992680344545</c:v>
                </c:pt>
                <c:pt idx="444">
                  <c:v>-47.763254851655866</c:v>
                </c:pt>
                <c:pt idx="445">
                  <c:v>-48.095413498718187</c:v>
                </c:pt>
                <c:pt idx="446">
                  <c:v>-48.427439000500634</c:v>
                </c:pt>
                <c:pt idx="447">
                  <c:v>-48.75930472838661</c:v>
                </c:pt>
                <c:pt idx="448">
                  <c:v>-49.090987150061032</c:v>
                </c:pt>
                <c:pt idx="449">
                  <c:v>-49.42246592187427</c:v>
                </c:pt>
                <c:pt idx="450">
                  <c:v>-49.753723968930863</c:v>
                </c:pt>
                <c:pt idx="451">
                  <c:v>-50.084747552181611</c:v>
                </c:pt>
                <c:pt idx="452">
                  <c:v>-50.415526321832346</c:v>
                </c:pt>
                <c:pt idx="453">
                  <c:v>-50.746053356437173</c:v>
                </c:pt>
                <c:pt idx="454">
                  <c:v>-51.076325187096856</c:v>
                </c:pt>
                <c:pt idx="455">
                  <c:v>-51.406341806264628</c:v>
                </c:pt>
                <c:pt idx="456">
                  <c:v>-51.736106660732233</c:v>
                </c:pt>
                <c:pt idx="457">
                  <c:v>-52.065626628475457</c:v>
                </c:pt>
                <c:pt idx="458">
                  <c:v>-52.394911979128238</c:v>
                </c:pt>
                <c:pt idx="459">
                  <c:v>-52.723976317976607</c:v>
                </c:pt>
                <c:pt idx="460">
                  <c:v>-53.052836513475619</c:v>
                </c:pt>
                <c:pt idx="461">
                  <c:v>-53.381512608421353</c:v>
                </c:pt>
                <c:pt idx="462">
                  <c:v>-53.710027715039537</c:v>
                </c:pt>
                <c:pt idx="463">
                  <c:v>-54.03840789438302</c:v>
                </c:pt>
                <c:pt idx="464">
                  <c:v>-54.366682020569421</c:v>
                </c:pt>
                <c:pt idx="465">
                  <c:v>-54.694881630516775</c:v>
                </c:pt>
                <c:pt idx="466">
                  <c:v>-55.023040759974236</c:v>
                </c:pt>
                <c:pt idx="467">
                  <c:v>-55.351195766763979</c:v>
                </c:pt>
                <c:pt idx="468">
                  <c:v>-55.679385142275784</c:v>
                </c:pt>
                <c:pt idx="469">
                  <c:v>-56.007649312366937</c:v>
                </c:pt>
                <c:pt idx="470">
                  <c:v>-56.336030428919003</c:v>
                </c:pt>
                <c:pt idx="471">
                  <c:v>-56.66457215340229</c:v>
                </c:pt>
                <c:pt idx="472">
                  <c:v>-56.993319433865693</c:v>
                </c:pt>
                <c:pt idx="473">
                  <c:v>-57.322318276846701</c:v>
                </c:pt>
                <c:pt idx="474">
                  <c:v>-57.65161551573361</c:v>
                </c:pt>
                <c:pt idx="475">
                  <c:v>-57.981258577155678</c:v>
                </c:pt>
                <c:pt idx="476">
                  <c:v>-58.311295246986383</c:v>
                </c:pt>
                <c:pt idx="477">
                  <c:v>-58.641773437549816</c:v>
                </c:pt>
                <c:pt idx="478">
                  <c:v>-58.972740957602483</c:v>
                </c:pt>
                <c:pt idx="479">
                  <c:v>-59.30424528662904</c:v>
                </c:pt>
                <c:pt idx="480">
                  <c:v>-59.636333354941186</c:v>
                </c:pt>
                <c:pt idx="481">
                  <c:v>-59.969051331005481</c:v>
                </c:pt>
                <c:pt idx="482">
                  <c:v>-60.302444417343715</c:v>
                </c:pt>
                <c:pt idx="483">
                  <c:v>-60.636556656258314</c:v>
                </c:pt>
                <c:pt idx="484">
                  <c:v>-60.971430746528014</c:v>
                </c:pt>
                <c:pt idx="485">
                  <c:v>-61.307107872104929</c:v>
                </c:pt>
                <c:pt idx="486">
                  <c:v>-61.643627543712675</c:v>
                </c:pt>
                <c:pt idx="487">
                  <c:v>-61.981027454123662</c:v>
                </c:pt>
                <c:pt idx="488">
                  <c:v>-62.319343347739618</c:v>
                </c:pt>
                <c:pt idx="489">
                  <c:v>-62.658608904970421</c:v>
                </c:pt>
                <c:pt idx="490">
                  <c:v>-62.998855641755746</c:v>
                </c:pt>
                <c:pt idx="491">
                  <c:v>-63.340112824430193</c:v>
                </c:pt>
                <c:pt idx="492">
                  <c:v>-63.68240739999392</c:v>
                </c:pt>
                <c:pt idx="493">
                  <c:v>-64.025763941708519</c:v>
                </c:pt>
                <c:pt idx="494">
                  <c:v>-64.370204609812035</c:v>
                </c:pt>
                <c:pt idx="495">
                  <c:v>-64.715749127012515</c:v>
                </c:pt>
                <c:pt idx="496">
                  <c:v>-65.062414768315421</c:v>
                </c:pt>
                <c:pt idx="497">
                  <c:v>-65.410216364620027</c:v>
                </c:pt>
                <c:pt idx="498">
                  <c:v>-65.759166319436574</c:v>
                </c:pt>
                <c:pt idx="499">
                  <c:v>-66.10927463798231</c:v>
                </c:pt>
                <c:pt idx="500">
                  <c:v>-66.460548967849164</c:v>
                </c:pt>
                <c:pt idx="501">
                  <c:v>-66.81299465037165</c:v>
                </c:pt>
                <c:pt idx="502">
                  <c:v>-67.16661478178105</c:v>
                </c:pt>
                <c:pt idx="503">
                  <c:v>-67.521410283194967</c:v>
                </c:pt>
                <c:pt idx="504">
                  <c:v>-67.87737997847087</c:v>
                </c:pt>
                <c:pt idx="505">
                  <c:v>-68.234520678942573</c:v>
                </c:pt>
                <c:pt idx="506">
                  <c:v>-68.59282727406007</c:v>
                </c:pt>
                <c:pt idx="507">
                  <c:v>-68.952292826964111</c:v>
                </c:pt>
                <c:pt idx="508">
                  <c:v>-69.312908674050206</c:v>
                </c:pt>
                <c:pt idx="509">
                  <c:v>-69.674664527605358</c:v>
                </c:pt>
                <c:pt idx="510">
                  <c:v>-70.03754858063941</c:v>
                </c:pt>
                <c:pt idx="511">
                  <c:v>-70.401547613076161</c:v>
                </c:pt>
                <c:pt idx="512">
                  <c:v>-70.766647098521844</c:v>
                </c:pt>
                <c:pt idx="513">
                  <c:v>-71.132831310877222</c:v>
                </c:pt>
                <c:pt idx="514">
                  <c:v>-71.500083430123581</c:v>
                </c:pt>
                <c:pt idx="515">
                  <c:v>-71.868385646665374</c:v>
                </c:pt>
                <c:pt idx="516">
                  <c:v>-72.237719263679196</c:v>
                </c:pt>
                <c:pt idx="517">
                  <c:v>-72.608064796975384</c:v>
                </c:pt>
                <c:pt idx="518">
                  <c:v>-72.979402071940896</c:v>
                </c:pt>
                <c:pt idx="519">
                  <c:v>-73.351710317192854</c:v>
                </c:pt>
                <c:pt idx="520">
                  <c:v>-73.724968254627086</c:v>
                </c:pt>
                <c:pt idx="521">
                  <c:v>-74.099154185605045</c:v>
                </c:pt>
                <c:pt idx="522">
                  <c:v>-74.474246073070532</c:v>
                </c:pt>
                <c:pt idx="523">
                  <c:v>-74.850221619442834</c:v>
                </c:pt>
                <c:pt idx="524">
                  <c:v>-75.227058340174992</c:v>
                </c:pt>
                <c:pt idx="525">
                  <c:v>-75.604733632910126</c:v>
                </c:pt>
                <c:pt idx="526">
                  <c:v>-75.983224842206923</c:v>
                </c:pt>
                <c:pt idx="527">
                  <c:v>-76.36250931984334</c:v>
                </c:pt>
                <c:pt idx="528">
                  <c:v>-76.742564480734885</c:v>
                </c:pt>
                <c:pt idx="529">
                  <c:v>-77.123367854536639</c:v>
                </c:pt>
                <c:pt idx="530">
                  <c:v>-77.504897133017309</c:v>
                </c:pt>
                <c:pt idx="531">
                  <c:v>-77.887130213319736</c:v>
                </c:pt>
                <c:pt idx="532">
                  <c:v>-78.270045237236189</c:v>
                </c:pt>
                <c:pt idx="533">
                  <c:v>-78.653620626643232</c:v>
                </c:pt>
                <c:pt idx="534">
                  <c:v>-79.037835115252179</c:v>
                </c:pt>
                <c:pt idx="535">
                  <c:v>-79.422667776841067</c:v>
                </c:pt>
                <c:pt idx="536">
                  <c:v>-79.808098050138</c:v>
                </c:pt>
                <c:pt idx="537">
                  <c:v>-80.194105760536047</c:v>
                </c:pt>
                <c:pt idx="538">
                  <c:v>-80.580671138815518</c:v>
                </c:pt>
                <c:pt idx="539">
                  <c:v>-80.967774837054932</c:v>
                </c:pt>
                <c:pt idx="540">
                  <c:v>-81.355397941909629</c:v>
                </c:pt>
                <c:pt idx="541">
                  <c:v>-81.743521985436303</c:v>
                </c:pt>
              </c:numCache>
            </c:numRef>
          </c:yVal>
          <c:smooth val="1"/>
          <c:extLst>
            <c:ext xmlns:c16="http://schemas.microsoft.com/office/drawing/2014/chart" uri="{C3380CC4-5D6E-409C-BE32-E72D297353CC}">
              <c16:uniqueId val="{00000000-2470-421C-8EF3-DF4BAC2DF802}"/>
            </c:ext>
          </c:extLst>
        </c:ser>
        <c:ser>
          <c:idx val="2"/>
          <c:order val="2"/>
          <c:tx>
            <c:v>f_LP</c:v>
          </c:tx>
          <c:spPr>
            <a:ln w="38100" cmpd="sng"/>
          </c:spPr>
          <c:marker>
            <c:symbol val="x"/>
            <c:size val="7"/>
            <c:spPr>
              <a:noFill/>
            </c:spPr>
          </c:marker>
          <c:dPt>
            <c:idx val="0"/>
            <c:marker>
              <c:spPr>
                <a:noFill/>
                <a:ln w="19050">
                  <a:solidFill>
                    <a:schemeClr val="tx1"/>
                  </a:solidFill>
                </a:ln>
              </c:spPr>
            </c:marker>
            <c:bubble3D val="0"/>
            <c:extLst>
              <c:ext xmlns:c16="http://schemas.microsoft.com/office/drawing/2014/chart" uri="{C3380CC4-5D6E-409C-BE32-E72D297353CC}">
                <c16:uniqueId val="{00000001-2470-421C-8EF3-DF4BAC2DF802}"/>
              </c:ext>
            </c:extLst>
          </c:dPt>
          <c:dLbls>
            <c:dLbl>
              <c:idx val="0"/>
              <c:tx>
                <c:rich>
                  <a:bodyPr/>
                  <a:lstStyle/>
                  <a:p>
                    <a:r>
                      <a:rPr lang="en-US" sz="1100" b="1"/>
                      <a:t>f</a:t>
                    </a:r>
                    <a:r>
                      <a:rPr lang="en-US" sz="1100" b="1" baseline="-25000"/>
                      <a:t>LP</a:t>
                    </a:r>
                    <a:endParaRPr lang="en-US" b="1" baseline="-25000"/>
                  </a:p>
                </c:rich>
              </c:tx>
              <c:dLblPos val="b"/>
              <c:showLegendKey val="0"/>
              <c:showVal val="0"/>
              <c:showCatName val="0"/>
              <c:showSerName val="1"/>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2470-421C-8EF3-DF4BAC2DF802}"/>
                </c:ext>
              </c:extLst>
            </c:dLbl>
            <c:spPr>
              <a:noFill/>
              <a:ln>
                <a:noFill/>
              </a:ln>
              <a:effectLst/>
            </c:sp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Loop_Modeling!$O$11</c:f>
              <c:numCache>
                <c:formatCode>0</c:formatCode>
                <c:ptCount val="1"/>
                <c:pt idx="0">
                  <c:v>507.30638110541639</c:v>
                </c:pt>
              </c:numCache>
            </c:numRef>
          </c:xVal>
          <c:yVal>
            <c:numRef>
              <c:f>Loop_Modeling!$AT$11</c:f>
              <c:numCache>
                <c:formatCode>0.000</c:formatCode>
                <c:ptCount val="1"/>
                <c:pt idx="0">
                  <c:v>23.366998677978259</c:v>
                </c:pt>
              </c:numCache>
            </c:numRef>
          </c:yVal>
          <c:smooth val="0"/>
          <c:extLst>
            <c:ext xmlns:c16="http://schemas.microsoft.com/office/drawing/2014/chart" uri="{C3380CC4-5D6E-409C-BE32-E72D297353CC}">
              <c16:uniqueId val="{00000002-2470-421C-8EF3-DF4BAC2DF802}"/>
            </c:ext>
          </c:extLst>
        </c:ser>
        <c:ser>
          <c:idx val="3"/>
          <c:order val="3"/>
          <c:tx>
            <c:v>fz_rhp</c:v>
          </c:tx>
          <c:spPr>
            <a:ln>
              <a:solidFill>
                <a:schemeClr val="tx1"/>
              </a:solidFill>
            </a:ln>
          </c:spPr>
          <c:marker>
            <c:symbol val="circle"/>
            <c:size val="7"/>
            <c:spPr>
              <a:noFill/>
              <a:ln w="19050">
                <a:solidFill>
                  <a:schemeClr val="tx1"/>
                </a:solidFill>
              </a:ln>
            </c:spPr>
          </c:marker>
          <c:dLbls>
            <c:dLbl>
              <c:idx val="0"/>
              <c:layout>
                <c:manualLayout>
                  <c:x val="8.0501209561423519E-3"/>
                  <c:y val="-1.5493667278504181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3-2470-421C-8EF3-DF4BAC2DF802}"/>
                </c:ext>
              </c:extLst>
            </c:dLbl>
            <c:spPr>
              <a:noFill/>
              <a:ln>
                <a:noFill/>
              </a:ln>
              <a:effectLst/>
            </c:spPr>
            <c:txPr>
              <a:bodyPr/>
              <a:lstStyle/>
              <a:p>
                <a:pPr>
                  <a:defRPr b="1"/>
                </a:pPr>
                <a:endParaRPr lang="en-U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Loop_Modeling!$O$9</c:f>
              <c:numCache>
                <c:formatCode>0</c:formatCode>
                <c:ptCount val="1"/>
                <c:pt idx="0">
                  <c:v>28164.183556948148</c:v>
                </c:pt>
              </c:numCache>
            </c:numRef>
          </c:xVal>
          <c:yVal>
            <c:numRef>
              <c:f>Loop_Modeling!$AT$9</c:f>
              <c:numCache>
                <c:formatCode>0.000</c:formatCode>
                <c:ptCount val="1"/>
                <c:pt idx="0">
                  <c:v>-19.377377136684615</c:v>
                </c:pt>
              </c:numCache>
            </c:numRef>
          </c:yVal>
          <c:smooth val="1"/>
          <c:extLst>
            <c:ext xmlns:c16="http://schemas.microsoft.com/office/drawing/2014/chart" uri="{C3380CC4-5D6E-409C-BE32-E72D297353CC}">
              <c16:uniqueId val="{00000004-2470-421C-8EF3-DF4BAC2DF802}"/>
            </c:ext>
          </c:extLst>
        </c:ser>
        <c:ser>
          <c:idx val="4"/>
          <c:order val="4"/>
          <c:tx>
            <c:v>f_esr</c:v>
          </c:tx>
          <c:spPr>
            <a:ln>
              <a:noFill/>
            </a:ln>
          </c:spPr>
          <c:marker>
            <c:symbol val="circle"/>
            <c:size val="5"/>
            <c:spPr>
              <a:noFill/>
              <a:ln w="19050">
                <a:solidFill>
                  <a:schemeClr val="tx1"/>
                </a:solidFill>
              </a:ln>
            </c:spPr>
          </c:marker>
          <c:dPt>
            <c:idx val="0"/>
            <c:marker>
              <c:symbol val="circle"/>
              <c:size val="7"/>
            </c:marker>
            <c:bubble3D val="0"/>
            <c:extLst>
              <c:ext xmlns:c16="http://schemas.microsoft.com/office/drawing/2014/chart" uri="{C3380CC4-5D6E-409C-BE32-E72D297353CC}">
                <c16:uniqueId val="{00000005-2470-421C-8EF3-DF4BAC2DF802}"/>
              </c:ext>
            </c:extLst>
          </c:dPt>
          <c:dLbls>
            <c:dLbl>
              <c:idx val="0"/>
              <c:layout>
                <c:manualLayout>
                  <c:x val="-5.990474489899654E-2"/>
                  <c:y val="-1.2457193490087108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5-2470-421C-8EF3-DF4BAC2DF802}"/>
                </c:ext>
              </c:extLst>
            </c:dLbl>
            <c:spPr>
              <a:noFill/>
              <a:ln>
                <a:noFill/>
              </a:ln>
              <a:effectLst/>
            </c:spPr>
            <c:txPr>
              <a:bodyPr/>
              <a:lstStyle/>
              <a:p>
                <a:pPr>
                  <a:defRPr b="1"/>
                </a:pPr>
                <a:endParaRPr lang="en-US"/>
              </a:p>
            </c:txPr>
            <c:dLblPos val="t"/>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Loop_Modeling!$O$10</c:f>
              <c:numCache>
                <c:formatCode>0</c:formatCode>
                <c:ptCount val="1"/>
                <c:pt idx="0">
                  <c:v>397887.35772973835</c:v>
                </c:pt>
              </c:numCache>
            </c:numRef>
          </c:xVal>
          <c:yVal>
            <c:numRef>
              <c:f>Loop_Modeling!$AT$10</c:f>
              <c:numCache>
                <c:formatCode>0.000</c:formatCode>
                <c:ptCount val="1"/>
                <c:pt idx="0">
                  <c:v>-52.716085854376836</c:v>
                </c:pt>
              </c:numCache>
            </c:numRef>
          </c:yVal>
          <c:smooth val="1"/>
          <c:extLst>
            <c:ext xmlns:c16="http://schemas.microsoft.com/office/drawing/2014/chart" uri="{C3380CC4-5D6E-409C-BE32-E72D297353CC}">
              <c16:uniqueId val="{00000006-2470-421C-8EF3-DF4BAC2DF802}"/>
            </c:ext>
          </c:extLst>
        </c:ser>
        <c:ser>
          <c:idx val="5"/>
          <c:order val="5"/>
          <c:tx>
            <c:v>fz_ea</c:v>
          </c:tx>
          <c:marker>
            <c:symbol val="circle"/>
            <c:size val="8"/>
            <c:spPr>
              <a:noFill/>
              <a:ln w="25400">
                <a:solidFill>
                  <a:srgbClr val="00B0F0"/>
                </a:solidFill>
              </a:ln>
            </c:spPr>
          </c:marker>
          <c:dLbls>
            <c:dLbl>
              <c:idx val="0"/>
              <c:spPr/>
              <c:txPr>
                <a:bodyPr/>
                <a:lstStyle/>
                <a:p>
                  <a:pPr>
                    <a:defRPr b="1"/>
                  </a:pPr>
                  <a:endParaRPr lang="en-US"/>
                </a:p>
              </c:txPr>
              <c:dLblPos val="b"/>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7-2470-421C-8EF3-DF4BAC2DF80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Loop_Modeling!$O$12</c:f>
              <c:numCache>
                <c:formatCode>General</c:formatCode>
                <c:ptCount val="1"/>
                <c:pt idx="0">
                  <c:v>1418.4932539384611</c:v>
                </c:pt>
              </c:numCache>
            </c:numRef>
          </c:xVal>
          <c:yVal>
            <c:numRef>
              <c:f>Loop_Modeling!$AT$12</c:f>
              <c:numCache>
                <c:formatCode>0.000</c:formatCode>
                <c:ptCount val="1"/>
                <c:pt idx="0">
                  <c:v>10.473445680876605</c:v>
                </c:pt>
              </c:numCache>
            </c:numRef>
          </c:yVal>
          <c:smooth val="1"/>
          <c:extLst>
            <c:ext xmlns:c16="http://schemas.microsoft.com/office/drawing/2014/chart" uri="{C3380CC4-5D6E-409C-BE32-E72D297353CC}">
              <c16:uniqueId val="{00000008-2470-421C-8EF3-DF4BAC2DF802}"/>
            </c:ext>
          </c:extLst>
        </c:ser>
        <c:ser>
          <c:idx val="6"/>
          <c:order val="6"/>
          <c:tx>
            <c:v>fp_ea</c:v>
          </c:tx>
          <c:marker>
            <c:symbol val="x"/>
            <c:size val="7"/>
            <c:spPr>
              <a:noFill/>
              <a:ln w="25400">
                <a:solidFill>
                  <a:srgbClr val="00B0F0"/>
                </a:solidFill>
              </a:ln>
            </c:spPr>
          </c:marker>
          <c:dLbls>
            <c:dLbl>
              <c:idx val="0"/>
              <c:layout>
                <c:manualLayout>
                  <c:x val="-5.3995739911983948E-2"/>
                  <c:y val="3.3712510009006609E-2"/>
                </c:manualLayout>
              </c:layout>
              <c:dLblPos val="r"/>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9-2470-421C-8EF3-DF4BAC2DF802}"/>
                </c:ext>
              </c:extLst>
            </c:dLbl>
            <c:spPr>
              <a:noFill/>
              <a:ln>
                <a:noFill/>
              </a:ln>
              <a:effectLst/>
            </c:spPr>
            <c:txPr>
              <a:bodyPr/>
              <a:lstStyle/>
              <a:p>
                <a:pPr>
                  <a:defRPr b="1"/>
                </a:pPr>
                <a:endParaRPr lang="en-US"/>
              </a:p>
            </c:txPr>
            <c:dLblPos val="b"/>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xVal>
            <c:numRef>
              <c:f>Loop_Modeling!$O$13</c:f>
              <c:numCache>
                <c:formatCode>General</c:formatCode>
                <c:ptCount val="1"/>
                <c:pt idx="0">
                  <c:v>22223.060978369227</c:v>
                </c:pt>
              </c:numCache>
            </c:numRef>
          </c:xVal>
          <c:yVal>
            <c:numRef>
              <c:f>Loop_Modeling!$AT$13</c:f>
              <c:numCache>
                <c:formatCode>0.000</c:formatCode>
                <c:ptCount val="1"/>
                <c:pt idx="0">
                  <c:v>-16.971343005365675</c:v>
                </c:pt>
              </c:numCache>
            </c:numRef>
          </c:yVal>
          <c:smooth val="1"/>
          <c:extLst>
            <c:ext xmlns:c16="http://schemas.microsoft.com/office/drawing/2014/chart" uri="{C3380CC4-5D6E-409C-BE32-E72D297353CC}">
              <c16:uniqueId val="{0000000A-2470-421C-8EF3-DF4BAC2DF802}"/>
            </c:ext>
          </c:extLst>
        </c:ser>
        <c:dLbls>
          <c:showLegendKey val="0"/>
          <c:showVal val="0"/>
          <c:showCatName val="0"/>
          <c:showSerName val="0"/>
          <c:showPercent val="0"/>
          <c:showBubbleSize val="0"/>
        </c:dLbls>
        <c:axId val="144369152"/>
        <c:axId val="144371072"/>
      </c:scatterChart>
      <c:scatterChart>
        <c:scatterStyle val="smoothMarker"/>
        <c:varyColors val="0"/>
        <c:ser>
          <c:idx val="1"/>
          <c:order val="1"/>
          <c:tx>
            <c:v>Phase (deg)</c:v>
          </c:tx>
          <c:spPr>
            <a:ln w="28575">
              <a:solidFill>
                <a:schemeClr val="tx1">
                  <a:lumMod val="95000"/>
                  <a:lumOff val="5000"/>
                </a:schemeClr>
              </a:solidFill>
              <a:prstDash val="sysDash"/>
            </a:ln>
          </c:spPr>
          <c:marker>
            <c:symbol val="none"/>
          </c:marker>
          <c:xVal>
            <c:numRef>
              <c:f>Loop_Modeling!$O$19:$O$560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Loop_Modeling!$AU$19:$AU$560</c:f>
              <c:numCache>
                <c:formatCode>General</c:formatCode>
                <c:ptCount val="542"/>
                <c:pt idx="0">
                  <c:v>89.205810008963795</c:v>
                </c:pt>
                <c:pt idx="1">
                  <c:v>89.187318157407191</c:v>
                </c:pt>
                <c:pt idx="2">
                  <c:v>89.168396090743585</c:v>
                </c:pt>
                <c:pt idx="3">
                  <c:v>89.149033824817195</c:v>
                </c:pt>
                <c:pt idx="4">
                  <c:v>89.129221145543497</c:v>
                </c:pt>
                <c:pt idx="5">
                  <c:v>89.108947603741228</c:v>
                </c:pt>
                <c:pt idx="6">
                  <c:v>89.088202509857766</c:v>
                </c:pt>
                <c:pt idx="7">
                  <c:v>89.066974928585708</c:v>
                </c:pt>
                <c:pt idx="8">
                  <c:v>89.045253673369459</c:v>
                </c:pt>
                <c:pt idx="9">
                  <c:v>89.023027300800521</c:v>
                </c:pt>
                <c:pt idx="10">
                  <c:v>89.000284104899663</c:v>
                </c:pt>
                <c:pt idx="11">
                  <c:v>88.97701211128485</c:v>
                </c:pt>
                <c:pt idx="12">
                  <c:v>88.953199071223551</c:v>
                </c:pt>
                <c:pt idx="13">
                  <c:v>88.928832455568283</c:v>
                </c:pt>
                <c:pt idx="14">
                  <c:v>88.903899448573867</c:v>
                </c:pt>
                <c:pt idx="15">
                  <c:v>88.87838694159575</c:v>
                </c:pt>
                <c:pt idx="16">
                  <c:v>88.852281526668023</c:v>
                </c:pt>
                <c:pt idx="17">
                  <c:v>88.825569489960316</c:v>
                </c:pt>
                <c:pt idx="18">
                  <c:v>88.798236805113035</c:v>
                </c:pt>
                <c:pt idx="19">
                  <c:v>88.770269126449691</c:v>
                </c:pt>
                <c:pt idx="20">
                  <c:v>88.741651782066427</c:v>
                </c:pt>
                <c:pt idx="21">
                  <c:v>88.712369766797877</c:v>
                </c:pt>
                <c:pt idx="22">
                  <c:v>88.682407735059357</c:v>
                </c:pt>
                <c:pt idx="23">
                  <c:v>88.651749993565318</c:v>
                </c:pt>
                <c:pt idx="24">
                  <c:v>88.620380493924173</c:v>
                </c:pt>
                <c:pt idx="25">
                  <c:v>88.5882828251098</c:v>
                </c:pt>
                <c:pt idx="26">
                  <c:v>88.555440205810584</c:v>
                </c:pt>
                <c:pt idx="27">
                  <c:v>88.521835476656562</c:v>
                </c:pt>
                <c:pt idx="28">
                  <c:v>88.487451092325912</c:v>
                </c:pt>
                <c:pt idx="29">
                  <c:v>88.452269113532452</c:v>
                </c:pt>
                <c:pt idx="30">
                  <c:v>88.416271198895529</c:v>
                </c:pt>
                <c:pt idx="31">
                  <c:v>88.379438596694754</c:v>
                </c:pt>
                <c:pt idx="32">
                  <c:v>88.341752136512042</c:v>
                </c:pt>
                <c:pt idx="33">
                  <c:v>88.303192220763734</c:v>
                </c:pt>
                <c:pt idx="34">
                  <c:v>88.263738816126477</c:v>
                </c:pt>
                <c:pt idx="35">
                  <c:v>88.223371444860504</c:v>
                </c:pt>
                <c:pt idx="36">
                  <c:v>88.182069176034901</c:v>
                </c:pt>
                <c:pt idx="37">
                  <c:v>88.139810616659858</c:v>
                </c:pt>
                <c:pt idx="38">
                  <c:v>88.09657390273135</c:v>
                </c:pt>
                <c:pt idx="39">
                  <c:v>88.052336690194664</c:v>
                </c:pt>
                <c:pt idx="40">
                  <c:v>88.007076145833878</c:v>
                </c:pt>
                <c:pt idx="41">
                  <c:v>87.960768938094816</c:v>
                </c:pt>
                <c:pt idx="42">
                  <c:v>87.913391227850241</c:v>
                </c:pt>
                <c:pt idx="43">
                  <c:v>87.864918659116782</c:v>
                </c:pt>
                <c:pt idx="44">
                  <c:v>87.815326349733937</c:v>
                </c:pt>
                <c:pt idx="45">
                  <c:v>87.764588882016682</c:v>
                </c:pt>
                <c:pt idx="46">
                  <c:v>87.712680293394541</c:v>
                </c:pt>
                <c:pt idx="47">
                  <c:v>87.659574067050158</c:v>
                </c:pt>
                <c:pt idx="48">
                  <c:v>87.605243122573512</c:v>
                </c:pt>
                <c:pt idx="49">
                  <c:v>87.549659806646886</c:v>
                </c:pt>
                <c:pt idx="50">
                  <c:v>87.492795883779692</c:v>
                </c:pt>
                <c:pt idx="51">
                  <c:v>87.434622527111628</c:v>
                </c:pt>
                <c:pt idx="52">
                  <c:v>87.375110309305555</c:v>
                </c:pt>
                <c:pt idx="53">
                  <c:v>87.314229193553373</c:v>
                </c:pt>
                <c:pt idx="54">
                  <c:v>87.251948524718671</c:v>
                </c:pt>
                <c:pt idx="55">
                  <c:v>87.188237020644237</c:v>
                </c:pt>
                <c:pt idx="56">
                  <c:v>87.123062763651916</c:v>
                </c:pt>
                <c:pt idx="57">
                  <c:v>87.056393192267208</c:v>
                </c:pt>
                <c:pt idx="58">
                  <c:v>86.988195093202108</c:v>
                </c:pt>
                <c:pt idx="59">
                  <c:v>86.918434593631829</c:v>
                </c:pt>
                <c:pt idx="60">
                  <c:v>86.847077153805515</c:v>
                </c:pt>
                <c:pt idx="61">
                  <c:v>86.774087560032143</c:v>
                </c:pt>
                <c:pt idx="62">
                  <c:v>86.699429918087702</c:v>
                </c:pt>
                <c:pt idx="63">
                  <c:v>86.62306764709119</c:v>
                </c:pt>
                <c:pt idx="64">
                  <c:v>86.544963473902726</c:v>
                </c:pt>
                <c:pt idx="65">
                  <c:v>86.46507942809869</c:v>
                </c:pt>
                <c:pt idx="66">
                  <c:v>86.383376837584208</c:v>
                </c:pt>
                <c:pt idx="67">
                  <c:v>86.299816324907283</c:v>
                </c:pt>
                <c:pt idx="68">
                  <c:v>86.214357804342299</c:v>
                </c:pt>
                <c:pt idx="69">
                  <c:v>86.12696047981747</c:v>
                </c:pt>
                <c:pt idx="70">
                  <c:v>86.037582843763275</c:v>
                </c:pt>
                <c:pt idx="71">
                  <c:v>85.946182676966075</c:v>
                </c:pt>
                <c:pt idx="72">
                  <c:v>85.852717049515661</c:v>
                </c:pt>
                <c:pt idx="73">
                  <c:v>85.757142322941732</c:v>
                </c:pt>
                <c:pt idx="74">
                  <c:v>85.659414153640398</c:v>
                </c:pt>
                <c:pt idx="75">
                  <c:v>85.559487497697944</c:v>
                </c:pt>
                <c:pt idx="76">
                  <c:v>85.457316617225516</c:v>
                </c:pt>
                <c:pt idx="77">
                  <c:v>85.352855088327019</c:v>
                </c:pt>
                <c:pt idx="78">
                  <c:v>85.24605581082777</c:v>
                </c:pt>
                <c:pt idx="79">
                  <c:v>85.136871019900795</c:v>
                </c:pt>
                <c:pt idx="80">
                  <c:v>85.02525229973341</c:v>
                </c:pt>
                <c:pt idx="81">
                  <c:v>84.911150599389231</c:v>
                </c:pt>
                <c:pt idx="82">
                  <c:v>84.794516251024234</c:v>
                </c:pt>
                <c:pt idx="83">
                  <c:v>84.675298990627937</c:v>
                </c:pt>
                <c:pt idx="84">
                  <c:v>84.553447981468651</c:v>
                </c:pt>
                <c:pt idx="85">
                  <c:v>84.428911840431311</c:v>
                </c:pt>
                <c:pt idx="86">
                  <c:v>84.301638667446127</c:v>
                </c:pt>
                <c:pt idx="87">
                  <c:v>84.171576078216304</c:v>
                </c:pt>
                <c:pt idx="88">
                  <c:v>84.038671240463003</c:v>
                </c:pt>
                <c:pt idx="89">
                  <c:v>83.902870913915379</c:v>
                </c:pt>
                <c:pt idx="90">
                  <c:v>83.764121494284979</c:v>
                </c:pt>
                <c:pt idx="91">
                  <c:v>83.622369061473819</c:v>
                </c:pt>
                <c:pt idx="92">
                  <c:v>83.477559432273537</c:v>
                </c:pt>
                <c:pt idx="93">
                  <c:v>83.32963821782738</c:v>
                </c:pt>
                <c:pt idx="94">
                  <c:v>83.178550886132768</c:v>
                </c:pt>
                <c:pt idx="95">
                  <c:v>83.024242829873074</c:v>
                </c:pt>
                <c:pt idx="96">
                  <c:v>82.866659439878575</c:v>
                </c:pt>
                <c:pt idx="97">
                  <c:v>82.70574618452153</c:v>
                </c:pt>
                <c:pt idx="98">
                  <c:v>82.54144869536114</c:v>
                </c:pt>
                <c:pt idx="99">
                  <c:v>82.373712859359458</c:v>
                </c:pt>
                <c:pt idx="100">
                  <c:v>82.202484917997808</c:v>
                </c:pt>
                <c:pt idx="101">
                  <c:v>82.027711573624927</c:v>
                </c:pt>
                <c:pt idx="102">
                  <c:v>81.849340103373891</c:v>
                </c:pt>
                <c:pt idx="103">
                  <c:v>81.667318480985557</c:v>
                </c:pt>
                <c:pt idx="104">
                  <c:v>81.481595506876673</c:v>
                </c:pt>
                <c:pt idx="105">
                  <c:v>81.292120946787875</c:v>
                </c:pt>
                <c:pt idx="106">
                  <c:v>81.098845679342304</c:v>
                </c:pt>
                <c:pt idx="107">
                  <c:v>80.901721852836531</c:v>
                </c:pt>
                <c:pt idx="108">
                  <c:v>80.700703051577719</c:v>
                </c:pt>
                <c:pt idx="109">
                  <c:v>80.49574447206183</c:v>
                </c:pt>
                <c:pt idx="110">
                  <c:v>80.286803109273521</c:v>
                </c:pt>
                <c:pt idx="111">
                  <c:v>80.073837953363551</c:v>
                </c:pt>
                <c:pt idx="112">
                  <c:v>79.856810196931193</c:v>
                </c:pt>
                <c:pt idx="113">
                  <c:v>79.635683453109692</c:v>
                </c:pt>
                <c:pt idx="114">
                  <c:v>79.410423984609906</c:v>
                </c:pt>
                <c:pt idx="115">
                  <c:v>79.181000943837915</c:v>
                </c:pt>
                <c:pt idx="116">
                  <c:v>78.947386624145636</c:v>
                </c:pt>
                <c:pt idx="117">
                  <c:v>78.709556722223454</c:v>
                </c:pt>
                <c:pt idx="118">
                  <c:v>78.467490611568508</c:v>
                </c:pt>
                <c:pt idx="119">
                  <c:v>78.221171626900329</c:v>
                </c:pt>
                <c:pt idx="120">
                  <c:v>77.970587359304801</c:v>
                </c:pt>
                <c:pt idx="121">
                  <c:v>77.715729961803049</c:v>
                </c:pt>
                <c:pt idx="122">
                  <c:v>77.456596464944482</c:v>
                </c:pt>
                <c:pt idx="123">
                  <c:v>77.19318910191059</c:v>
                </c:pt>
                <c:pt idx="124">
                  <c:v>76.925515642505815</c:v>
                </c:pt>
                <c:pt idx="125">
                  <c:v>76.653589735283433</c:v>
                </c:pt>
                <c:pt idx="126">
                  <c:v>76.377431256921156</c:v>
                </c:pt>
                <c:pt idx="127">
                  <c:v>76.09706666781949</c:v>
                </c:pt>
                <c:pt idx="128">
                  <c:v>75.812529372742233</c:v>
                </c:pt>
                <c:pt idx="129">
                  <c:v>75.523860085166831</c:v>
                </c:pt>
                <c:pt idx="130">
                  <c:v>75.231107193838326</c:v>
                </c:pt>
                <c:pt idx="131">
                  <c:v>74.934327129859057</c:v>
                </c:pt>
                <c:pt idx="132">
                  <c:v>74.633584732462964</c:v>
                </c:pt>
                <c:pt idx="133">
                  <c:v>74.328953611453784</c:v>
                </c:pt>
                <c:pt idx="134">
                  <c:v>74.020516504097841</c:v>
                </c:pt>
                <c:pt idx="135">
                  <c:v>73.708365624092096</c:v>
                </c:pt>
                <c:pt idx="136">
                  <c:v>73.392603000044289</c:v>
                </c:pt>
                <c:pt idx="137">
                  <c:v>73.073340800737924</c:v>
                </c:pt>
                <c:pt idx="138">
                  <c:v>72.750701644290231</c:v>
                </c:pt>
                <c:pt idx="139">
                  <c:v>72.424818888156253</c:v>
                </c:pt>
                <c:pt idx="140">
                  <c:v>72.095836896801657</c:v>
                </c:pt>
                <c:pt idx="141">
                  <c:v>71.763911283740484</c:v>
                </c:pt>
                <c:pt idx="142">
                  <c:v>71.429209124540535</c:v>
                </c:pt>
                <c:pt idx="143">
                  <c:v>71.091909137320656</c:v>
                </c:pt>
                <c:pt idx="144">
                  <c:v>70.752201827217149</c:v>
                </c:pt>
                <c:pt idx="145">
                  <c:v>70.410289591285391</c:v>
                </c:pt>
                <c:pt idx="146">
                  <c:v>70.066386780313991</c:v>
                </c:pt>
                <c:pt idx="147">
                  <c:v>69.720719714093775</c:v>
                </c:pt>
                <c:pt idx="148">
                  <c:v>69.373526646772405</c:v>
                </c:pt>
                <c:pt idx="149">
                  <c:v>69.025057679069192</c:v>
                </c:pt>
                <c:pt idx="150">
                  <c:v>68.675574614306569</c:v>
                </c:pt>
                <c:pt idx="151">
                  <c:v>68.325350755444603</c:v>
                </c:pt>
                <c:pt idx="152">
                  <c:v>67.974670640579149</c:v>
                </c:pt>
                <c:pt idx="153">
                  <c:v>67.62382971468277</c:v>
                </c:pt>
                <c:pt idx="154">
                  <c:v>67.273133935742706</c:v>
                </c:pt>
                <c:pt idx="155">
                  <c:v>66.922899313846841</c:v>
                </c:pt>
                <c:pt idx="156">
                  <c:v>66.573451382227802</c:v>
                </c:pt>
                <c:pt idx="157">
                  <c:v>66.225124599757663</c:v>
                </c:pt>
                <c:pt idx="158">
                  <c:v>65.878261684905596</c:v>
                </c:pt>
                <c:pt idx="159">
                  <c:v>65.53321288171675</c:v>
                </c:pt>
                <c:pt idx="160">
                  <c:v>65.190335158931248</c:v>
                </c:pt>
                <c:pt idx="161">
                  <c:v>64.849991343953931</c:v>
                </c:pt>
                <c:pt idx="162">
                  <c:v>64.512549193958662</c:v>
                </c:pt>
                <c:pt idx="163">
                  <c:v>64.178380407010934</c:v>
                </c:pt>
                <c:pt idx="164">
                  <c:v>63.847859576650613</c:v>
                </c:pt>
                <c:pt idx="165">
                  <c:v>63.521363093961931</c:v>
                </c:pt>
                <c:pt idx="166">
                  <c:v>63.199268001661004</c:v>
                </c:pt>
                <c:pt idx="167">
                  <c:v>62.881950805262164</c:v>
                </c:pt>
                <c:pt idx="168">
                  <c:v>62.569786246821828</c:v>
                </c:pt>
                <c:pt idx="169">
                  <c:v>62.263146047192883</c:v>
                </c:pt>
                <c:pt idx="170">
                  <c:v>61.96239762306503</c:v>
                </c:pt>
                <c:pt idx="171">
                  <c:v>61.667902785391831</c:v>
                </c:pt>
                <c:pt idx="172">
                  <c:v>61.380016426037159</c:v>
                </c:pt>
                <c:pt idx="173">
                  <c:v>61.099085199653388</c:v>
                </c:pt>
                <c:pt idx="174">
                  <c:v>60.82544620793383</c:v>
                </c:pt>
                <c:pt idx="175">
                  <c:v>60.559425693416479</c:v>
                </c:pt>
                <c:pt idx="176">
                  <c:v>60.301337750018106</c:v>
                </c:pt>
                <c:pt idx="177">
                  <c:v>60.051483057392353</c:v>
                </c:pt>
                <c:pt idx="178">
                  <c:v>59.810147646080338</c:v>
                </c:pt>
                <c:pt idx="179">
                  <c:v>59.577601700231185</c:v>
                </c:pt>
                <c:pt idx="180">
                  <c:v>59.354098404429024</c:v>
                </c:pt>
                <c:pt idx="181">
                  <c:v>59.139872840879917</c:v>
                </c:pt>
                <c:pt idx="182">
                  <c:v>58.935140942893135</c:v>
                </c:pt>
                <c:pt idx="183">
                  <c:v>58.740098510222957</c:v>
                </c:pt>
                <c:pt idx="184">
                  <c:v>58.55492029145627</c:v>
                </c:pt>
                <c:pt idx="185">
                  <c:v>58.379759138216507</c:v>
                </c:pt>
                <c:pt idx="186">
                  <c:v>58.214745235526806</c:v>
                </c:pt>
                <c:pt idx="187">
                  <c:v>58.059985412227043</c:v>
                </c:pt>
                <c:pt idx="188">
                  <c:v>57.915562534886277</c:v>
                </c:pt>
                <c:pt idx="189">
                  <c:v>57.781534988190224</c:v>
                </c:pt>
                <c:pt idx="190">
                  <c:v>57.65793624431776</c:v>
                </c:pt>
                <c:pt idx="191">
                  <c:v>57.544774523346796</c:v>
                </c:pt>
                <c:pt idx="192">
                  <c:v>57.442032546267924</c:v>
                </c:pt>
                <c:pt idx="193">
                  <c:v>57.349667381703981</c:v>
                </c:pt>
                <c:pt idx="194">
                  <c:v>57.267610386974326</c:v>
                </c:pt>
                <c:pt idx="195">
                  <c:v>57.195767243662509</c:v>
                </c:pt>
                <c:pt idx="196">
                  <c:v>57.134018087386011</c:v>
                </c:pt>
                <c:pt idx="197">
                  <c:v>57.082217730986414</c:v>
                </c:pt>
                <c:pt idx="198">
                  <c:v>57.040195979900226</c:v>
                </c:pt>
                <c:pt idx="199">
                  <c:v>57.007758037989639</c:v>
                </c:pt>
                <c:pt idx="200">
                  <c:v>56.984685001650234</c:v>
                </c:pt>
                <c:pt idx="201">
                  <c:v>56.970734439543023</c:v>
                </c:pt>
                <c:pt idx="202">
                  <c:v>56.965641054830094</c:v>
                </c:pt>
                <c:pt idx="203">
                  <c:v>56.969117426337966</c:v>
                </c:pt>
                <c:pt idx="204">
                  <c:v>56.980854824619627</c:v>
                </c:pt>
                <c:pt idx="205">
                  <c:v>57.00052409844362</c:v>
                </c:pt>
                <c:pt idx="206">
                  <c:v>57.027776626817278</c:v>
                </c:pt>
                <c:pt idx="207">
                  <c:v>57.062245331247539</c:v>
                </c:pt>
                <c:pt idx="208">
                  <c:v>57.103545742558495</c:v>
                </c:pt>
                <c:pt idx="209">
                  <c:v>57.151277116244913</c:v>
                </c:pt>
                <c:pt idx="210">
                  <c:v>57.205023590021298</c:v>
                </c:pt>
                <c:pt idx="211">
                  <c:v>57.264355376963074</c:v>
                </c:pt>
                <c:pt idx="212">
                  <c:v>57.328829987406316</c:v>
                </c:pt>
                <c:pt idx="213">
                  <c:v>57.397993472610942</c:v>
                </c:pt>
                <c:pt idx="214">
                  <c:v>57.471381683065964</c:v>
                </c:pt>
                <c:pt idx="215">
                  <c:v>57.54852153427403</c:v>
                </c:pt>
                <c:pt idx="216">
                  <c:v>57.628932272851166</c:v>
                </c:pt>
                <c:pt idx="217">
                  <c:v>57.712126735854312</c:v>
                </c:pt>
                <c:pt idx="218">
                  <c:v>57.797612596387175</c:v>
                </c:pt>
                <c:pt idx="219">
                  <c:v>57.884893588741136</c:v>
                </c:pt>
                <c:pt idx="220">
                  <c:v>57.973470706586262</c:v>
                </c:pt>
                <c:pt idx="221">
                  <c:v>58.062843368056342</c:v>
                </c:pt>
                <c:pt idx="222">
                  <c:v>58.152510541961938</c:v>
                </c:pt>
                <c:pt idx="223">
                  <c:v>58.24197182978309</c:v>
                </c:pt>
                <c:pt idx="224">
                  <c:v>58.330728498584349</c:v>
                </c:pt>
                <c:pt idx="225">
                  <c:v>58.418284460503507</c:v>
                </c:pt>
                <c:pt idx="226">
                  <c:v>58.50414719501488</c:v>
                </c:pt>
                <c:pt idx="227">
                  <c:v>58.587828610740942</c:v>
                </c:pt>
                <c:pt idx="228">
                  <c:v>58.668845844165624</c:v>
                </c:pt>
                <c:pt idx="229">
                  <c:v>58.74672199320127</c:v>
                </c:pt>
                <c:pt idx="230">
                  <c:v>58.820986784151643</c:v>
                </c:pt>
                <c:pt idx="231">
                  <c:v>58.891177171191892</c:v>
                </c:pt>
                <c:pt idx="232">
                  <c:v>58.956837868064781</c:v>
                </c:pt>
                <c:pt idx="233">
                  <c:v>59.017521812227329</c:v>
                </c:pt>
                <c:pt idx="234">
                  <c:v>59.072790562206123</c:v>
                </c:pt>
                <c:pt idx="235">
                  <c:v>59.122214629403466</c:v>
                </c:pt>
                <c:pt idx="236">
                  <c:v>59.165373746041624</c:v>
                </c:pt>
                <c:pt idx="237">
                  <c:v>59.20185707134064</c:v>
                </c:pt>
                <c:pt idx="238">
                  <c:v>59.231263338387478</c:v>
                </c:pt>
                <c:pt idx="239">
                  <c:v>59.253200944474237</c:v>
                </c:pt>
                <c:pt idx="240">
                  <c:v>59.267287987953644</c:v>
                </c:pt>
                <c:pt idx="241">
                  <c:v>59.273152254889816</c:v>
                </c:pt>
                <c:pt idx="242">
                  <c:v>59.270431158961273</c:v>
                </c:pt>
                <c:pt idx="243">
                  <c:v>59.2587716382221</c:v>
                </c:pt>
                <c:pt idx="244">
                  <c:v>59.237830012406988</c:v>
                </c:pt>
                <c:pt idx="245">
                  <c:v>59.207271804550892</c:v>
                </c:pt>
                <c:pt idx="246">
                  <c:v>59.166771530690056</c:v>
                </c:pt>
                <c:pt idx="247">
                  <c:v>59.116012461423864</c:v>
                </c:pt>
                <c:pt idx="248">
                  <c:v>59.05468635906383</c:v>
                </c:pt>
                <c:pt idx="249">
                  <c:v>58.982493194037851</c:v>
                </c:pt>
                <c:pt idx="250">
                  <c:v>58.899140844128205</c:v>
                </c:pt>
                <c:pt idx="251">
                  <c:v>58.804344780010993</c:v>
                </c:pt>
                <c:pt idx="252">
                  <c:v>58.697827740450187</c:v>
                </c:pt>
                <c:pt idx="253">
                  <c:v>58.579319400354557</c:v>
                </c:pt>
                <c:pt idx="254">
                  <c:v>58.448556034767257</c:v>
                </c:pt>
                <c:pt idx="255">
                  <c:v>58.305280181700823</c:v>
                </c:pt>
                <c:pt idx="256">
                  <c:v>58.149240306580936</c:v>
                </c:pt>
                <c:pt idx="257">
                  <c:v>57.980190470894307</c:v>
                </c:pt>
                <c:pt idx="258">
                  <c:v>57.797890007490153</c:v>
                </c:pt>
                <c:pt idx="259">
                  <c:v>57.602103204816665</c:v>
                </c:pt>
                <c:pt idx="260">
                  <c:v>57.392599002232025</c:v>
                </c:pt>
                <c:pt idx="261">
                  <c:v>57.169150698374203</c:v>
                </c:pt>
                <c:pt idx="262">
                  <c:v>56.931535674438344</c:v>
                </c:pt>
                <c:pt idx="263">
                  <c:v>56.679535134066036</c:v>
                </c:pt>
                <c:pt idx="264">
                  <c:v>56.412933861436883</c:v>
                </c:pt>
                <c:pt idx="265">
                  <c:v>56.131519999014607</c:v>
                </c:pt>
                <c:pt idx="266">
                  <c:v>55.835084846301967</c:v>
                </c:pt>
                <c:pt idx="267">
                  <c:v>55.523422680843396</c:v>
                </c:pt>
                <c:pt idx="268">
                  <c:v>55.196330602618431</c:v>
                </c:pt>
                <c:pt idx="269">
                  <c:v>54.853608402877292</c:v>
                </c:pt>
                <c:pt idx="270">
                  <c:v>54.495058458386815</c:v>
                </c:pt>
                <c:pt idx="271">
                  <c:v>54.120485651967975</c:v>
                </c:pt>
                <c:pt idx="272">
                  <c:v>53.729697320141874</c:v>
                </c:pt>
                <c:pt idx="273">
                  <c:v>53.322503228618956</c:v>
                </c:pt>
                <c:pt idx="274">
                  <c:v>52.898715576310671</c:v>
                </c:pt>
                <c:pt idx="275">
                  <c:v>52.458149028465861</c:v>
                </c:pt>
                <c:pt idx="276">
                  <c:v>52.000620779481089</c:v>
                </c:pt>
                <c:pt idx="277">
                  <c:v>51.525950645861798</c:v>
                </c:pt>
                <c:pt idx="278">
                  <c:v>51.033961189753661</c:v>
                </c:pt>
                <c:pt idx="279">
                  <c:v>50.524477873391184</c:v>
                </c:pt>
                <c:pt idx="280">
                  <c:v>49.997329244742865</c:v>
                </c:pt>
                <c:pt idx="281">
                  <c:v>49.45234715456305</c:v>
                </c:pt>
                <c:pt idx="282">
                  <c:v>48.889367004968165</c:v>
                </c:pt>
                <c:pt idx="283">
                  <c:v>48.308228029586225</c:v>
                </c:pt>
                <c:pt idx="284">
                  <c:v>47.708773605217026</c:v>
                </c:pt>
                <c:pt idx="285">
                  <c:v>47.090851594851337</c:v>
                </c:pt>
                <c:pt idx="286">
                  <c:v>46.454314721775248</c:v>
                </c:pt>
                <c:pt idx="287">
                  <c:v>45.799020974368929</c:v>
                </c:pt>
                <c:pt idx="288">
                  <c:v>45.124834041071317</c:v>
                </c:pt>
                <c:pt idx="289">
                  <c:v>44.431623774833774</c:v>
                </c:pt>
                <c:pt idx="290">
                  <c:v>43.719266686230569</c:v>
                </c:pt>
                <c:pt idx="291">
                  <c:v>42.987646464217029</c:v>
                </c:pt>
                <c:pt idx="292">
                  <c:v>42.236654523340249</c:v>
                </c:pt>
                <c:pt idx="293">
                  <c:v>41.46619057601044</c:v>
                </c:pt>
                <c:pt idx="294">
                  <c:v>40.676163228223139</c:v>
                </c:pt>
                <c:pt idx="295">
                  <c:v>39.866490596901286</c:v>
                </c:pt>
                <c:pt idx="296">
                  <c:v>39.037100946788492</c:v>
                </c:pt>
                <c:pt idx="297">
                  <c:v>38.187933344567178</c:v>
                </c:pt>
                <c:pt idx="298">
                  <c:v>37.31893832763361</c:v>
                </c:pt>
                <c:pt idx="299">
                  <c:v>36.4300785846807</c:v>
                </c:pt>
                <c:pt idx="300">
                  <c:v>35.521329644975118</c:v>
                </c:pt>
                <c:pt idx="301">
                  <c:v>34.592680572940971</c:v>
                </c:pt>
                <c:pt idx="302">
                  <c:v>33.644134664387167</c:v>
                </c:pt>
                <c:pt idx="303">
                  <c:v>32.675710140440287</c:v>
                </c:pt>
                <c:pt idx="304">
                  <c:v>31.687440834987452</c:v>
                </c:pt>
                <c:pt idx="305">
                  <c:v>30.679376871172732</c:v>
                </c:pt>
                <c:pt idx="306">
                  <c:v>29.651585322254622</c:v>
                </c:pt>
                <c:pt idx="307">
                  <c:v>28.604150851915485</c:v>
                </c:pt>
                <c:pt idx="308">
                  <c:v>27.537176328915031</c:v>
                </c:pt>
                <c:pt idx="309">
                  <c:v>26.450783410818879</c:v>
                </c:pt>
                <c:pt idx="310">
                  <c:v>25.345113091401078</c:v>
                </c:pt>
                <c:pt idx="311">
                  <c:v>24.220326206232965</c:v>
                </c:pt>
                <c:pt idx="312">
                  <c:v>23.076603890921124</c:v>
                </c:pt>
                <c:pt idx="313">
                  <c:v>21.914147986470226</c:v>
                </c:pt>
                <c:pt idx="314">
                  <c:v>20.733181386296661</c:v>
                </c:pt>
                <c:pt idx="315">
                  <c:v>19.533948319549317</c:v>
                </c:pt>
                <c:pt idx="316">
                  <c:v>18.316714565564325</c:v>
                </c:pt>
                <c:pt idx="317">
                  <c:v>17.081767594534234</c:v>
                </c:pt>
                <c:pt idx="318">
                  <c:v>15.829416629781822</c:v>
                </c:pt>
                <c:pt idx="319">
                  <c:v>14.559992627414152</c:v>
                </c:pt>
                <c:pt idx="320">
                  <c:v>13.273848169580033</c:v>
                </c:pt>
                <c:pt idx="321">
                  <c:v>11.971357268072559</c:v>
                </c:pt>
                <c:pt idx="322">
                  <c:v>10.652915075611391</c:v>
                </c:pt>
                <c:pt idx="323">
                  <c:v>9.3189375027662056</c:v>
                </c:pt>
                <c:pt idx="324">
                  <c:v>7.9698607392043241</c:v>
                </c:pt>
                <c:pt idx="325">
                  <c:v>6.6061406786940386</c:v>
                </c:pt>
                <c:pt idx="326">
                  <c:v>5.2282522480919447</c:v>
                </c:pt>
                <c:pt idx="327">
                  <c:v>3.8366886413723011</c:v>
                </c:pt>
                <c:pt idx="328">
                  <c:v>2.4319604606328156</c:v>
                </c:pt>
                <c:pt idx="329">
                  <c:v>1.0145947668671182</c:v>
                </c:pt>
                <c:pt idx="330">
                  <c:v>-0.41486595580247493</c:v>
                </c:pt>
                <c:pt idx="331">
                  <c:v>-1.8558649178854911</c:v>
                </c:pt>
                <c:pt idx="332">
                  <c:v>-3.3078322188548848</c:v>
                </c:pt>
                <c:pt idx="333">
                  <c:v>-4.7701861118233762</c:v>
                </c:pt>
                <c:pt idx="334">
                  <c:v>-6.2423343315386406</c:v>
                </c:pt>
                <c:pt idx="335">
                  <c:v>-7.7236754779650516</c:v>
                </c:pt>
                <c:pt idx="336">
                  <c:v>-9.2136004470414452</c:v>
                </c:pt>
                <c:pt idx="337">
                  <c:v>-10.711493899647994</c:v>
                </c:pt>
                <c:pt idx="338">
                  <c:v>-12.216735759304246</c:v>
                </c:pt>
                <c:pt idx="339">
                  <c:v>-13.728702728721684</c:v>
                </c:pt>
                <c:pt idx="340">
                  <c:v>-15.246769815054966</c:v>
                </c:pt>
                <c:pt idx="341">
                  <c:v>-16.770311853489403</c:v>
                </c:pt>
                <c:pt idx="342">
                  <c:v>-18.298705018735649</c:v>
                </c:pt>
                <c:pt idx="343">
                  <c:v>-19.83132831402796</c:v>
                </c:pt>
                <c:pt idx="344">
                  <c:v>-21.367565027393912</c:v>
                </c:pt>
                <c:pt idx="345">
                  <c:v>-22.906804145184335</c:v>
                </c:pt>
                <c:pt idx="346">
                  <c:v>-24.448441713264192</c:v>
                </c:pt>
                <c:pt idx="347">
                  <c:v>-25.99188213669937</c:v>
                </c:pt>
                <c:pt idx="348">
                  <c:v>-27.536539409366465</c:v>
                </c:pt>
                <c:pt idx="349">
                  <c:v>-29.081838265550587</c:v>
                </c:pt>
                <c:pt idx="350">
                  <c:v>-30.627215246341652</c:v>
                </c:pt>
                <c:pt idx="351">
                  <c:v>-32.172119674431798</c:v>
                </c:pt>
                <c:pt idx="352">
                  <c:v>-33.716014531789995</c:v>
                </c:pt>
                <c:pt idx="353">
                  <c:v>-35.258377235580944</c:v>
                </c:pt>
                <c:pt idx="354">
                  <c:v>-36.798700308653174</c:v>
                </c:pt>
                <c:pt idx="355">
                  <c:v>-38.336491941866214</c:v>
                </c:pt>
                <c:pt idx="356">
                  <c:v>-39.871276446518927</c:v>
                </c:pt>
                <c:pt idx="357">
                  <c:v>-41.402594596104656</c:v>
                </c:pt>
                <c:pt idx="358">
                  <c:v>-42.930003857580154</c:v>
                </c:pt>
                <c:pt idx="359">
                  <c:v>-44.453078513283849</c:v>
                </c:pt>
                <c:pt idx="360">
                  <c:v>-45.971409675545509</c:v>
                </c:pt>
                <c:pt idx="361">
                  <c:v>-47.484605196886648</c:v>
                </c:pt>
                <c:pt idx="362">
                  <c:v>-48.992289479570388</c:v>
                </c:pt>
                <c:pt idx="363">
                  <c:v>-50.494103188982116</c:v>
                </c:pt>
                <c:pt idx="364">
                  <c:v>-51.989702876078454</c:v>
                </c:pt>
                <c:pt idx="365">
                  <c:v>-53.478760514764396</c:v>
                </c:pt>
                <c:pt idx="366">
                  <c:v>-54.960962960659991</c:v>
                </c:pt>
                <c:pt idx="367">
                  <c:v>-56.436011338214477</c:v>
                </c:pt>
                <c:pt idx="368">
                  <c:v>-57.90362036360343</c:v>
                </c:pt>
                <c:pt idx="369">
                  <c:v>-59.363517611180576</c:v>
                </c:pt>
                <c:pt idx="370">
                  <c:v>-60.815442731595731</c:v>
                </c:pt>
                <c:pt idx="371">
                  <c:v>-62.259146629911463</c:v>
                </c:pt>
                <c:pt idx="372">
                  <c:v>-63.694390612213027</c:v>
                </c:pt>
                <c:pt idx="373">
                  <c:v>-65.120945509310303</c:v>
                </c:pt>
                <c:pt idx="374">
                  <c:v>-66.538590786164775</c:v>
                </c:pt>
                <c:pt idx="375">
                  <c:v>-67.947113645632214</c:v>
                </c:pt>
                <c:pt idx="376">
                  <c:v>-69.346308135020863</c:v>
                </c:pt>
                <c:pt idx="377">
                  <c:v>-70.735974263803797</c:v>
                </c:pt>
                <c:pt idx="378">
                  <c:v>-72.11591714061332</c:v>
                </c:pt>
                <c:pt idx="379">
                  <c:v>-73.485946137354688</c:v>
                </c:pt>
                <c:pt idx="380">
                  <c:v>-74.84587408796645</c:v>
                </c:pt>
                <c:pt idx="381">
                  <c:v>-76.195516528948119</c:v>
                </c:pt>
                <c:pt idx="382">
                  <c:v>-77.534690988366222</c:v>
                </c:pt>
                <c:pt idx="383">
                  <c:v>-78.863216329542738</c:v>
                </c:pt>
                <c:pt idx="384">
                  <c:v>-80.180912155116928</c:v>
                </c:pt>
                <c:pt idx="385">
                  <c:v>-81.487598276595037</c:v>
                </c:pt>
                <c:pt idx="386">
                  <c:v>-82.783094253894632</c:v>
                </c:pt>
                <c:pt idx="387">
                  <c:v>-84.067219008742683</c:v>
                </c:pt>
                <c:pt idx="388">
                  <c:v>-85.339790515120868</c:v>
                </c:pt>
                <c:pt idx="389">
                  <c:v>-86.600625569233685</c:v>
                </c:pt>
                <c:pt idx="390">
                  <c:v>-87.849539640781146</c:v>
                </c:pt>
                <c:pt idx="391">
                  <c:v>-89.086346806568045</c:v>
                </c:pt>
                <c:pt idx="392">
                  <c:v>-90.31085976674315</c:v>
                </c:pt>
                <c:pt idx="393">
                  <c:v>-91.522889943238695</c:v>
                </c:pt>
                <c:pt idx="394">
                  <c:v>-92.722247659232252</c:v>
                </c:pt>
                <c:pt idx="395">
                  <c:v>-93.908742397754125</c:v>
                </c:pt>
                <c:pt idx="396">
                  <c:v>-95.082183136864785</c:v>
                </c:pt>
                <c:pt idx="397">
                  <c:v>-96.242378758172421</c:v>
                </c:pt>
                <c:pt idx="398">
                  <c:v>-97.3891385248414</c:v>
                </c:pt>
                <c:pt idx="399">
                  <c:v>-98.522272624667835</c:v>
                </c:pt>
                <c:pt idx="400">
                  <c:v>-99.641592773286163</c:v>
                </c:pt>
                <c:pt idx="401">
                  <c:v>-100.7469128721002</c:v>
                </c:pt>
                <c:pt idx="402">
                  <c:v>-101.83804971515049</c:v>
                </c:pt>
                <c:pt idx="403">
                  <c:v>-102.91482373879258</c:v>
                </c:pt>
                <c:pt idx="404">
                  <c:v>-103.97705980781097</c:v>
                </c:pt>
                <c:pt idx="405">
                  <c:v>-105.02458803141144</c:v>
                </c:pt>
                <c:pt idx="406">
                  <c:v>-106.05724460242899</c:v>
                </c:pt>
                <c:pt idx="407">
                  <c:v>-107.07487265304358</c:v>
                </c:pt>
                <c:pt idx="408">
                  <c:v>-108.07732312034612</c:v>
                </c:pt>
                <c:pt idx="409">
                  <c:v>-109.06445561518288</c:v>
                </c:pt>
                <c:pt idx="410">
                  <c:v>-110.03613928788118</c:v>
                </c:pt>
                <c:pt idx="411">
                  <c:v>-110.99225368467143</c:v>
                </c:pt>
                <c:pt idx="412">
                  <c:v>-111.93268958889362</c:v>
                </c:pt>
                <c:pt idx="413">
                  <c:v>-112.8573498413853</c:v>
                </c:pt>
                <c:pt idx="414">
                  <c:v>-113.76615013478934</c:v>
                </c:pt>
                <c:pt idx="415">
                  <c:v>-114.65901977689272</c:v>
                </c:pt>
                <c:pt idx="416">
                  <c:v>-115.53590241849373</c:v>
                </c:pt>
                <c:pt idx="417">
                  <c:v>-116.39675674168421</c:v>
                </c:pt>
                <c:pt idx="418">
                  <c:v>-117.24155710484132</c:v>
                </c:pt>
                <c:pt idx="419">
                  <c:v>-118.07029414098746</c:v>
                </c:pt>
                <c:pt idx="420">
                  <c:v>-118.88297530658916</c:v>
                </c:pt>
                <c:pt idx="421">
                  <c:v>-119.67962537817854</c:v>
                </c:pt>
                <c:pt idx="422">
                  <c:v>-120.46028689454106</c:v>
                </c:pt>
                <c:pt idx="423">
                  <c:v>-121.22502054250869</c:v>
                </c:pt>
                <c:pt idx="424">
                  <c:v>-121.97390548465459</c:v>
                </c:pt>
                <c:pt idx="425">
                  <c:v>-122.70703962744413</c:v>
                </c:pt>
                <c:pt idx="426">
                  <c:v>-123.42453982858855</c:v>
                </c:pt>
                <c:pt idx="427">
                  <c:v>-124.12654204251942</c:v>
                </c:pt>
                <c:pt idx="428">
                  <c:v>-124.81320140305615</c:v>
                </c:pt>
                <c:pt idx="429">
                  <c:v>-125.48469224244698</c:v>
                </c:pt>
                <c:pt idx="430">
                  <c:v>-126.14120804604968</c:v>
                </c:pt>
                <c:pt idx="431">
                  <c:v>-126.78296134201082</c:v>
                </c:pt>
                <c:pt idx="432">
                  <c:v>-127.41018352534326</c:v>
                </c:pt>
                <c:pt idx="433">
                  <c:v>-128.02312461587246</c:v>
                </c:pt>
                <c:pt idx="434">
                  <c:v>-128.62205294956223</c:v>
                </c:pt>
                <c:pt idx="435">
                  <c:v>-129.20725480279989</c:v>
                </c:pt>
                <c:pt idx="436">
                  <c:v>-129.77903394929018</c:v>
                </c:pt>
                <c:pt idx="437">
                  <c:v>-130.33771114928751</c:v>
                </c:pt>
                <c:pt idx="438">
                  <c:v>-130.88362357103097</c:v>
                </c:pt>
                <c:pt idx="439">
                  <c:v>-131.41712414437055</c:v>
                </c:pt>
                <c:pt idx="440">
                  <c:v>-131.93858084676592</c:v>
                </c:pt>
                <c:pt idx="441">
                  <c:v>-132.44837592204888</c:v>
                </c:pt>
                <c:pt idx="442">
                  <c:v>-132.9469050326091</c:v>
                </c:pt>
                <c:pt idx="443">
                  <c:v>-133.43457634595342</c:v>
                </c:pt>
                <c:pt idx="444">
                  <c:v>-133.91180955694838</c:v>
                </c:pt>
                <c:pt idx="445">
                  <c:v>-134.37903484743293</c:v>
                </c:pt>
                <c:pt idx="446">
                  <c:v>-134.8366917853314</c:v>
                </c:pt>
                <c:pt idx="447">
                  <c:v>-135.28522816585428</c:v>
                </c:pt>
                <c:pt idx="448">
                  <c:v>-135.72509879788527</c:v>
                </c:pt>
                <c:pt idx="449">
                  <c:v>-136.1567642391812</c:v>
                </c:pt>
                <c:pt idx="450">
                  <c:v>-136.58068948455582</c:v>
                </c:pt>
                <c:pt idx="451">
                  <c:v>-136.99734261179313</c:v>
                </c:pt>
                <c:pt idx="452">
                  <c:v>-137.40719339059035</c:v>
                </c:pt>
                <c:pt idx="453">
                  <c:v>-137.81071186040191</c:v>
                </c:pt>
                <c:pt idx="454">
                  <c:v>-138.20836688359572</c:v>
                </c:pt>
                <c:pt idx="455">
                  <c:v>-138.60062468084863</c:v>
                </c:pt>
                <c:pt idx="456">
                  <c:v>-138.98794735619632</c:v>
                </c:pt>
                <c:pt idx="457">
                  <c:v>-139.37079141957767</c:v>
                </c:pt>
                <c:pt idx="458">
                  <c:v>-139.749606315096</c:v>
                </c:pt>
                <c:pt idx="459">
                  <c:v>-140.12483296352281</c:v>
                </c:pt>
                <c:pt idx="460">
                  <c:v>-140.49690232780392</c:v>
                </c:pt>
                <c:pt idx="461">
                  <c:v>-140.86623401047723</c:v>
                </c:pt>
                <c:pt idx="462">
                  <c:v>-141.23323489196659</c:v>
                </c:pt>
                <c:pt idx="463">
                  <c:v>-141.59829781868996</c:v>
                </c:pt>
                <c:pt idx="464">
                  <c:v>-141.9618003497705</c:v>
                </c:pt>
                <c:pt idx="465">
                  <c:v>-142.3241035709238</c:v>
                </c:pt>
                <c:pt idx="466">
                  <c:v>-142.68555098373974</c:v>
                </c:pt>
                <c:pt idx="467">
                  <c:v>-143.04646747816724</c:v>
                </c:pt>
                <c:pt idx="468">
                  <c:v>-143.40715839545672</c:v>
                </c:pt>
                <c:pt idx="469">
                  <c:v>-143.76790868821854</c:v>
                </c:pt>
                <c:pt idx="470">
                  <c:v>-144.12898218352839</c:v>
                </c:pt>
                <c:pt idx="471">
                  <c:v>-144.49062095425145</c:v>
                </c:pt>
                <c:pt idx="472">
                  <c:v>-144.85304480288713</c:v>
                </c:pt>
                <c:pt idx="473">
                  <c:v>-145.2164508613437</c:v>
                </c:pt>
                <c:pt idx="474">
                  <c:v>-145.58101330908812</c:v>
                </c:pt>
                <c:pt idx="475">
                  <c:v>-145.94688321113446</c:v>
                </c:pt>
                <c:pt idx="476">
                  <c:v>-146.31418847631667</c:v>
                </c:pt>
                <c:pt idx="477">
                  <c:v>-146.68303393527569</c:v>
                </c:pt>
                <c:pt idx="478">
                  <c:v>-147.05350153657361</c:v>
                </c:pt>
                <c:pt idx="479">
                  <c:v>-147.42565065834395</c:v>
                </c:pt>
                <c:pt idx="480">
                  <c:v>-147.79951853192492</c:v>
                </c:pt>
                <c:pt idx="481">
                  <c:v>-148.17512077298679</c:v>
                </c:pt>
                <c:pt idx="482">
                  <c:v>-148.55245201479849</c:v>
                </c:pt>
                <c:pt idx="483">
                  <c:v>-148.93148663746359</c:v>
                </c:pt>
                <c:pt idx="484">
                  <c:v>-149.31217958623245</c:v>
                </c:pt>
                <c:pt idx="485">
                  <c:v>-149.69446727133325</c:v>
                </c:pt>
                <c:pt idx="486">
                  <c:v>-150.0782685412255</c:v>
                </c:pt>
                <c:pt idx="487">
                  <c:v>-150.4634857207019</c:v>
                </c:pt>
                <c:pt idx="488">
                  <c:v>-150.85000570491468</c:v>
                </c:pt>
                <c:pt idx="489">
                  <c:v>-151.23770110015016</c:v>
                </c:pt>
                <c:pt idx="490">
                  <c:v>-151.62643140201925</c:v>
                </c:pt>
                <c:pt idx="491">
                  <c:v>-152.01604420169272</c:v>
                </c:pt>
                <c:pt idx="492">
                  <c:v>-152.4063764108765</c:v>
                </c:pt>
                <c:pt idx="493">
                  <c:v>-152.79725549636569</c:v>
                </c:pt>
                <c:pt idx="494">
                  <c:v>-153.18850071529073</c:v>
                </c:pt>
                <c:pt idx="495">
                  <c:v>-153.57992434249169</c:v>
                </c:pt>
                <c:pt idx="496">
                  <c:v>-153.97133288189349</c:v>
                </c:pt>
                <c:pt idx="497">
                  <c:v>-154.36252825423904</c:v>
                </c:pt>
                <c:pt idx="498">
                  <c:v>-154.75330895409712</c:v>
                </c:pt>
                <c:pt idx="499">
                  <c:v>-155.14347116966456</c:v>
                </c:pt>
                <c:pt idx="500">
                  <c:v>-155.53280985953765</c:v>
                </c:pt>
                <c:pt idx="501">
                  <c:v>-155.92111978129299</c:v>
                </c:pt>
                <c:pt idx="502">
                  <c:v>-156.30819646743262</c:v>
                </c:pt>
                <c:pt idx="503">
                  <c:v>-156.69383714493907</c:v>
                </c:pt>
                <c:pt idx="504">
                  <c:v>-157.07784159540176</c:v>
                </c:pt>
                <c:pt idx="505">
                  <c:v>-157.46001295337263</c:v>
                </c:pt>
                <c:pt idx="506">
                  <c:v>-157.84015844127424</c:v>
                </c:pt>
                <c:pt idx="507">
                  <c:v>-158.21809003985612</c:v>
                </c:pt>
                <c:pt idx="508">
                  <c:v>-158.59362509378221</c:v>
                </c:pt>
                <c:pt idx="509">
                  <c:v>-158.96658685254434</c:v>
                </c:pt>
                <c:pt idx="510">
                  <c:v>-159.33680494739806</c:v>
                </c:pt>
                <c:pt idx="511">
                  <c:v>-159.70411580552801</c:v>
                </c:pt>
                <c:pt idx="512">
                  <c:v>-160.06836300307398</c:v>
                </c:pt>
                <c:pt idx="513">
                  <c:v>-160.42939755903799</c:v>
                </c:pt>
                <c:pt idx="514">
                  <c:v>-160.7870781724246</c:v>
                </c:pt>
                <c:pt idx="515">
                  <c:v>-161.14127140524567</c:v>
                </c:pt>
                <c:pt idx="516">
                  <c:v>-161.49185181425571</c:v>
                </c:pt>
                <c:pt idx="517">
                  <c:v>-161.83870203445872</c:v>
                </c:pt>
                <c:pt idx="518">
                  <c:v>-162.18171281756409</c:v>
                </c:pt>
                <c:pt idx="519">
                  <c:v>-162.52078302865985</c:v>
                </c:pt>
                <c:pt idx="520">
                  <c:v>-162.85581960441783</c:v>
                </c:pt>
                <c:pt idx="521">
                  <c:v>-163.18673747615938</c:v>
                </c:pt>
                <c:pt idx="522">
                  <c:v>-163.51345946108759</c:v>
                </c:pt>
                <c:pt idx="523">
                  <c:v>-163.83591612493629</c:v>
                </c:pt>
                <c:pt idx="524">
                  <c:v>-164.15404561921486</c:v>
                </c:pt>
                <c:pt idx="525">
                  <c:v>-164.46779349611978</c:v>
                </c:pt>
                <c:pt idx="526">
                  <c:v>-164.77711250406867</c:v>
                </c:pt>
                <c:pt idx="527">
                  <c:v>-165.08196236667652</c:v>
                </c:pt>
                <c:pt idx="528">
                  <c:v>-165.38230954784294</c:v>
                </c:pt>
                <c:pt idx="529">
                  <c:v>-165.67812700547293</c:v>
                </c:pt>
                <c:pt idx="530">
                  <c:v>-165.96939393617697</c:v>
                </c:pt>
                <c:pt idx="531">
                  <c:v>-166.25609551314196</c:v>
                </c:pt>
                <c:pt idx="532">
                  <c:v>-166.53822261919072</c:v>
                </c:pt>
                <c:pt idx="533">
                  <c:v>-166.81577157688315</c:v>
                </c:pt>
                <c:pt idx="534">
                  <c:v>-167.0887438773448</c:v>
                </c:pt>
                <c:pt idx="535">
                  <c:v>-167.35714590934927</c:v>
                </c:pt>
                <c:pt idx="536">
                  <c:v>-167.62098869002423</c:v>
                </c:pt>
                <c:pt idx="537">
                  <c:v>-167.88028759840248</c:v>
                </c:pt>
                <c:pt idx="538">
                  <c:v>-168.13506211289032</c:v>
                </c:pt>
                <c:pt idx="539">
                  <c:v>-168.38533555359825</c:v>
                </c:pt>
                <c:pt idx="540">
                  <c:v>-168.631134830344</c:v>
                </c:pt>
                <c:pt idx="541">
                  <c:v>-168.87249019702236</c:v>
                </c:pt>
              </c:numCache>
            </c:numRef>
          </c:yVal>
          <c:smooth val="1"/>
          <c:extLst>
            <c:ext xmlns:c16="http://schemas.microsoft.com/office/drawing/2014/chart" uri="{C3380CC4-5D6E-409C-BE32-E72D297353CC}">
              <c16:uniqueId val="{0000000B-2470-421C-8EF3-DF4BAC2DF802}"/>
            </c:ext>
          </c:extLst>
        </c:ser>
        <c:dLbls>
          <c:showLegendKey val="0"/>
          <c:showVal val="0"/>
          <c:showCatName val="0"/>
          <c:showSerName val="0"/>
          <c:showPercent val="0"/>
          <c:showBubbleSize val="0"/>
        </c:dLbls>
        <c:axId val="144838016"/>
        <c:axId val="144836096"/>
      </c:scatterChart>
      <c:valAx>
        <c:axId val="144369152"/>
        <c:scaling>
          <c:logBase val="10"/>
          <c:orientation val="minMax"/>
          <c:max val="2000000"/>
          <c:min val="1"/>
        </c:scaling>
        <c:delete val="0"/>
        <c:axPos val="b"/>
        <c:majorGridlines/>
        <c:minorGridlines/>
        <c:title>
          <c:tx>
            <c:rich>
              <a:bodyPr/>
              <a:lstStyle/>
              <a:p>
                <a:pPr>
                  <a:defRPr/>
                </a:pPr>
                <a:r>
                  <a:rPr lang="en-US"/>
                  <a:t>Frequency</a:t>
                </a:r>
                <a:r>
                  <a:rPr lang="en-US" baseline="0"/>
                  <a:t> (Hz)</a:t>
                </a:r>
                <a:endParaRPr lang="en-US"/>
              </a:p>
            </c:rich>
          </c:tx>
          <c:overlay val="0"/>
        </c:title>
        <c:numFmt formatCode="0" sourceLinked="0"/>
        <c:majorTickMark val="out"/>
        <c:minorTickMark val="none"/>
        <c:tickLblPos val="low"/>
        <c:txPr>
          <a:bodyPr/>
          <a:lstStyle/>
          <a:p>
            <a:pPr>
              <a:defRPr b="1"/>
            </a:pPr>
            <a:endParaRPr lang="en-US"/>
          </a:p>
        </c:txPr>
        <c:crossAx val="144371072"/>
        <c:crosses val="autoZero"/>
        <c:crossBetween val="midCat"/>
      </c:valAx>
      <c:valAx>
        <c:axId val="144371072"/>
        <c:scaling>
          <c:orientation val="minMax"/>
          <c:max val="60"/>
          <c:min val="-60"/>
        </c:scaling>
        <c:delete val="0"/>
        <c:axPos val="l"/>
        <c:majorGridlines/>
        <c:minorGridlines/>
        <c:title>
          <c:tx>
            <c:rich>
              <a:bodyPr rot="-5400000" vert="horz"/>
              <a:lstStyle/>
              <a:p>
                <a:pPr>
                  <a:defRPr/>
                </a:pPr>
                <a:r>
                  <a:rPr lang="en-US">
                    <a:solidFill>
                      <a:srgbClr val="FF0000"/>
                    </a:solidFill>
                  </a:rPr>
                  <a:t>Gain</a:t>
                </a:r>
                <a:r>
                  <a:rPr lang="en-US" baseline="0">
                    <a:solidFill>
                      <a:srgbClr val="FF0000"/>
                    </a:solidFill>
                  </a:rPr>
                  <a:t> (dB)</a:t>
                </a:r>
                <a:endParaRPr lang="en-US">
                  <a:solidFill>
                    <a:srgbClr val="FF0000"/>
                  </a:solidFill>
                </a:endParaRPr>
              </a:p>
            </c:rich>
          </c:tx>
          <c:overlay val="0"/>
        </c:title>
        <c:numFmt formatCode="General" sourceLinked="0"/>
        <c:majorTickMark val="out"/>
        <c:minorTickMark val="none"/>
        <c:tickLblPos val="nextTo"/>
        <c:txPr>
          <a:bodyPr/>
          <a:lstStyle/>
          <a:p>
            <a:pPr>
              <a:defRPr b="1">
                <a:solidFill>
                  <a:srgbClr val="FF0000"/>
                </a:solidFill>
              </a:defRPr>
            </a:pPr>
            <a:endParaRPr lang="en-US"/>
          </a:p>
        </c:txPr>
        <c:crossAx val="144369152"/>
        <c:crosses val="autoZero"/>
        <c:crossBetween val="midCat"/>
        <c:majorUnit val="20"/>
        <c:minorUnit val="10"/>
      </c:valAx>
      <c:valAx>
        <c:axId val="144836096"/>
        <c:scaling>
          <c:orientation val="minMax"/>
          <c:max val="180"/>
          <c:min val="-180"/>
        </c:scaling>
        <c:delete val="0"/>
        <c:axPos val="r"/>
        <c:title>
          <c:tx>
            <c:rich>
              <a:bodyPr rot="-5400000" vert="horz"/>
              <a:lstStyle/>
              <a:p>
                <a:pPr>
                  <a:defRPr/>
                </a:pPr>
                <a:r>
                  <a:rPr lang="en-US"/>
                  <a:t>Phase (deg)</a:t>
                </a:r>
              </a:p>
            </c:rich>
          </c:tx>
          <c:overlay val="0"/>
        </c:title>
        <c:numFmt formatCode="General" sourceLinked="1"/>
        <c:majorTickMark val="out"/>
        <c:minorTickMark val="none"/>
        <c:tickLblPos val="nextTo"/>
        <c:txPr>
          <a:bodyPr/>
          <a:lstStyle/>
          <a:p>
            <a:pPr>
              <a:defRPr b="1">
                <a:solidFill>
                  <a:schemeClr val="tx1">
                    <a:lumMod val="95000"/>
                    <a:lumOff val="5000"/>
                  </a:schemeClr>
                </a:solidFill>
              </a:defRPr>
            </a:pPr>
            <a:endParaRPr lang="en-US"/>
          </a:p>
        </c:txPr>
        <c:crossAx val="144838016"/>
        <c:crosses val="max"/>
        <c:crossBetween val="midCat"/>
        <c:majorUnit val="90"/>
        <c:minorUnit val="45"/>
      </c:valAx>
      <c:valAx>
        <c:axId val="144838016"/>
        <c:scaling>
          <c:logBase val="10"/>
          <c:orientation val="minMax"/>
        </c:scaling>
        <c:delete val="1"/>
        <c:axPos val="b"/>
        <c:numFmt formatCode="0.00" sourceLinked="1"/>
        <c:majorTickMark val="out"/>
        <c:minorTickMark val="none"/>
        <c:tickLblPos val="nextTo"/>
        <c:crossAx val="144836096"/>
        <c:crosses val="autoZero"/>
        <c:crossBetween val="midCat"/>
      </c:valAx>
    </c:plotArea>
    <c:legend>
      <c:legendPos val="r"/>
      <c:legendEntry>
        <c:idx val="1"/>
        <c:delete val="1"/>
      </c:legendEntry>
      <c:legendEntry>
        <c:idx val="2"/>
        <c:delete val="1"/>
      </c:legendEntry>
      <c:legendEntry>
        <c:idx val="3"/>
        <c:delete val="1"/>
      </c:legendEntry>
      <c:legendEntry>
        <c:idx val="4"/>
        <c:delete val="1"/>
      </c:legendEntry>
      <c:legendEntry>
        <c:idx val="5"/>
        <c:delete val="1"/>
      </c:legendEntry>
      <c:layout>
        <c:manualLayout>
          <c:xMode val="edge"/>
          <c:yMode val="edge"/>
          <c:x val="0.61392536510371165"/>
          <c:y val="7.0381012799940294E-3"/>
          <c:w val="0.28497500584606611"/>
          <c:h val="7.9643865606846526E-2"/>
        </c:manualLayout>
      </c:layout>
      <c:overlay val="1"/>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2400"/>
            </a:pPr>
            <a:r>
              <a:rPr lang="el-GR" sz="2400"/>
              <a:t>η</a:t>
            </a:r>
            <a:endParaRPr lang="en-US" sz="2400"/>
          </a:p>
        </c:rich>
      </c:tx>
      <c:layout>
        <c:manualLayout>
          <c:xMode val="edge"/>
          <c:yMode val="edge"/>
          <c:x val="9.2321838295158831E-2"/>
          <c:y val="6.7069081153588199E-3"/>
        </c:manualLayout>
      </c:layout>
      <c:overlay val="1"/>
    </c:title>
    <c:autoTitleDeleted val="0"/>
    <c:plotArea>
      <c:layout>
        <c:manualLayout>
          <c:layoutTarget val="inner"/>
          <c:xMode val="edge"/>
          <c:yMode val="edge"/>
          <c:x val="9.4343575816580413E-2"/>
          <c:y val="0.12777504924560487"/>
          <c:w val="0.82170691922728745"/>
          <c:h val="0.74982770867653059"/>
        </c:manualLayout>
      </c:layout>
      <c:scatterChart>
        <c:scatterStyle val="smoothMarker"/>
        <c:varyColors val="0"/>
        <c:ser>
          <c:idx val="0"/>
          <c:order val="0"/>
          <c:tx>
            <c:v>Eff</c:v>
          </c:tx>
          <c:spPr>
            <a:ln>
              <a:solidFill>
                <a:srgbClr val="FF0000"/>
              </a:solidFill>
            </a:ln>
          </c:spPr>
          <c:marker>
            <c:symbol val="none"/>
          </c:marker>
          <c:xVal>
            <c:numRef>
              <c:f>Eff_vs_IOUT!$S$7:$S$157</c:f>
              <c:numCache>
                <c:formatCode>General</c:formatCode>
                <c:ptCount val="151"/>
                <c:pt idx="0">
                  <c:v>0</c:v>
                </c:pt>
                <c:pt idx="1">
                  <c:v>3.3999999999999996E-2</c:v>
                </c:pt>
                <c:pt idx="2">
                  <c:v>6.7999999999999991E-2</c:v>
                </c:pt>
                <c:pt idx="3">
                  <c:v>0.10199999999999998</c:v>
                </c:pt>
                <c:pt idx="4">
                  <c:v>0.13599999999999998</c:v>
                </c:pt>
                <c:pt idx="5">
                  <c:v>0.16999999999999998</c:v>
                </c:pt>
                <c:pt idx="6">
                  <c:v>0.20399999999999996</c:v>
                </c:pt>
                <c:pt idx="7">
                  <c:v>0.23799999999999996</c:v>
                </c:pt>
                <c:pt idx="8">
                  <c:v>0.27199999999999996</c:v>
                </c:pt>
                <c:pt idx="9">
                  <c:v>0.30599999999999994</c:v>
                </c:pt>
                <c:pt idx="10">
                  <c:v>0.33999999999999997</c:v>
                </c:pt>
                <c:pt idx="11">
                  <c:v>0.37399999999999994</c:v>
                </c:pt>
                <c:pt idx="12">
                  <c:v>0.40799999999999992</c:v>
                </c:pt>
                <c:pt idx="13">
                  <c:v>0.44199999999999995</c:v>
                </c:pt>
                <c:pt idx="14">
                  <c:v>0.47599999999999992</c:v>
                </c:pt>
                <c:pt idx="15">
                  <c:v>0.5099999999999999</c:v>
                </c:pt>
                <c:pt idx="16">
                  <c:v>0.54399999999999993</c:v>
                </c:pt>
                <c:pt idx="17">
                  <c:v>0.57799999999999996</c:v>
                </c:pt>
                <c:pt idx="18">
                  <c:v>0.61199999999999988</c:v>
                </c:pt>
                <c:pt idx="19">
                  <c:v>0.64599999999999991</c:v>
                </c:pt>
                <c:pt idx="20">
                  <c:v>0.67999999999999994</c:v>
                </c:pt>
                <c:pt idx="21">
                  <c:v>0.71399999999999986</c:v>
                </c:pt>
                <c:pt idx="22">
                  <c:v>0.74799999999999989</c:v>
                </c:pt>
                <c:pt idx="23">
                  <c:v>0.78199999999999992</c:v>
                </c:pt>
                <c:pt idx="24">
                  <c:v>0.81599999999999984</c:v>
                </c:pt>
                <c:pt idx="25">
                  <c:v>0.84999999999999987</c:v>
                </c:pt>
                <c:pt idx="26">
                  <c:v>0.8839999999999999</c:v>
                </c:pt>
                <c:pt idx="27">
                  <c:v>0.91799999999999993</c:v>
                </c:pt>
                <c:pt idx="28">
                  <c:v>0.95199999999999985</c:v>
                </c:pt>
                <c:pt idx="29">
                  <c:v>0.98599999999999988</c:v>
                </c:pt>
                <c:pt idx="30">
                  <c:v>1.0199999999999998</c:v>
                </c:pt>
                <c:pt idx="31">
                  <c:v>1.0539999999999998</c:v>
                </c:pt>
                <c:pt idx="32">
                  <c:v>1.0879999999999999</c:v>
                </c:pt>
                <c:pt idx="33">
                  <c:v>1.1219999999999999</c:v>
                </c:pt>
                <c:pt idx="34">
                  <c:v>1.1559999999999999</c:v>
                </c:pt>
                <c:pt idx="35">
                  <c:v>1.19</c:v>
                </c:pt>
                <c:pt idx="36">
                  <c:v>1.2239999999999998</c:v>
                </c:pt>
                <c:pt idx="37">
                  <c:v>1.2579999999999998</c:v>
                </c:pt>
                <c:pt idx="38">
                  <c:v>1.2919999999999998</c:v>
                </c:pt>
                <c:pt idx="39">
                  <c:v>1.3259999999999998</c:v>
                </c:pt>
                <c:pt idx="40">
                  <c:v>1.3599999999999999</c:v>
                </c:pt>
                <c:pt idx="41">
                  <c:v>1.3939999999999999</c:v>
                </c:pt>
                <c:pt idx="42">
                  <c:v>1.4279999999999997</c:v>
                </c:pt>
                <c:pt idx="43">
                  <c:v>1.4619999999999997</c:v>
                </c:pt>
                <c:pt idx="44">
                  <c:v>1.4959999999999998</c:v>
                </c:pt>
                <c:pt idx="45">
                  <c:v>1.5299999999999998</c:v>
                </c:pt>
                <c:pt idx="46">
                  <c:v>1.5639999999999998</c:v>
                </c:pt>
                <c:pt idx="47">
                  <c:v>1.5979999999999999</c:v>
                </c:pt>
                <c:pt idx="48">
                  <c:v>1.6319999999999997</c:v>
                </c:pt>
                <c:pt idx="49">
                  <c:v>1.6659999999999997</c:v>
                </c:pt>
                <c:pt idx="50">
                  <c:v>1.6999999999999997</c:v>
                </c:pt>
                <c:pt idx="51">
                  <c:v>1.7339999999999998</c:v>
                </c:pt>
                <c:pt idx="52">
                  <c:v>1.7679999999999998</c:v>
                </c:pt>
                <c:pt idx="53">
                  <c:v>1.8019999999999998</c:v>
                </c:pt>
                <c:pt idx="54">
                  <c:v>1.8359999999999999</c:v>
                </c:pt>
                <c:pt idx="55">
                  <c:v>1.8699999999999997</c:v>
                </c:pt>
                <c:pt idx="56">
                  <c:v>1.9039999999999997</c:v>
                </c:pt>
                <c:pt idx="57">
                  <c:v>1.9379999999999997</c:v>
                </c:pt>
                <c:pt idx="58">
                  <c:v>1.9719999999999998</c:v>
                </c:pt>
                <c:pt idx="59">
                  <c:v>2.0059999999999998</c:v>
                </c:pt>
                <c:pt idx="60">
                  <c:v>2.0399999999999996</c:v>
                </c:pt>
                <c:pt idx="61">
                  <c:v>2.0739999999999998</c:v>
                </c:pt>
                <c:pt idx="62">
                  <c:v>2.1079999999999997</c:v>
                </c:pt>
                <c:pt idx="63">
                  <c:v>2.1419999999999999</c:v>
                </c:pt>
                <c:pt idx="64">
                  <c:v>2.1759999999999997</c:v>
                </c:pt>
                <c:pt idx="65">
                  <c:v>2.2099999999999995</c:v>
                </c:pt>
                <c:pt idx="66">
                  <c:v>2.2439999999999998</c:v>
                </c:pt>
                <c:pt idx="67">
                  <c:v>2.2779999999999996</c:v>
                </c:pt>
                <c:pt idx="68">
                  <c:v>2.3119999999999998</c:v>
                </c:pt>
                <c:pt idx="69">
                  <c:v>2.3459999999999996</c:v>
                </c:pt>
                <c:pt idx="70">
                  <c:v>2.38</c:v>
                </c:pt>
                <c:pt idx="71">
                  <c:v>2.4139999999999997</c:v>
                </c:pt>
                <c:pt idx="72">
                  <c:v>2.4479999999999995</c:v>
                </c:pt>
                <c:pt idx="73">
                  <c:v>2.4819999999999998</c:v>
                </c:pt>
                <c:pt idx="74">
                  <c:v>2.5159999999999996</c:v>
                </c:pt>
                <c:pt idx="75">
                  <c:v>2.5499999999999998</c:v>
                </c:pt>
                <c:pt idx="76">
                  <c:v>2.5839999999999996</c:v>
                </c:pt>
                <c:pt idx="77">
                  <c:v>2.6179999999999994</c:v>
                </c:pt>
                <c:pt idx="78">
                  <c:v>2.6519999999999997</c:v>
                </c:pt>
                <c:pt idx="79">
                  <c:v>2.6859999999999995</c:v>
                </c:pt>
                <c:pt idx="80">
                  <c:v>2.7199999999999998</c:v>
                </c:pt>
                <c:pt idx="81">
                  <c:v>2.7539999999999996</c:v>
                </c:pt>
                <c:pt idx="82">
                  <c:v>2.7879999999999998</c:v>
                </c:pt>
                <c:pt idx="83">
                  <c:v>2.8219999999999996</c:v>
                </c:pt>
                <c:pt idx="84">
                  <c:v>2.8559999999999994</c:v>
                </c:pt>
                <c:pt idx="85">
                  <c:v>2.8899999999999997</c:v>
                </c:pt>
                <c:pt idx="86">
                  <c:v>2.9239999999999995</c:v>
                </c:pt>
                <c:pt idx="87">
                  <c:v>2.9579999999999997</c:v>
                </c:pt>
                <c:pt idx="88">
                  <c:v>2.9919999999999995</c:v>
                </c:pt>
                <c:pt idx="89">
                  <c:v>3.0259999999999998</c:v>
                </c:pt>
                <c:pt idx="90">
                  <c:v>3.0599999999999996</c:v>
                </c:pt>
                <c:pt idx="91">
                  <c:v>3.0939999999999994</c:v>
                </c:pt>
                <c:pt idx="92">
                  <c:v>3.1279999999999997</c:v>
                </c:pt>
                <c:pt idx="93">
                  <c:v>3.1619999999999995</c:v>
                </c:pt>
                <c:pt idx="94">
                  <c:v>3.1959999999999997</c:v>
                </c:pt>
                <c:pt idx="95">
                  <c:v>3.2299999999999995</c:v>
                </c:pt>
                <c:pt idx="96">
                  <c:v>3.2639999999999993</c:v>
                </c:pt>
                <c:pt idx="97">
                  <c:v>3.2979999999999996</c:v>
                </c:pt>
                <c:pt idx="98">
                  <c:v>3.3319999999999994</c:v>
                </c:pt>
                <c:pt idx="99">
                  <c:v>3.3659999999999997</c:v>
                </c:pt>
                <c:pt idx="100">
                  <c:v>3.3999999999999995</c:v>
                </c:pt>
                <c:pt idx="101">
                  <c:v>3.4339999999999997</c:v>
                </c:pt>
                <c:pt idx="102">
                  <c:v>3.4679999999999995</c:v>
                </c:pt>
                <c:pt idx="103">
                  <c:v>3.5019999999999993</c:v>
                </c:pt>
                <c:pt idx="104">
                  <c:v>3.5359999999999996</c:v>
                </c:pt>
                <c:pt idx="105">
                  <c:v>3.5699999999999994</c:v>
                </c:pt>
                <c:pt idx="106">
                  <c:v>3.6039999999999996</c:v>
                </c:pt>
                <c:pt idx="107">
                  <c:v>3.6379999999999995</c:v>
                </c:pt>
                <c:pt idx="108">
                  <c:v>3.6719999999999997</c:v>
                </c:pt>
                <c:pt idx="109">
                  <c:v>3.7059999999999995</c:v>
                </c:pt>
                <c:pt idx="110">
                  <c:v>3.7399999999999993</c:v>
                </c:pt>
                <c:pt idx="111">
                  <c:v>3.7739999999999996</c:v>
                </c:pt>
                <c:pt idx="112">
                  <c:v>3.8079999999999994</c:v>
                </c:pt>
                <c:pt idx="113">
                  <c:v>3.8419999999999996</c:v>
                </c:pt>
                <c:pt idx="114">
                  <c:v>3.8759999999999994</c:v>
                </c:pt>
                <c:pt idx="115">
                  <c:v>3.9099999999999997</c:v>
                </c:pt>
                <c:pt idx="116">
                  <c:v>3.9439999999999995</c:v>
                </c:pt>
                <c:pt idx="117">
                  <c:v>3.9779999999999993</c:v>
                </c:pt>
                <c:pt idx="118">
                  <c:v>4.0119999999999996</c:v>
                </c:pt>
                <c:pt idx="119">
                  <c:v>4.0459999999999994</c:v>
                </c:pt>
                <c:pt idx="120">
                  <c:v>4.0799999999999992</c:v>
                </c:pt>
                <c:pt idx="121">
                  <c:v>4.1139999999999999</c:v>
                </c:pt>
                <c:pt idx="122">
                  <c:v>4.1479999999999997</c:v>
                </c:pt>
                <c:pt idx="123">
                  <c:v>4.1819999999999995</c:v>
                </c:pt>
                <c:pt idx="124">
                  <c:v>4.2159999999999993</c:v>
                </c:pt>
                <c:pt idx="125">
                  <c:v>4.2499999999999991</c:v>
                </c:pt>
                <c:pt idx="126">
                  <c:v>4.2839999999999998</c:v>
                </c:pt>
                <c:pt idx="127">
                  <c:v>4.3179999999999996</c:v>
                </c:pt>
                <c:pt idx="128">
                  <c:v>4.3519999999999994</c:v>
                </c:pt>
                <c:pt idx="129">
                  <c:v>4.3859999999999992</c:v>
                </c:pt>
                <c:pt idx="130">
                  <c:v>4.419999999999999</c:v>
                </c:pt>
                <c:pt idx="131">
                  <c:v>4.4539999999999997</c:v>
                </c:pt>
                <c:pt idx="132">
                  <c:v>4.4879999999999995</c:v>
                </c:pt>
                <c:pt idx="133">
                  <c:v>4.5219999999999994</c:v>
                </c:pt>
                <c:pt idx="134">
                  <c:v>4.5559999999999992</c:v>
                </c:pt>
                <c:pt idx="135">
                  <c:v>4.589999999999999</c:v>
                </c:pt>
                <c:pt idx="136">
                  <c:v>4.6239999999999997</c:v>
                </c:pt>
                <c:pt idx="137">
                  <c:v>4.6579999999999995</c:v>
                </c:pt>
                <c:pt idx="138">
                  <c:v>4.6919999999999993</c:v>
                </c:pt>
                <c:pt idx="139">
                  <c:v>4.7259999999999991</c:v>
                </c:pt>
                <c:pt idx="140">
                  <c:v>4.76</c:v>
                </c:pt>
                <c:pt idx="141">
                  <c:v>4.7939999999999996</c:v>
                </c:pt>
                <c:pt idx="142">
                  <c:v>4.8279999999999994</c:v>
                </c:pt>
                <c:pt idx="143">
                  <c:v>4.8619999999999992</c:v>
                </c:pt>
                <c:pt idx="144">
                  <c:v>4.895999999999999</c:v>
                </c:pt>
                <c:pt idx="145">
                  <c:v>4.93</c:v>
                </c:pt>
                <c:pt idx="146">
                  <c:v>4.9639999999999995</c:v>
                </c:pt>
                <c:pt idx="147">
                  <c:v>4.9979999999999993</c:v>
                </c:pt>
                <c:pt idx="148">
                  <c:v>5.0319999999999991</c:v>
                </c:pt>
                <c:pt idx="149">
                  <c:v>5.0659999999999989</c:v>
                </c:pt>
                <c:pt idx="150">
                  <c:v>5.0999999999999996</c:v>
                </c:pt>
              </c:numCache>
            </c:numRef>
          </c:xVal>
          <c:yVal>
            <c:numRef>
              <c:f>Eff_vs_IOUT!$AT$7:$AT$157</c:f>
              <c:numCache>
                <c:formatCode>General</c:formatCode>
                <c:ptCount val="151"/>
                <c:pt idx="0">
                  <c:v>0</c:v>
                </c:pt>
                <c:pt idx="1">
                  <c:v>64.98734363793865</c:v>
                </c:pt>
                <c:pt idx="2">
                  <c:v>76.312835366500735</c:v>
                </c:pt>
                <c:pt idx="3">
                  <c:v>80.99497845550907</c:v>
                </c:pt>
                <c:pt idx="4">
                  <c:v>83.542624478431733</c:v>
                </c:pt>
                <c:pt idx="5">
                  <c:v>85.138362667741404</c:v>
                </c:pt>
                <c:pt idx="6">
                  <c:v>86.227896652509173</c:v>
                </c:pt>
                <c:pt idx="7">
                  <c:v>87.016522436887527</c:v>
                </c:pt>
                <c:pt idx="8">
                  <c:v>87.611906586417064</c:v>
                </c:pt>
                <c:pt idx="9">
                  <c:v>88.075927419720117</c:v>
                </c:pt>
                <c:pt idx="10">
                  <c:v>88.446661245943503</c:v>
                </c:pt>
                <c:pt idx="11">
                  <c:v>88.748813541490009</c:v>
                </c:pt>
                <c:pt idx="12">
                  <c:v>88.999108423366735</c:v>
                </c:pt>
                <c:pt idx="13">
                  <c:v>89.209266895179681</c:v>
                </c:pt>
                <c:pt idx="14">
                  <c:v>89.387744813848599</c:v>
                </c:pt>
                <c:pt idx="15">
                  <c:v>89.540793897147893</c:v>
                </c:pt>
                <c:pt idx="16">
                  <c:v>89.673134550917112</c:v>
                </c:pt>
                <c:pt idx="17">
                  <c:v>89.78839662137753</c:v>
                </c:pt>
                <c:pt idx="18">
                  <c:v>89.678219008597608</c:v>
                </c:pt>
                <c:pt idx="19">
                  <c:v>89.755584856187596</c:v>
                </c:pt>
                <c:pt idx="20">
                  <c:v>89.821277478461624</c:v>
                </c:pt>
                <c:pt idx="21">
                  <c:v>89.876933838265899</c:v>
                </c:pt>
                <c:pt idx="22">
                  <c:v>89.923899409627083</c:v>
                </c:pt>
                <c:pt idx="23">
                  <c:v>89.963290291268237</c:v>
                </c:pt>
                <c:pt idx="24">
                  <c:v>89.996040086397841</c:v>
                </c:pt>
                <c:pt idx="25">
                  <c:v>90.022935736456859</c:v>
                </c:pt>
                <c:pt idx="26">
                  <c:v>90.044645230592053</c:v>
                </c:pt>
                <c:pt idx="27">
                  <c:v>90.061739261547771</c:v>
                </c:pt>
                <c:pt idx="28">
                  <c:v>90.074708316689893</c:v>
                </c:pt>
                <c:pt idx="29">
                  <c:v>90.083976288666932</c:v>
                </c:pt>
                <c:pt idx="30">
                  <c:v>90.089911405418505</c:v>
                </c:pt>
                <c:pt idx="31">
                  <c:v>90.092835075909022</c:v>
                </c:pt>
                <c:pt idx="32">
                  <c:v>90.093029101002656</c:v>
                </c:pt>
                <c:pt idx="33">
                  <c:v>90.090741591457018</c:v>
                </c:pt>
                <c:pt idx="34">
                  <c:v>90.086191855631554</c:v>
                </c:pt>
                <c:pt idx="35">
                  <c:v>90.079574460270848</c:v>
                </c:pt>
                <c:pt idx="36">
                  <c:v>90.071062623106542</c:v>
                </c:pt>
                <c:pt idx="37">
                  <c:v>90.060811062124486</c:v>
                </c:pt>
                <c:pt idx="38">
                  <c:v>90.048958400376847</c:v>
                </c:pt>
                <c:pt idx="39">
                  <c:v>90.035629205175283</c:v>
                </c:pt>
                <c:pt idx="40">
                  <c:v>90.020935724913954</c:v>
                </c:pt>
                <c:pt idx="41">
                  <c:v>90.004979374568876</c:v>
                </c:pt>
                <c:pt idx="42">
                  <c:v>89.987852011303048</c:v>
                </c:pt>
                <c:pt idx="43">
                  <c:v>89.969637033980902</c:v>
                </c:pt>
                <c:pt idx="44">
                  <c:v>89.950410334314526</c:v>
                </c:pt>
                <c:pt idx="45">
                  <c:v>89.930241122485043</c:v>
                </c:pt>
                <c:pt idx="46">
                  <c:v>89.909192646150245</c:v>
                </c:pt>
                <c:pt idx="47">
                  <c:v>89.887322818561572</c:v>
                </c:pt>
                <c:pt idx="48">
                  <c:v>89.864684768918607</c:v>
                </c:pt>
                <c:pt idx="49">
                  <c:v>89.841327325965608</c:v>
                </c:pt>
                <c:pt idx="50">
                  <c:v>89.817295444090192</c:v>
                </c:pt>
                <c:pt idx="51">
                  <c:v>89.792630579744994</c:v>
                </c:pt>
                <c:pt idx="52">
                  <c:v>89.767371024820264</c:v>
                </c:pt>
                <c:pt idx="53">
                  <c:v>89.741552202603884</c:v>
                </c:pt>
                <c:pt idx="54">
                  <c:v>89.715206931137203</c:v>
                </c:pt>
                <c:pt idx="55">
                  <c:v>89.68836565808148</c:v>
                </c:pt>
                <c:pt idx="56">
                  <c:v>89.661056670627076</c:v>
                </c:pt>
                <c:pt idx="57">
                  <c:v>89.633306283485254</c:v>
                </c:pt>
                <c:pt idx="58">
                  <c:v>89.605139007587127</c:v>
                </c:pt>
                <c:pt idx="59">
                  <c:v>89.576577701760513</c:v>
                </c:pt>
                <c:pt idx="60">
                  <c:v>89.54764370935564</c:v>
                </c:pt>
                <c:pt idx="61">
                  <c:v>89.518356981533657</c:v>
                </c:pt>
                <c:pt idx="62">
                  <c:v>89.488736188712764</c:v>
                </c:pt>
                <c:pt idx="63">
                  <c:v>89.458798821477913</c:v>
                </c:pt>
                <c:pt idx="64">
                  <c:v>89.428561282098414</c:v>
                </c:pt>
                <c:pt idx="65">
                  <c:v>89.398038967657612</c:v>
                </c:pt>
                <c:pt idx="66">
                  <c:v>89.367246345678069</c:v>
                </c:pt>
                <c:pt idx="67">
                  <c:v>89.336197023020986</c:v>
                </c:pt>
                <c:pt idx="68">
                  <c:v>89.304903808747412</c:v>
                </c:pt>
                <c:pt idx="69">
                  <c:v>89.273378771549744</c:v>
                </c:pt>
                <c:pt idx="70">
                  <c:v>89.241633292293102</c:v>
                </c:pt>
                <c:pt idx="71">
                  <c:v>89.209678112145156</c:v>
                </c:pt>
                <c:pt idx="72">
                  <c:v>89.177523376721027</c:v>
                </c:pt>
                <c:pt idx="73">
                  <c:v>89.14517867662272</c:v>
                </c:pt>
                <c:pt idx="74">
                  <c:v>89.112653084711866</c:v>
                </c:pt>
                <c:pt idx="75">
                  <c:v>89.079955190419298</c:v>
                </c:pt>
                <c:pt idx="76">
                  <c:v>89.047093131362033</c:v>
                </c:pt>
                <c:pt idx="77">
                  <c:v>89.014074622511657</c:v>
                </c:pt>
                <c:pt idx="78">
                  <c:v>88.980906983132115</c:v>
                </c:pt>
                <c:pt idx="79">
                  <c:v>88.947597161683461</c:v>
                </c:pt>
                <c:pt idx="80">
                  <c:v>88.91415175886867</c:v>
                </c:pt>
                <c:pt idx="81">
                  <c:v>88.880577048983085</c:v>
                </c:pt>
                <c:pt idx="82">
                  <c:v>88.84687899971027</c:v>
                </c:pt>
                <c:pt idx="83">
                  <c:v>88.813063290494981</c:v>
                </c:pt>
                <c:pt idx="84">
                  <c:v>88.779135329610853</c:v>
                </c:pt>
                <c:pt idx="85">
                  <c:v>88.745100270029909</c:v>
                </c:pt>
                <c:pt idx="86">
                  <c:v>88.710963024190832</c:v>
                </c:pt>
                <c:pt idx="87">
                  <c:v>88.676728277754009</c:v>
                </c:pt>
                <c:pt idx="88">
                  <c:v>88.642400502423897</c:v>
                </c:pt>
                <c:pt idx="89">
                  <c:v>88.607983967911068</c:v>
                </c:pt>
                <c:pt idx="90">
                  <c:v>88.573482753101217</c:v>
                </c:pt>
                <c:pt idx="91">
                  <c:v>88.538900756491245</c:v>
                </c:pt>
                <c:pt idx="92">
                  <c:v>88.504241705948289</c:v>
                </c:pt>
                <c:pt idx="93">
                  <c:v>88.469509167842048</c:v>
                </c:pt>
                <c:pt idx="94">
                  <c:v>88.434706555597302</c:v>
                </c:pt>
                <c:pt idx="95">
                  <c:v>88.399837137708715</c:v>
                </c:pt>
                <c:pt idx="96">
                  <c:v>88.36490404525712</c:v>
                </c:pt>
                <c:pt idx="97">
                  <c:v>88.329910278963197</c:v>
                </c:pt>
                <c:pt idx="98">
                  <c:v>88.294858715811159</c:v>
                </c:pt>
                <c:pt idx="99">
                  <c:v>88.259752115273002</c:v>
                </c:pt>
                <c:pt idx="100">
                  <c:v>88.224593125160965</c:v>
                </c:pt>
                <c:pt idx="101">
                  <c:v>88.189384287133819</c:v>
                </c:pt>
                <c:pt idx="102">
                  <c:v>88.154128041880895</c:v>
                </c:pt>
                <c:pt idx="103">
                  <c:v>88.11882673400531</c:v>
                </c:pt>
                <c:pt idx="104">
                  <c:v>88.083482616626767</c:v>
                </c:pt>
                <c:pt idx="105">
                  <c:v>88.048097855722474</c:v>
                </c:pt>
                <c:pt idx="106">
                  <c:v>88.012674534223493</c:v>
                </c:pt>
                <c:pt idx="107">
                  <c:v>87.977214655882236</c:v>
                </c:pt>
                <c:pt idx="108">
                  <c:v>87.94172014892608</c:v>
                </c:pt>
                <c:pt idx="109">
                  <c:v>87.906192869510761</c:v>
                </c:pt>
                <c:pt idx="110">
                  <c:v>87.870634604986051</c:v>
                </c:pt>
                <c:pt idx="111">
                  <c:v>87.835047076985774</c:v>
                </c:pt>
                <c:pt idx="112">
                  <c:v>87.799431944352861</c:v>
                </c:pt>
                <c:pt idx="113">
                  <c:v>87.763790805909778</c:v>
                </c:pt>
                <c:pt idx="114">
                  <c:v>87.728125203083707</c:v>
                </c:pt>
                <c:pt idx="115">
                  <c:v>87.692436622395263</c:v>
                </c:pt>
                <c:pt idx="116">
                  <c:v>87.656726497819108</c:v>
                </c:pt>
                <c:pt idx="117">
                  <c:v>87.620996213023773</c:v>
                </c:pt>
                <c:pt idx="118">
                  <c:v>87.585247103498219</c:v>
                </c:pt>
                <c:pt idx="119">
                  <c:v>87.549480458571594</c:v>
                </c:pt>
                <c:pt idx="120">
                  <c:v>87.513697523332098</c:v>
                </c:pt>
                <c:pt idx="121">
                  <c:v>87.4778995004515</c:v>
                </c:pt>
                <c:pt idx="122">
                  <c:v>87.442087551919826</c:v>
                </c:pt>
                <c:pt idx="123">
                  <c:v>87.406262800696027</c:v>
                </c:pt>
                <c:pt idx="124">
                  <c:v>87.370426332278925</c:v>
                </c:pt>
                <c:pt idx="125">
                  <c:v>87.334579196203094</c:v>
                </c:pt>
                <c:pt idx="126">
                  <c:v>87.298722407463742</c:v>
                </c:pt>
                <c:pt idx="127">
                  <c:v>87.262856947874454</c:v>
                </c:pt>
                <c:pt idx="128">
                  <c:v>87.226983767361631</c:v>
                </c:pt>
                <c:pt idx="129">
                  <c:v>87.191103785198791</c:v>
                </c:pt>
                <c:pt idx="130">
                  <c:v>87.15521789118425</c:v>
                </c:pt>
                <c:pt idx="131">
                  <c:v>87.119326946764929</c:v>
                </c:pt>
                <c:pt idx="132">
                  <c:v>87.083431786109273</c:v>
                </c:pt>
                <c:pt idx="133">
                  <c:v>87.047533217131985</c:v>
                </c:pt>
                <c:pt idx="134">
                  <c:v>87.011632022472938</c:v>
                </c:pt>
                <c:pt idx="135">
                  <c:v>86.975728960432818</c:v>
                </c:pt>
                <c:pt idx="136">
                  <c:v>86.93982476586757</c:v>
                </c:pt>
                <c:pt idx="137">
                  <c:v>86.903920151043735</c:v>
                </c:pt>
                <c:pt idx="138">
                  <c:v>86.868015806456924</c:v>
                </c:pt>
                <c:pt idx="139">
                  <c:v>86.832112401614765</c:v>
                </c:pt>
                <c:pt idx="140">
                  <c:v>86.79621058578671</c:v>
                </c:pt>
                <c:pt idx="141">
                  <c:v>86.760310988721756</c:v>
                </c:pt>
                <c:pt idx="142">
                  <c:v>86.724414221336204</c:v>
                </c:pt>
                <c:pt idx="143">
                  <c:v>86.688520876372408</c:v>
                </c:pt>
                <c:pt idx="144">
                  <c:v>86.652631529030316</c:v>
                </c:pt>
                <c:pt idx="145">
                  <c:v>86.616746737572839</c:v>
                </c:pt>
                <c:pt idx="146">
                  <c:v>86.580867043906522</c:v>
                </c:pt>
                <c:pt idx="147">
                  <c:v>86.544992974138566</c:v>
                </c:pt>
                <c:pt idx="148">
                  <c:v>86.509125039111211</c:v>
                </c:pt>
                <c:pt idx="149">
                  <c:v>86.473263734914795</c:v>
                </c:pt>
                <c:pt idx="150">
                  <c:v>86.43740954338034</c:v>
                </c:pt>
              </c:numCache>
            </c:numRef>
          </c:yVal>
          <c:smooth val="0"/>
          <c:extLst>
            <c:ext xmlns:c16="http://schemas.microsoft.com/office/drawing/2014/chart" uri="{C3380CC4-5D6E-409C-BE32-E72D297353CC}">
              <c16:uniqueId val="{00000000-EBB2-49C9-A014-1F538461E4EA}"/>
            </c:ext>
          </c:extLst>
        </c:ser>
        <c:dLbls>
          <c:showLegendKey val="0"/>
          <c:showVal val="0"/>
          <c:showCatName val="0"/>
          <c:showSerName val="0"/>
          <c:showPercent val="0"/>
          <c:showBubbleSize val="0"/>
        </c:dLbls>
        <c:axId val="144893056"/>
        <c:axId val="144894592"/>
      </c:scatterChart>
      <c:scatterChart>
        <c:scatterStyle val="smoothMarker"/>
        <c:varyColors val="0"/>
        <c:ser>
          <c:idx val="1"/>
          <c:order val="1"/>
          <c:tx>
            <c:v>MOSFET</c:v>
          </c:tx>
          <c:spPr>
            <a:ln>
              <a:solidFill>
                <a:schemeClr val="tx2">
                  <a:lumMod val="75000"/>
                </a:schemeClr>
              </a:solidFill>
              <a:prstDash val="dashDot"/>
            </a:ln>
          </c:spPr>
          <c:marker>
            <c:symbol val="none"/>
          </c:marker>
          <c:xVal>
            <c:numRef>
              <c:f>Eff_vs_IOUT!$S$7:$S$157</c:f>
              <c:numCache>
                <c:formatCode>General</c:formatCode>
                <c:ptCount val="151"/>
                <c:pt idx="0">
                  <c:v>0</c:v>
                </c:pt>
                <c:pt idx="1">
                  <c:v>3.3999999999999996E-2</c:v>
                </c:pt>
                <c:pt idx="2">
                  <c:v>6.7999999999999991E-2</c:v>
                </c:pt>
                <c:pt idx="3">
                  <c:v>0.10199999999999998</c:v>
                </c:pt>
                <c:pt idx="4">
                  <c:v>0.13599999999999998</c:v>
                </c:pt>
                <c:pt idx="5">
                  <c:v>0.16999999999999998</c:v>
                </c:pt>
                <c:pt idx="6">
                  <c:v>0.20399999999999996</c:v>
                </c:pt>
                <c:pt idx="7">
                  <c:v>0.23799999999999996</c:v>
                </c:pt>
                <c:pt idx="8">
                  <c:v>0.27199999999999996</c:v>
                </c:pt>
                <c:pt idx="9">
                  <c:v>0.30599999999999994</c:v>
                </c:pt>
                <c:pt idx="10">
                  <c:v>0.33999999999999997</c:v>
                </c:pt>
                <c:pt idx="11">
                  <c:v>0.37399999999999994</c:v>
                </c:pt>
                <c:pt idx="12">
                  <c:v>0.40799999999999992</c:v>
                </c:pt>
                <c:pt idx="13">
                  <c:v>0.44199999999999995</c:v>
                </c:pt>
                <c:pt idx="14">
                  <c:v>0.47599999999999992</c:v>
                </c:pt>
                <c:pt idx="15">
                  <c:v>0.5099999999999999</c:v>
                </c:pt>
                <c:pt idx="16">
                  <c:v>0.54399999999999993</c:v>
                </c:pt>
                <c:pt idx="17">
                  <c:v>0.57799999999999996</c:v>
                </c:pt>
                <c:pt idx="18">
                  <c:v>0.61199999999999988</c:v>
                </c:pt>
                <c:pt idx="19">
                  <c:v>0.64599999999999991</c:v>
                </c:pt>
                <c:pt idx="20">
                  <c:v>0.67999999999999994</c:v>
                </c:pt>
                <c:pt idx="21">
                  <c:v>0.71399999999999986</c:v>
                </c:pt>
                <c:pt idx="22">
                  <c:v>0.74799999999999989</c:v>
                </c:pt>
                <c:pt idx="23">
                  <c:v>0.78199999999999992</c:v>
                </c:pt>
                <c:pt idx="24">
                  <c:v>0.81599999999999984</c:v>
                </c:pt>
                <c:pt idx="25">
                  <c:v>0.84999999999999987</c:v>
                </c:pt>
                <c:pt idx="26">
                  <c:v>0.8839999999999999</c:v>
                </c:pt>
                <c:pt idx="27">
                  <c:v>0.91799999999999993</c:v>
                </c:pt>
                <c:pt idx="28">
                  <c:v>0.95199999999999985</c:v>
                </c:pt>
                <c:pt idx="29">
                  <c:v>0.98599999999999988</c:v>
                </c:pt>
                <c:pt idx="30">
                  <c:v>1.0199999999999998</c:v>
                </c:pt>
                <c:pt idx="31">
                  <c:v>1.0539999999999998</c:v>
                </c:pt>
                <c:pt idx="32">
                  <c:v>1.0879999999999999</c:v>
                </c:pt>
                <c:pt idx="33">
                  <c:v>1.1219999999999999</c:v>
                </c:pt>
                <c:pt idx="34">
                  <c:v>1.1559999999999999</c:v>
                </c:pt>
                <c:pt idx="35">
                  <c:v>1.19</c:v>
                </c:pt>
                <c:pt idx="36">
                  <c:v>1.2239999999999998</c:v>
                </c:pt>
                <c:pt idx="37">
                  <c:v>1.2579999999999998</c:v>
                </c:pt>
                <c:pt idx="38">
                  <c:v>1.2919999999999998</c:v>
                </c:pt>
                <c:pt idx="39">
                  <c:v>1.3259999999999998</c:v>
                </c:pt>
                <c:pt idx="40">
                  <c:v>1.3599999999999999</c:v>
                </c:pt>
                <c:pt idx="41">
                  <c:v>1.3939999999999999</c:v>
                </c:pt>
                <c:pt idx="42">
                  <c:v>1.4279999999999997</c:v>
                </c:pt>
                <c:pt idx="43">
                  <c:v>1.4619999999999997</c:v>
                </c:pt>
                <c:pt idx="44">
                  <c:v>1.4959999999999998</c:v>
                </c:pt>
                <c:pt idx="45">
                  <c:v>1.5299999999999998</c:v>
                </c:pt>
                <c:pt idx="46">
                  <c:v>1.5639999999999998</c:v>
                </c:pt>
                <c:pt idx="47">
                  <c:v>1.5979999999999999</c:v>
                </c:pt>
                <c:pt idx="48">
                  <c:v>1.6319999999999997</c:v>
                </c:pt>
                <c:pt idx="49">
                  <c:v>1.6659999999999997</c:v>
                </c:pt>
                <c:pt idx="50">
                  <c:v>1.6999999999999997</c:v>
                </c:pt>
                <c:pt idx="51">
                  <c:v>1.7339999999999998</c:v>
                </c:pt>
                <c:pt idx="52">
                  <c:v>1.7679999999999998</c:v>
                </c:pt>
                <c:pt idx="53">
                  <c:v>1.8019999999999998</c:v>
                </c:pt>
                <c:pt idx="54">
                  <c:v>1.8359999999999999</c:v>
                </c:pt>
                <c:pt idx="55">
                  <c:v>1.8699999999999997</c:v>
                </c:pt>
                <c:pt idx="56">
                  <c:v>1.9039999999999997</c:v>
                </c:pt>
                <c:pt idx="57">
                  <c:v>1.9379999999999997</c:v>
                </c:pt>
                <c:pt idx="58">
                  <c:v>1.9719999999999998</c:v>
                </c:pt>
                <c:pt idx="59">
                  <c:v>2.0059999999999998</c:v>
                </c:pt>
                <c:pt idx="60">
                  <c:v>2.0399999999999996</c:v>
                </c:pt>
                <c:pt idx="61">
                  <c:v>2.0739999999999998</c:v>
                </c:pt>
                <c:pt idx="62">
                  <c:v>2.1079999999999997</c:v>
                </c:pt>
                <c:pt idx="63">
                  <c:v>2.1419999999999999</c:v>
                </c:pt>
                <c:pt idx="64">
                  <c:v>2.1759999999999997</c:v>
                </c:pt>
                <c:pt idx="65">
                  <c:v>2.2099999999999995</c:v>
                </c:pt>
                <c:pt idx="66">
                  <c:v>2.2439999999999998</c:v>
                </c:pt>
                <c:pt idx="67">
                  <c:v>2.2779999999999996</c:v>
                </c:pt>
                <c:pt idx="68">
                  <c:v>2.3119999999999998</c:v>
                </c:pt>
                <c:pt idx="69">
                  <c:v>2.3459999999999996</c:v>
                </c:pt>
                <c:pt idx="70">
                  <c:v>2.38</c:v>
                </c:pt>
                <c:pt idx="71">
                  <c:v>2.4139999999999997</c:v>
                </c:pt>
                <c:pt idx="72">
                  <c:v>2.4479999999999995</c:v>
                </c:pt>
                <c:pt idx="73">
                  <c:v>2.4819999999999998</c:v>
                </c:pt>
                <c:pt idx="74">
                  <c:v>2.5159999999999996</c:v>
                </c:pt>
                <c:pt idx="75">
                  <c:v>2.5499999999999998</c:v>
                </c:pt>
                <c:pt idx="76">
                  <c:v>2.5839999999999996</c:v>
                </c:pt>
                <c:pt idx="77">
                  <c:v>2.6179999999999994</c:v>
                </c:pt>
                <c:pt idx="78">
                  <c:v>2.6519999999999997</c:v>
                </c:pt>
                <c:pt idx="79">
                  <c:v>2.6859999999999995</c:v>
                </c:pt>
                <c:pt idx="80">
                  <c:v>2.7199999999999998</c:v>
                </c:pt>
                <c:pt idx="81">
                  <c:v>2.7539999999999996</c:v>
                </c:pt>
                <c:pt idx="82">
                  <c:v>2.7879999999999998</c:v>
                </c:pt>
                <c:pt idx="83">
                  <c:v>2.8219999999999996</c:v>
                </c:pt>
                <c:pt idx="84">
                  <c:v>2.8559999999999994</c:v>
                </c:pt>
                <c:pt idx="85">
                  <c:v>2.8899999999999997</c:v>
                </c:pt>
                <c:pt idx="86">
                  <c:v>2.9239999999999995</c:v>
                </c:pt>
                <c:pt idx="87">
                  <c:v>2.9579999999999997</c:v>
                </c:pt>
                <c:pt idx="88">
                  <c:v>2.9919999999999995</c:v>
                </c:pt>
                <c:pt idx="89">
                  <c:v>3.0259999999999998</c:v>
                </c:pt>
                <c:pt idx="90">
                  <c:v>3.0599999999999996</c:v>
                </c:pt>
                <c:pt idx="91">
                  <c:v>3.0939999999999994</c:v>
                </c:pt>
                <c:pt idx="92">
                  <c:v>3.1279999999999997</c:v>
                </c:pt>
                <c:pt idx="93">
                  <c:v>3.1619999999999995</c:v>
                </c:pt>
                <c:pt idx="94">
                  <c:v>3.1959999999999997</c:v>
                </c:pt>
                <c:pt idx="95">
                  <c:v>3.2299999999999995</c:v>
                </c:pt>
                <c:pt idx="96">
                  <c:v>3.2639999999999993</c:v>
                </c:pt>
                <c:pt idx="97">
                  <c:v>3.2979999999999996</c:v>
                </c:pt>
                <c:pt idx="98">
                  <c:v>3.3319999999999994</c:v>
                </c:pt>
                <c:pt idx="99">
                  <c:v>3.3659999999999997</c:v>
                </c:pt>
                <c:pt idx="100">
                  <c:v>3.3999999999999995</c:v>
                </c:pt>
                <c:pt idx="101">
                  <c:v>3.4339999999999997</c:v>
                </c:pt>
                <c:pt idx="102">
                  <c:v>3.4679999999999995</c:v>
                </c:pt>
                <c:pt idx="103">
                  <c:v>3.5019999999999993</c:v>
                </c:pt>
                <c:pt idx="104">
                  <c:v>3.5359999999999996</c:v>
                </c:pt>
                <c:pt idx="105">
                  <c:v>3.5699999999999994</c:v>
                </c:pt>
                <c:pt idx="106">
                  <c:v>3.6039999999999996</c:v>
                </c:pt>
                <c:pt idx="107">
                  <c:v>3.6379999999999995</c:v>
                </c:pt>
                <c:pt idx="108">
                  <c:v>3.6719999999999997</c:v>
                </c:pt>
                <c:pt idx="109">
                  <c:v>3.7059999999999995</c:v>
                </c:pt>
                <c:pt idx="110">
                  <c:v>3.7399999999999993</c:v>
                </c:pt>
                <c:pt idx="111">
                  <c:v>3.7739999999999996</c:v>
                </c:pt>
                <c:pt idx="112">
                  <c:v>3.8079999999999994</c:v>
                </c:pt>
                <c:pt idx="113">
                  <c:v>3.8419999999999996</c:v>
                </c:pt>
                <c:pt idx="114">
                  <c:v>3.8759999999999994</c:v>
                </c:pt>
                <c:pt idx="115">
                  <c:v>3.9099999999999997</c:v>
                </c:pt>
                <c:pt idx="116">
                  <c:v>3.9439999999999995</c:v>
                </c:pt>
                <c:pt idx="117">
                  <c:v>3.9779999999999993</c:v>
                </c:pt>
                <c:pt idx="118">
                  <c:v>4.0119999999999996</c:v>
                </c:pt>
                <c:pt idx="119">
                  <c:v>4.0459999999999994</c:v>
                </c:pt>
                <c:pt idx="120">
                  <c:v>4.0799999999999992</c:v>
                </c:pt>
                <c:pt idx="121">
                  <c:v>4.1139999999999999</c:v>
                </c:pt>
                <c:pt idx="122">
                  <c:v>4.1479999999999997</c:v>
                </c:pt>
                <c:pt idx="123">
                  <c:v>4.1819999999999995</c:v>
                </c:pt>
                <c:pt idx="124">
                  <c:v>4.2159999999999993</c:v>
                </c:pt>
                <c:pt idx="125">
                  <c:v>4.2499999999999991</c:v>
                </c:pt>
                <c:pt idx="126">
                  <c:v>4.2839999999999998</c:v>
                </c:pt>
                <c:pt idx="127">
                  <c:v>4.3179999999999996</c:v>
                </c:pt>
                <c:pt idx="128">
                  <c:v>4.3519999999999994</c:v>
                </c:pt>
                <c:pt idx="129">
                  <c:v>4.3859999999999992</c:v>
                </c:pt>
                <c:pt idx="130">
                  <c:v>4.419999999999999</c:v>
                </c:pt>
                <c:pt idx="131">
                  <c:v>4.4539999999999997</c:v>
                </c:pt>
                <c:pt idx="132">
                  <c:v>4.4879999999999995</c:v>
                </c:pt>
                <c:pt idx="133">
                  <c:v>4.5219999999999994</c:v>
                </c:pt>
                <c:pt idx="134">
                  <c:v>4.5559999999999992</c:v>
                </c:pt>
                <c:pt idx="135">
                  <c:v>4.589999999999999</c:v>
                </c:pt>
                <c:pt idx="136">
                  <c:v>4.6239999999999997</c:v>
                </c:pt>
                <c:pt idx="137">
                  <c:v>4.6579999999999995</c:v>
                </c:pt>
                <c:pt idx="138">
                  <c:v>4.6919999999999993</c:v>
                </c:pt>
                <c:pt idx="139">
                  <c:v>4.7259999999999991</c:v>
                </c:pt>
                <c:pt idx="140">
                  <c:v>4.76</c:v>
                </c:pt>
                <c:pt idx="141">
                  <c:v>4.7939999999999996</c:v>
                </c:pt>
                <c:pt idx="142">
                  <c:v>4.8279999999999994</c:v>
                </c:pt>
                <c:pt idx="143">
                  <c:v>4.8619999999999992</c:v>
                </c:pt>
                <c:pt idx="144">
                  <c:v>4.895999999999999</c:v>
                </c:pt>
                <c:pt idx="145">
                  <c:v>4.93</c:v>
                </c:pt>
                <c:pt idx="146">
                  <c:v>4.9639999999999995</c:v>
                </c:pt>
                <c:pt idx="147">
                  <c:v>4.9979999999999993</c:v>
                </c:pt>
                <c:pt idx="148">
                  <c:v>5.0319999999999991</c:v>
                </c:pt>
                <c:pt idx="149">
                  <c:v>5.0659999999999989</c:v>
                </c:pt>
                <c:pt idx="150">
                  <c:v>5.0999999999999996</c:v>
                </c:pt>
              </c:numCache>
            </c:numRef>
          </c:xVal>
          <c:yVal>
            <c:numRef>
              <c:f>Eff_vs_IOUT!$AI$7:$AI$157</c:f>
              <c:numCache>
                <c:formatCode>General</c:formatCode>
                <c:ptCount val="151"/>
                <c:pt idx="0">
                  <c:v>0</c:v>
                </c:pt>
                <c:pt idx="1">
                  <c:v>2.6654934675109057E-2</c:v>
                </c:pt>
                <c:pt idx="2">
                  <c:v>5.36429707696967E-2</c:v>
                </c:pt>
                <c:pt idx="3">
                  <c:v>8.0847852717895088E-2</c:v>
                </c:pt>
                <c:pt idx="4">
                  <c:v>0.10822809462953809</c:v>
                </c:pt>
                <c:pt idx="5">
                  <c:v>0.13575971995102623</c:v>
                </c:pt>
                <c:pt idx="6">
                  <c:v>0.16342655118362084</c:v>
                </c:pt>
                <c:pt idx="7">
                  <c:v>0.19121671201397472</c:v>
                </c:pt>
                <c:pt idx="8">
                  <c:v>0.21912100061490486</c:v>
                </c:pt>
                <c:pt idx="9">
                  <c:v>0.24713201375693991</c:v>
                </c:pt>
                <c:pt idx="10">
                  <c:v>0.27524362698883142</c:v>
                </c:pt>
                <c:pt idx="11">
                  <c:v>0.30345066377314889</c:v>
                </c:pt>
                <c:pt idx="12">
                  <c:v>0.33174867342915759</c:v>
                </c:pt>
                <c:pt idx="13">
                  <c:v>0.36013377576444988</c:v>
                </c:pt>
                <c:pt idx="14">
                  <c:v>0.38860254864907001</c:v>
                </c:pt>
                <c:pt idx="15">
                  <c:v>0.41715194437319936</c:v>
                </c:pt>
                <c:pt idx="16">
                  <c:v>0.44577922595096725</c:v>
                </c:pt>
                <c:pt idx="17">
                  <c:v>0.47448191764009157</c:v>
                </c:pt>
                <c:pt idx="18">
                  <c:v>0.50872667519617432</c:v>
                </c:pt>
                <c:pt idx="19">
                  <c:v>0.53826308115028487</c:v>
                </c:pt>
                <c:pt idx="20">
                  <c:v>0.56797697684824833</c:v>
                </c:pt>
                <c:pt idx="21">
                  <c:v>0.59786836229006435</c:v>
                </c:pt>
                <c:pt idx="22">
                  <c:v>0.62793723747573338</c:v>
                </c:pt>
                <c:pt idx="23">
                  <c:v>0.65818360240525531</c:v>
                </c:pt>
                <c:pt idx="24">
                  <c:v>0.68860745707862991</c:v>
                </c:pt>
                <c:pt idx="25">
                  <c:v>0.7192088014958572</c:v>
                </c:pt>
                <c:pt idx="26">
                  <c:v>0.74998763565693749</c:v>
                </c:pt>
                <c:pt idx="27">
                  <c:v>0.78094395956187068</c:v>
                </c:pt>
                <c:pt idx="28">
                  <c:v>0.81207777321065633</c:v>
                </c:pt>
                <c:pt idx="29">
                  <c:v>0.8433890766032951</c:v>
                </c:pt>
                <c:pt idx="30">
                  <c:v>0.87487786973978643</c:v>
                </c:pt>
                <c:pt idx="31">
                  <c:v>0.90654415262013088</c:v>
                </c:pt>
                <c:pt idx="32">
                  <c:v>0.9383879252443279</c:v>
                </c:pt>
                <c:pt idx="33">
                  <c:v>0.97040918761237771</c:v>
                </c:pt>
                <c:pt idx="34">
                  <c:v>1.0026079397242806</c:v>
                </c:pt>
                <c:pt idx="35">
                  <c:v>1.0349841815800362</c:v>
                </c:pt>
                <c:pt idx="36">
                  <c:v>1.0675379131796443</c:v>
                </c:pt>
                <c:pt idx="37">
                  <c:v>1.1002691345231055</c:v>
                </c:pt>
                <c:pt idx="38">
                  <c:v>1.1331778456104196</c:v>
                </c:pt>
                <c:pt idx="39">
                  <c:v>1.1662640464415863</c:v>
                </c:pt>
                <c:pt idx="40">
                  <c:v>1.199527737016606</c:v>
                </c:pt>
                <c:pt idx="41">
                  <c:v>1.2329689173354783</c:v>
                </c:pt>
                <c:pt idx="42">
                  <c:v>1.2665875873982031</c:v>
                </c:pt>
                <c:pt idx="43">
                  <c:v>1.3003837472047814</c:v>
                </c:pt>
                <c:pt idx="44">
                  <c:v>1.334357396755212</c:v>
                </c:pt>
                <c:pt idx="45">
                  <c:v>1.3685085360494957</c:v>
                </c:pt>
                <c:pt idx="46">
                  <c:v>1.4028371650876321</c:v>
                </c:pt>
                <c:pt idx="47">
                  <c:v>1.4373432838696214</c:v>
                </c:pt>
                <c:pt idx="48">
                  <c:v>1.4720268923954636</c:v>
                </c:pt>
                <c:pt idx="49">
                  <c:v>1.5068879906651582</c:v>
                </c:pt>
                <c:pt idx="50">
                  <c:v>1.5419265786787058</c:v>
                </c:pt>
                <c:pt idx="51">
                  <c:v>1.5771426564361064</c:v>
                </c:pt>
                <c:pt idx="52">
                  <c:v>1.6125362239373595</c:v>
                </c:pt>
                <c:pt idx="53">
                  <c:v>1.648107281182466</c:v>
                </c:pt>
                <c:pt idx="54">
                  <c:v>1.6838558281714249</c:v>
                </c:pt>
                <c:pt idx="55">
                  <c:v>1.719781864904236</c:v>
                </c:pt>
                <c:pt idx="56">
                  <c:v>1.7558853913809007</c:v>
                </c:pt>
                <c:pt idx="57">
                  <c:v>1.7921664076014185</c:v>
                </c:pt>
                <c:pt idx="58">
                  <c:v>1.8286249135657884</c:v>
                </c:pt>
                <c:pt idx="59">
                  <c:v>1.8652609092740113</c:v>
                </c:pt>
                <c:pt idx="60">
                  <c:v>1.9020743947260867</c:v>
                </c:pt>
                <c:pt idx="61">
                  <c:v>1.9390653699220155</c:v>
                </c:pt>
                <c:pt idx="62">
                  <c:v>1.9762338348617972</c:v>
                </c:pt>
                <c:pt idx="63">
                  <c:v>2.0135797895454308</c:v>
                </c:pt>
                <c:pt idx="64">
                  <c:v>2.0511032339729183</c:v>
                </c:pt>
                <c:pt idx="65">
                  <c:v>2.0888041681442577</c:v>
                </c:pt>
                <c:pt idx="66">
                  <c:v>2.1266825920594505</c:v>
                </c:pt>
                <c:pt idx="67">
                  <c:v>2.1647385057184962</c:v>
                </c:pt>
                <c:pt idx="68">
                  <c:v>2.2029719091213944</c:v>
                </c:pt>
                <c:pt idx="69">
                  <c:v>2.2413828022681455</c:v>
                </c:pt>
                <c:pt idx="70">
                  <c:v>2.2799711851587494</c:v>
                </c:pt>
                <c:pt idx="71">
                  <c:v>2.3187370577932058</c:v>
                </c:pt>
                <c:pt idx="72">
                  <c:v>2.3576804201715151</c:v>
                </c:pt>
                <c:pt idx="73">
                  <c:v>2.3968012722936782</c:v>
                </c:pt>
                <c:pt idx="74">
                  <c:v>2.4360996141596925</c:v>
                </c:pt>
                <c:pt idx="75">
                  <c:v>2.4755754457695609</c:v>
                </c:pt>
                <c:pt idx="76">
                  <c:v>2.5152287671232809</c:v>
                </c:pt>
                <c:pt idx="77">
                  <c:v>2.5550595782208543</c:v>
                </c:pt>
                <c:pt idx="78">
                  <c:v>2.595067879062281</c:v>
                </c:pt>
                <c:pt idx="79">
                  <c:v>2.6352536696475601</c:v>
                </c:pt>
                <c:pt idx="80">
                  <c:v>2.6756169499766922</c:v>
                </c:pt>
                <c:pt idx="81">
                  <c:v>2.7161577200496763</c:v>
                </c:pt>
                <c:pt idx="82">
                  <c:v>2.7568759798665146</c:v>
                </c:pt>
                <c:pt idx="83">
                  <c:v>2.7977717294272049</c:v>
                </c:pt>
                <c:pt idx="84">
                  <c:v>2.8388449687317481</c:v>
                </c:pt>
                <c:pt idx="85">
                  <c:v>2.8800956977801442</c:v>
                </c:pt>
                <c:pt idx="86">
                  <c:v>2.9215239165723927</c:v>
                </c:pt>
                <c:pt idx="87">
                  <c:v>2.9631296251084942</c:v>
                </c:pt>
                <c:pt idx="88">
                  <c:v>3.0049128233884481</c:v>
                </c:pt>
                <c:pt idx="89">
                  <c:v>3.0468735114122563</c:v>
                </c:pt>
                <c:pt idx="90">
                  <c:v>3.089011689179916</c:v>
                </c:pt>
                <c:pt idx="91">
                  <c:v>3.1313273566914286</c:v>
                </c:pt>
                <c:pt idx="92">
                  <c:v>3.1738205139467945</c:v>
                </c:pt>
                <c:pt idx="93">
                  <c:v>3.216491160946013</c:v>
                </c:pt>
                <c:pt idx="94">
                  <c:v>3.2593392976890847</c:v>
                </c:pt>
                <c:pt idx="95">
                  <c:v>3.3023649241760085</c:v>
                </c:pt>
                <c:pt idx="96">
                  <c:v>3.3455680404067856</c:v>
                </c:pt>
                <c:pt idx="97">
                  <c:v>3.3889486463814151</c:v>
                </c:pt>
                <c:pt idx="98">
                  <c:v>3.4325067420998971</c:v>
                </c:pt>
                <c:pt idx="99">
                  <c:v>3.4762423275622325</c:v>
                </c:pt>
                <c:pt idx="100">
                  <c:v>3.5201554027684203</c:v>
                </c:pt>
                <c:pt idx="101">
                  <c:v>3.5642459677184619</c:v>
                </c:pt>
                <c:pt idx="102">
                  <c:v>3.6085140224123551</c:v>
                </c:pt>
                <c:pt idx="103">
                  <c:v>3.652959566850102</c:v>
                </c:pt>
                <c:pt idx="104">
                  <c:v>3.6975826010317014</c:v>
                </c:pt>
                <c:pt idx="105">
                  <c:v>3.7423831249571533</c:v>
                </c:pt>
                <c:pt idx="106">
                  <c:v>3.7873611386264594</c:v>
                </c:pt>
                <c:pt idx="107">
                  <c:v>3.8325166420396171</c:v>
                </c:pt>
                <c:pt idx="108">
                  <c:v>3.8778496351966272</c:v>
                </c:pt>
                <c:pt idx="109">
                  <c:v>3.9233601180974906</c:v>
                </c:pt>
                <c:pt idx="110">
                  <c:v>3.9690480907422057</c:v>
                </c:pt>
                <c:pt idx="111">
                  <c:v>4.0149135531307758</c:v>
                </c:pt>
                <c:pt idx="112">
                  <c:v>4.0609565052631975</c:v>
                </c:pt>
                <c:pt idx="113">
                  <c:v>4.1071769471394717</c:v>
                </c:pt>
                <c:pt idx="114">
                  <c:v>4.1535748787596001</c:v>
                </c:pt>
                <c:pt idx="115">
                  <c:v>4.20015030012358</c:v>
                </c:pt>
                <c:pt idx="116">
                  <c:v>4.2469032112314125</c:v>
                </c:pt>
                <c:pt idx="117">
                  <c:v>4.2938336120830982</c:v>
                </c:pt>
                <c:pt idx="118">
                  <c:v>4.3409415026786373</c:v>
                </c:pt>
                <c:pt idx="119">
                  <c:v>4.3882268830180289</c:v>
                </c:pt>
                <c:pt idx="120">
                  <c:v>4.4356897531012729</c:v>
                </c:pt>
                <c:pt idx="121">
                  <c:v>4.4833301129283711</c:v>
                </c:pt>
                <c:pt idx="122">
                  <c:v>4.5311479624993201</c:v>
                </c:pt>
                <c:pt idx="123">
                  <c:v>4.5791433018141223</c:v>
                </c:pt>
                <c:pt idx="124">
                  <c:v>4.6273161308727779</c:v>
                </c:pt>
                <c:pt idx="125">
                  <c:v>4.6756664496752869</c:v>
                </c:pt>
                <c:pt idx="126">
                  <c:v>4.7241942582216474</c:v>
                </c:pt>
                <c:pt idx="127">
                  <c:v>4.7728995565118622</c:v>
                </c:pt>
                <c:pt idx="128">
                  <c:v>4.8217823445459285</c:v>
                </c:pt>
                <c:pt idx="129">
                  <c:v>4.8708426223238472</c:v>
                </c:pt>
                <c:pt idx="130">
                  <c:v>4.9200803898456194</c:v>
                </c:pt>
                <c:pt idx="131">
                  <c:v>4.9694956471112466</c:v>
                </c:pt>
                <c:pt idx="132">
                  <c:v>5.0190883941207236</c:v>
                </c:pt>
                <c:pt idx="133">
                  <c:v>5.068858630874054</c:v>
                </c:pt>
                <c:pt idx="134">
                  <c:v>5.1188063573712386</c:v>
                </c:pt>
                <c:pt idx="135">
                  <c:v>5.1689315736122747</c:v>
                </c:pt>
                <c:pt idx="136">
                  <c:v>5.2192342795971651</c:v>
                </c:pt>
                <c:pt idx="137">
                  <c:v>5.2697144753259062</c:v>
                </c:pt>
                <c:pt idx="138">
                  <c:v>5.3203721607985024</c:v>
                </c:pt>
                <c:pt idx="139">
                  <c:v>5.3712073360149493</c:v>
                </c:pt>
                <c:pt idx="140">
                  <c:v>5.4222200009752504</c:v>
                </c:pt>
                <c:pt idx="141">
                  <c:v>5.473410155679403</c:v>
                </c:pt>
                <c:pt idx="142">
                  <c:v>5.5247778001274082</c:v>
                </c:pt>
                <c:pt idx="143">
                  <c:v>5.5763229343192684</c:v>
                </c:pt>
                <c:pt idx="144">
                  <c:v>5.6280455582549793</c:v>
                </c:pt>
                <c:pt idx="145">
                  <c:v>5.6799456719345436</c:v>
                </c:pt>
                <c:pt idx="146">
                  <c:v>5.7320232753579621</c:v>
                </c:pt>
                <c:pt idx="147">
                  <c:v>5.7842783685252313</c:v>
                </c:pt>
                <c:pt idx="148">
                  <c:v>5.8367109514363538</c:v>
                </c:pt>
                <c:pt idx="149">
                  <c:v>5.8893210240913287</c:v>
                </c:pt>
                <c:pt idx="150">
                  <c:v>5.9421085864901597</c:v>
                </c:pt>
              </c:numCache>
            </c:numRef>
          </c:yVal>
          <c:smooth val="1"/>
          <c:extLst>
            <c:ext xmlns:c16="http://schemas.microsoft.com/office/drawing/2014/chart" uri="{C3380CC4-5D6E-409C-BE32-E72D297353CC}">
              <c16:uniqueId val="{00000001-EBB2-49C9-A014-1F538461E4EA}"/>
            </c:ext>
          </c:extLst>
        </c:ser>
        <c:ser>
          <c:idx val="2"/>
          <c:order val="2"/>
          <c:tx>
            <c:v>Diode</c:v>
          </c:tx>
          <c:spPr>
            <a:ln>
              <a:solidFill>
                <a:schemeClr val="bg2">
                  <a:lumMod val="50000"/>
                </a:schemeClr>
              </a:solidFill>
              <a:prstDash val="sysDash"/>
            </a:ln>
          </c:spPr>
          <c:marker>
            <c:symbol val="none"/>
          </c:marker>
          <c:xVal>
            <c:numRef>
              <c:f>Eff_vs_IOUT!$S$7:$S$157</c:f>
              <c:numCache>
                <c:formatCode>General</c:formatCode>
                <c:ptCount val="151"/>
                <c:pt idx="0">
                  <c:v>0</c:v>
                </c:pt>
                <c:pt idx="1">
                  <c:v>3.3999999999999996E-2</c:v>
                </c:pt>
                <c:pt idx="2">
                  <c:v>6.7999999999999991E-2</c:v>
                </c:pt>
                <c:pt idx="3">
                  <c:v>0.10199999999999998</c:v>
                </c:pt>
                <c:pt idx="4">
                  <c:v>0.13599999999999998</c:v>
                </c:pt>
                <c:pt idx="5">
                  <c:v>0.16999999999999998</c:v>
                </c:pt>
                <c:pt idx="6">
                  <c:v>0.20399999999999996</c:v>
                </c:pt>
                <c:pt idx="7">
                  <c:v>0.23799999999999996</c:v>
                </c:pt>
                <c:pt idx="8">
                  <c:v>0.27199999999999996</c:v>
                </c:pt>
                <c:pt idx="9">
                  <c:v>0.30599999999999994</c:v>
                </c:pt>
                <c:pt idx="10">
                  <c:v>0.33999999999999997</c:v>
                </c:pt>
                <c:pt idx="11">
                  <c:v>0.37399999999999994</c:v>
                </c:pt>
                <c:pt idx="12">
                  <c:v>0.40799999999999992</c:v>
                </c:pt>
                <c:pt idx="13">
                  <c:v>0.44199999999999995</c:v>
                </c:pt>
                <c:pt idx="14">
                  <c:v>0.47599999999999992</c:v>
                </c:pt>
                <c:pt idx="15">
                  <c:v>0.5099999999999999</c:v>
                </c:pt>
                <c:pt idx="16">
                  <c:v>0.54399999999999993</c:v>
                </c:pt>
                <c:pt idx="17">
                  <c:v>0.57799999999999996</c:v>
                </c:pt>
                <c:pt idx="18">
                  <c:v>0.61199999999999988</c:v>
                </c:pt>
                <c:pt idx="19">
                  <c:v>0.64599999999999991</c:v>
                </c:pt>
                <c:pt idx="20">
                  <c:v>0.67999999999999994</c:v>
                </c:pt>
                <c:pt idx="21">
                  <c:v>0.71399999999999986</c:v>
                </c:pt>
                <c:pt idx="22">
                  <c:v>0.74799999999999989</c:v>
                </c:pt>
                <c:pt idx="23">
                  <c:v>0.78199999999999992</c:v>
                </c:pt>
                <c:pt idx="24">
                  <c:v>0.81599999999999984</c:v>
                </c:pt>
                <c:pt idx="25">
                  <c:v>0.84999999999999987</c:v>
                </c:pt>
                <c:pt idx="26">
                  <c:v>0.8839999999999999</c:v>
                </c:pt>
                <c:pt idx="27">
                  <c:v>0.91799999999999993</c:v>
                </c:pt>
                <c:pt idx="28">
                  <c:v>0.95199999999999985</c:v>
                </c:pt>
                <c:pt idx="29">
                  <c:v>0.98599999999999988</c:v>
                </c:pt>
                <c:pt idx="30">
                  <c:v>1.0199999999999998</c:v>
                </c:pt>
                <c:pt idx="31">
                  <c:v>1.0539999999999998</c:v>
                </c:pt>
                <c:pt idx="32">
                  <c:v>1.0879999999999999</c:v>
                </c:pt>
                <c:pt idx="33">
                  <c:v>1.1219999999999999</c:v>
                </c:pt>
                <c:pt idx="34">
                  <c:v>1.1559999999999999</c:v>
                </c:pt>
                <c:pt idx="35">
                  <c:v>1.19</c:v>
                </c:pt>
                <c:pt idx="36">
                  <c:v>1.2239999999999998</c:v>
                </c:pt>
                <c:pt idx="37">
                  <c:v>1.2579999999999998</c:v>
                </c:pt>
                <c:pt idx="38">
                  <c:v>1.2919999999999998</c:v>
                </c:pt>
                <c:pt idx="39">
                  <c:v>1.3259999999999998</c:v>
                </c:pt>
                <c:pt idx="40">
                  <c:v>1.3599999999999999</c:v>
                </c:pt>
                <c:pt idx="41">
                  <c:v>1.3939999999999999</c:v>
                </c:pt>
                <c:pt idx="42">
                  <c:v>1.4279999999999997</c:v>
                </c:pt>
                <c:pt idx="43">
                  <c:v>1.4619999999999997</c:v>
                </c:pt>
                <c:pt idx="44">
                  <c:v>1.4959999999999998</c:v>
                </c:pt>
                <c:pt idx="45">
                  <c:v>1.5299999999999998</c:v>
                </c:pt>
                <c:pt idx="46">
                  <c:v>1.5639999999999998</c:v>
                </c:pt>
                <c:pt idx="47">
                  <c:v>1.5979999999999999</c:v>
                </c:pt>
                <c:pt idx="48">
                  <c:v>1.6319999999999997</c:v>
                </c:pt>
                <c:pt idx="49">
                  <c:v>1.6659999999999997</c:v>
                </c:pt>
                <c:pt idx="50">
                  <c:v>1.6999999999999997</c:v>
                </c:pt>
                <c:pt idx="51">
                  <c:v>1.7339999999999998</c:v>
                </c:pt>
                <c:pt idx="52">
                  <c:v>1.7679999999999998</c:v>
                </c:pt>
                <c:pt idx="53">
                  <c:v>1.8019999999999998</c:v>
                </c:pt>
                <c:pt idx="54">
                  <c:v>1.8359999999999999</c:v>
                </c:pt>
                <c:pt idx="55">
                  <c:v>1.8699999999999997</c:v>
                </c:pt>
                <c:pt idx="56">
                  <c:v>1.9039999999999997</c:v>
                </c:pt>
                <c:pt idx="57">
                  <c:v>1.9379999999999997</c:v>
                </c:pt>
                <c:pt idx="58">
                  <c:v>1.9719999999999998</c:v>
                </c:pt>
                <c:pt idx="59">
                  <c:v>2.0059999999999998</c:v>
                </c:pt>
                <c:pt idx="60">
                  <c:v>2.0399999999999996</c:v>
                </c:pt>
                <c:pt idx="61">
                  <c:v>2.0739999999999998</c:v>
                </c:pt>
                <c:pt idx="62">
                  <c:v>2.1079999999999997</c:v>
                </c:pt>
                <c:pt idx="63">
                  <c:v>2.1419999999999999</c:v>
                </c:pt>
                <c:pt idx="64">
                  <c:v>2.1759999999999997</c:v>
                </c:pt>
                <c:pt idx="65">
                  <c:v>2.2099999999999995</c:v>
                </c:pt>
                <c:pt idx="66">
                  <c:v>2.2439999999999998</c:v>
                </c:pt>
                <c:pt idx="67">
                  <c:v>2.2779999999999996</c:v>
                </c:pt>
                <c:pt idx="68">
                  <c:v>2.3119999999999998</c:v>
                </c:pt>
                <c:pt idx="69">
                  <c:v>2.3459999999999996</c:v>
                </c:pt>
                <c:pt idx="70">
                  <c:v>2.38</c:v>
                </c:pt>
                <c:pt idx="71">
                  <c:v>2.4139999999999997</c:v>
                </c:pt>
                <c:pt idx="72">
                  <c:v>2.4479999999999995</c:v>
                </c:pt>
                <c:pt idx="73">
                  <c:v>2.4819999999999998</c:v>
                </c:pt>
                <c:pt idx="74">
                  <c:v>2.5159999999999996</c:v>
                </c:pt>
                <c:pt idx="75">
                  <c:v>2.5499999999999998</c:v>
                </c:pt>
                <c:pt idx="76">
                  <c:v>2.5839999999999996</c:v>
                </c:pt>
                <c:pt idx="77">
                  <c:v>2.6179999999999994</c:v>
                </c:pt>
                <c:pt idx="78">
                  <c:v>2.6519999999999997</c:v>
                </c:pt>
                <c:pt idx="79">
                  <c:v>2.6859999999999995</c:v>
                </c:pt>
                <c:pt idx="80">
                  <c:v>2.7199999999999998</c:v>
                </c:pt>
                <c:pt idx="81">
                  <c:v>2.7539999999999996</c:v>
                </c:pt>
                <c:pt idx="82">
                  <c:v>2.7879999999999998</c:v>
                </c:pt>
                <c:pt idx="83">
                  <c:v>2.8219999999999996</c:v>
                </c:pt>
                <c:pt idx="84">
                  <c:v>2.8559999999999994</c:v>
                </c:pt>
                <c:pt idx="85">
                  <c:v>2.8899999999999997</c:v>
                </c:pt>
                <c:pt idx="86">
                  <c:v>2.9239999999999995</c:v>
                </c:pt>
                <c:pt idx="87">
                  <c:v>2.9579999999999997</c:v>
                </c:pt>
                <c:pt idx="88">
                  <c:v>2.9919999999999995</c:v>
                </c:pt>
                <c:pt idx="89">
                  <c:v>3.0259999999999998</c:v>
                </c:pt>
                <c:pt idx="90">
                  <c:v>3.0599999999999996</c:v>
                </c:pt>
                <c:pt idx="91">
                  <c:v>3.0939999999999994</c:v>
                </c:pt>
                <c:pt idx="92">
                  <c:v>3.1279999999999997</c:v>
                </c:pt>
                <c:pt idx="93">
                  <c:v>3.1619999999999995</c:v>
                </c:pt>
                <c:pt idx="94">
                  <c:v>3.1959999999999997</c:v>
                </c:pt>
                <c:pt idx="95">
                  <c:v>3.2299999999999995</c:v>
                </c:pt>
                <c:pt idx="96">
                  <c:v>3.2639999999999993</c:v>
                </c:pt>
                <c:pt idx="97">
                  <c:v>3.2979999999999996</c:v>
                </c:pt>
                <c:pt idx="98">
                  <c:v>3.3319999999999994</c:v>
                </c:pt>
                <c:pt idx="99">
                  <c:v>3.3659999999999997</c:v>
                </c:pt>
                <c:pt idx="100">
                  <c:v>3.3999999999999995</c:v>
                </c:pt>
                <c:pt idx="101">
                  <c:v>3.4339999999999997</c:v>
                </c:pt>
                <c:pt idx="102">
                  <c:v>3.4679999999999995</c:v>
                </c:pt>
                <c:pt idx="103">
                  <c:v>3.5019999999999993</c:v>
                </c:pt>
                <c:pt idx="104">
                  <c:v>3.5359999999999996</c:v>
                </c:pt>
                <c:pt idx="105">
                  <c:v>3.5699999999999994</c:v>
                </c:pt>
                <c:pt idx="106">
                  <c:v>3.6039999999999996</c:v>
                </c:pt>
                <c:pt idx="107">
                  <c:v>3.6379999999999995</c:v>
                </c:pt>
                <c:pt idx="108">
                  <c:v>3.6719999999999997</c:v>
                </c:pt>
                <c:pt idx="109">
                  <c:v>3.7059999999999995</c:v>
                </c:pt>
                <c:pt idx="110">
                  <c:v>3.7399999999999993</c:v>
                </c:pt>
                <c:pt idx="111">
                  <c:v>3.7739999999999996</c:v>
                </c:pt>
                <c:pt idx="112">
                  <c:v>3.8079999999999994</c:v>
                </c:pt>
                <c:pt idx="113">
                  <c:v>3.8419999999999996</c:v>
                </c:pt>
                <c:pt idx="114">
                  <c:v>3.8759999999999994</c:v>
                </c:pt>
                <c:pt idx="115">
                  <c:v>3.9099999999999997</c:v>
                </c:pt>
                <c:pt idx="116">
                  <c:v>3.9439999999999995</c:v>
                </c:pt>
                <c:pt idx="117">
                  <c:v>3.9779999999999993</c:v>
                </c:pt>
                <c:pt idx="118">
                  <c:v>4.0119999999999996</c:v>
                </c:pt>
                <c:pt idx="119">
                  <c:v>4.0459999999999994</c:v>
                </c:pt>
                <c:pt idx="120">
                  <c:v>4.0799999999999992</c:v>
                </c:pt>
                <c:pt idx="121">
                  <c:v>4.1139999999999999</c:v>
                </c:pt>
                <c:pt idx="122">
                  <c:v>4.1479999999999997</c:v>
                </c:pt>
                <c:pt idx="123">
                  <c:v>4.1819999999999995</c:v>
                </c:pt>
                <c:pt idx="124">
                  <c:v>4.2159999999999993</c:v>
                </c:pt>
                <c:pt idx="125">
                  <c:v>4.2499999999999991</c:v>
                </c:pt>
                <c:pt idx="126">
                  <c:v>4.2839999999999998</c:v>
                </c:pt>
                <c:pt idx="127">
                  <c:v>4.3179999999999996</c:v>
                </c:pt>
                <c:pt idx="128">
                  <c:v>4.3519999999999994</c:v>
                </c:pt>
                <c:pt idx="129">
                  <c:v>4.3859999999999992</c:v>
                </c:pt>
                <c:pt idx="130">
                  <c:v>4.419999999999999</c:v>
                </c:pt>
                <c:pt idx="131">
                  <c:v>4.4539999999999997</c:v>
                </c:pt>
                <c:pt idx="132">
                  <c:v>4.4879999999999995</c:v>
                </c:pt>
                <c:pt idx="133">
                  <c:v>4.5219999999999994</c:v>
                </c:pt>
                <c:pt idx="134">
                  <c:v>4.5559999999999992</c:v>
                </c:pt>
                <c:pt idx="135">
                  <c:v>4.589999999999999</c:v>
                </c:pt>
                <c:pt idx="136">
                  <c:v>4.6239999999999997</c:v>
                </c:pt>
                <c:pt idx="137">
                  <c:v>4.6579999999999995</c:v>
                </c:pt>
                <c:pt idx="138">
                  <c:v>4.6919999999999993</c:v>
                </c:pt>
                <c:pt idx="139">
                  <c:v>4.7259999999999991</c:v>
                </c:pt>
                <c:pt idx="140">
                  <c:v>4.76</c:v>
                </c:pt>
                <c:pt idx="141">
                  <c:v>4.7939999999999996</c:v>
                </c:pt>
                <c:pt idx="142">
                  <c:v>4.8279999999999994</c:v>
                </c:pt>
                <c:pt idx="143">
                  <c:v>4.8619999999999992</c:v>
                </c:pt>
                <c:pt idx="144">
                  <c:v>4.895999999999999</c:v>
                </c:pt>
                <c:pt idx="145">
                  <c:v>4.93</c:v>
                </c:pt>
                <c:pt idx="146">
                  <c:v>4.9639999999999995</c:v>
                </c:pt>
                <c:pt idx="147">
                  <c:v>4.9979999999999993</c:v>
                </c:pt>
                <c:pt idx="148">
                  <c:v>5.0319999999999991</c:v>
                </c:pt>
                <c:pt idx="149">
                  <c:v>5.0659999999999989</c:v>
                </c:pt>
                <c:pt idx="150">
                  <c:v>5.0999999999999996</c:v>
                </c:pt>
              </c:numCache>
            </c:numRef>
          </c:xVal>
          <c:yVal>
            <c:numRef>
              <c:f>Eff_vs_IOUT!$AN$7:$AN$157</c:f>
              <c:numCache>
                <c:formatCode>General</c:formatCode>
                <c:ptCount val="151"/>
                <c:pt idx="0">
                  <c:v>9.4760000000000011E-2</c:v>
                </c:pt>
                <c:pt idx="1">
                  <c:v>0.11108000000000001</c:v>
                </c:pt>
                <c:pt idx="2">
                  <c:v>0.12740000000000001</c:v>
                </c:pt>
                <c:pt idx="3">
                  <c:v>0.14372000000000001</c:v>
                </c:pt>
                <c:pt idx="4">
                  <c:v>0.16004000000000002</c:v>
                </c:pt>
                <c:pt idx="5">
                  <c:v>0.17636000000000002</c:v>
                </c:pt>
                <c:pt idx="6">
                  <c:v>0.19267999999999999</c:v>
                </c:pt>
                <c:pt idx="7">
                  <c:v>0.20899999999999999</c:v>
                </c:pt>
                <c:pt idx="8">
                  <c:v>0.22531999999999999</c:v>
                </c:pt>
                <c:pt idx="9">
                  <c:v>0.24163999999999997</c:v>
                </c:pt>
                <c:pt idx="10">
                  <c:v>0.25795999999999997</c:v>
                </c:pt>
                <c:pt idx="11">
                  <c:v>0.27427999999999997</c:v>
                </c:pt>
                <c:pt idx="12">
                  <c:v>0.29059999999999997</c:v>
                </c:pt>
                <c:pt idx="13">
                  <c:v>0.30691999999999997</c:v>
                </c:pt>
                <c:pt idx="14">
                  <c:v>0.32323999999999997</c:v>
                </c:pt>
                <c:pt idx="15">
                  <c:v>0.33955999999999997</c:v>
                </c:pt>
                <c:pt idx="16">
                  <c:v>0.35587999999999997</c:v>
                </c:pt>
                <c:pt idx="17">
                  <c:v>0.37219999999999998</c:v>
                </c:pt>
                <c:pt idx="18">
                  <c:v>0.38851999999999992</c:v>
                </c:pt>
                <c:pt idx="19">
                  <c:v>0.40483999999999998</c:v>
                </c:pt>
                <c:pt idx="20">
                  <c:v>0.42115999999999998</c:v>
                </c:pt>
                <c:pt idx="21">
                  <c:v>0.43747999999999992</c:v>
                </c:pt>
                <c:pt idx="22">
                  <c:v>0.45379999999999993</c:v>
                </c:pt>
                <c:pt idx="23">
                  <c:v>0.47011999999999998</c:v>
                </c:pt>
                <c:pt idx="24">
                  <c:v>0.48643999999999993</c:v>
                </c:pt>
                <c:pt idx="25">
                  <c:v>0.50275999999999987</c:v>
                </c:pt>
                <c:pt idx="26">
                  <c:v>0.51907999999999999</c:v>
                </c:pt>
                <c:pt idx="27">
                  <c:v>0.53539999999999999</c:v>
                </c:pt>
                <c:pt idx="28">
                  <c:v>0.55171999999999999</c:v>
                </c:pt>
                <c:pt idx="29">
                  <c:v>0.56803999999999988</c:v>
                </c:pt>
                <c:pt idx="30">
                  <c:v>0.58435999999999988</c:v>
                </c:pt>
                <c:pt idx="31">
                  <c:v>0.60067999999999988</c:v>
                </c:pt>
                <c:pt idx="32">
                  <c:v>0.61699999999999999</c:v>
                </c:pt>
                <c:pt idx="33">
                  <c:v>0.63331999999999988</c:v>
                </c:pt>
                <c:pt idx="34">
                  <c:v>0.64964</c:v>
                </c:pt>
                <c:pt idx="35">
                  <c:v>0.66595999999999989</c:v>
                </c:pt>
                <c:pt idx="36">
                  <c:v>0.68227999999999978</c:v>
                </c:pt>
                <c:pt idx="37">
                  <c:v>0.69859999999999989</c:v>
                </c:pt>
                <c:pt idx="38">
                  <c:v>0.71492</c:v>
                </c:pt>
                <c:pt idx="39">
                  <c:v>0.73123999999999989</c:v>
                </c:pt>
                <c:pt idx="40">
                  <c:v>0.74756</c:v>
                </c:pt>
                <c:pt idx="41">
                  <c:v>0.76387999999999989</c:v>
                </c:pt>
                <c:pt idx="42">
                  <c:v>0.78019999999999978</c:v>
                </c:pt>
                <c:pt idx="43">
                  <c:v>0.79651999999999989</c:v>
                </c:pt>
                <c:pt idx="44">
                  <c:v>0.81283999999999978</c:v>
                </c:pt>
                <c:pt idx="45">
                  <c:v>0.8291599999999999</c:v>
                </c:pt>
                <c:pt idx="46">
                  <c:v>0.84548000000000001</c:v>
                </c:pt>
                <c:pt idx="47">
                  <c:v>0.8617999999999999</c:v>
                </c:pt>
                <c:pt idx="48">
                  <c:v>0.87811999999999979</c:v>
                </c:pt>
                <c:pt idx="49">
                  <c:v>0.8944399999999999</c:v>
                </c:pt>
                <c:pt idx="50">
                  <c:v>0.91075999999999979</c:v>
                </c:pt>
                <c:pt idx="51">
                  <c:v>0.9270799999999999</c:v>
                </c:pt>
                <c:pt idx="52">
                  <c:v>0.94339999999999979</c:v>
                </c:pt>
                <c:pt idx="53">
                  <c:v>0.95971999999999991</c:v>
                </c:pt>
                <c:pt idx="54">
                  <c:v>0.97604000000000002</c:v>
                </c:pt>
                <c:pt idx="55">
                  <c:v>0.99235999999999991</c:v>
                </c:pt>
                <c:pt idx="56">
                  <c:v>1.0086799999999998</c:v>
                </c:pt>
                <c:pt idx="57">
                  <c:v>1.0249999999999999</c:v>
                </c:pt>
                <c:pt idx="58">
                  <c:v>1.0413199999999998</c:v>
                </c:pt>
                <c:pt idx="59">
                  <c:v>1.0576399999999999</c:v>
                </c:pt>
                <c:pt idx="60">
                  <c:v>1.0739599999999998</c:v>
                </c:pt>
                <c:pt idx="61">
                  <c:v>1.0902799999999999</c:v>
                </c:pt>
                <c:pt idx="62">
                  <c:v>1.1065999999999998</c:v>
                </c:pt>
                <c:pt idx="63">
                  <c:v>1.1229199999999999</c:v>
                </c:pt>
                <c:pt idx="64">
                  <c:v>1.1392399999999998</c:v>
                </c:pt>
                <c:pt idx="65">
                  <c:v>1.1555599999999997</c:v>
                </c:pt>
                <c:pt idx="66">
                  <c:v>1.1718799999999998</c:v>
                </c:pt>
                <c:pt idx="67">
                  <c:v>1.1881999999999997</c:v>
                </c:pt>
                <c:pt idx="68">
                  <c:v>1.2045199999999998</c:v>
                </c:pt>
                <c:pt idx="69">
                  <c:v>1.2208399999999997</c:v>
                </c:pt>
                <c:pt idx="70">
                  <c:v>1.2371599999999998</c:v>
                </c:pt>
                <c:pt idx="71">
                  <c:v>1.2534799999999997</c:v>
                </c:pt>
                <c:pt idx="72">
                  <c:v>1.2697999999999996</c:v>
                </c:pt>
                <c:pt idx="73">
                  <c:v>1.2861199999999997</c:v>
                </c:pt>
                <c:pt idx="74">
                  <c:v>1.3024399999999996</c:v>
                </c:pt>
                <c:pt idx="75">
                  <c:v>1.3187599999999999</c:v>
                </c:pt>
                <c:pt idx="76">
                  <c:v>1.3350799999999998</c:v>
                </c:pt>
                <c:pt idx="77">
                  <c:v>1.3513999999999997</c:v>
                </c:pt>
                <c:pt idx="78">
                  <c:v>1.3677199999999998</c:v>
                </c:pt>
                <c:pt idx="79">
                  <c:v>1.3840399999999997</c:v>
                </c:pt>
                <c:pt idx="80">
                  <c:v>1.4003599999999998</c:v>
                </c:pt>
                <c:pt idx="81">
                  <c:v>1.4166799999999997</c:v>
                </c:pt>
                <c:pt idx="82">
                  <c:v>1.4329999999999998</c:v>
                </c:pt>
                <c:pt idx="83">
                  <c:v>1.4493199999999997</c:v>
                </c:pt>
                <c:pt idx="84">
                  <c:v>1.4656399999999996</c:v>
                </c:pt>
                <c:pt idx="85">
                  <c:v>1.4819599999999997</c:v>
                </c:pt>
                <c:pt idx="86">
                  <c:v>1.4982799999999996</c:v>
                </c:pt>
                <c:pt idx="87">
                  <c:v>1.5145999999999997</c:v>
                </c:pt>
                <c:pt idx="88">
                  <c:v>1.5309199999999996</c:v>
                </c:pt>
                <c:pt idx="89">
                  <c:v>1.5472399999999997</c:v>
                </c:pt>
                <c:pt idx="90">
                  <c:v>1.5635599999999996</c:v>
                </c:pt>
                <c:pt idx="91">
                  <c:v>1.5798799999999997</c:v>
                </c:pt>
                <c:pt idx="92">
                  <c:v>1.5961999999999998</c:v>
                </c:pt>
                <c:pt idx="93">
                  <c:v>1.6125199999999997</c:v>
                </c:pt>
                <c:pt idx="94">
                  <c:v>1.6288399999999998</c:v>
                </c:pt>
                <c:pt idx="95">
                  <c:v>1.6451599999999997</c:v>
                </c:pt>
                <c:pt idx="96">
                  <c:v>1.6614799999999996</c:v>
                </c:pt>
                <c:pt idx="97">
                  <c:v>1.6777999999999997</c:v>
                </c:pt>
                <c:pt idx="98">
                  <c:v>1.6941199999999996</c:v>
                </c:pt>
                <c:pt idx="99">
                  <c:v>1.7104399999999997</c:v>
                </c:pt>
                <c:pt idx="100">
                  <c:v>1.7267599999999996</c:v>
                </c:pt>
                <c:pt idx="101">
                  <c:v>1.7430799999999997</c:v>
                </c:pt>
                <c:pt idx="102">
                  <c:v>1.7593999999999996</c:v>
                </c:pt>
                <c:pt idx="103">
                  <c:v>1.7757199999999995</c:v>
                </c:pt>
                <c:pt idx="104">
                  <c:v>1.7920399999999996</c:v>
                </c:pt>
                <c:pt idx="105">
                  <c:v>1.8083599999999995</c:v>
                </c:pt>
                <c:pt idx="106">
                  <c:v>1.8246799999999996</c:v>
                </c:pt>
                <c:pt idx="107">
                  <c:v>1.8409999999999995</c:v>
                </c:pt>
                <c:pt idx="108">
                  <c:v>1.8573199999999999</c:v>
                </c:pt>
                <c:pt idx="109">
                  <c:v>1.8736399999999998</c:v>
                </c:pt>
                <c:pt idx="110">
                  <c:v>1.8899599999999996</c:v>
                </c:pt>
                <c:pt idx="111">
                  <c:v>1.9062799999999998</c:v>
                </c:pt>
                <c:pt idx="112">
                  <c:v>1.9225999999999996</c:v>
                </c:pt>
                <c:pt idx="113">
                  <c:v>1.9389199999999998</c:v>
                </c:pt>
                <c:pt idx="114">
                  <c:v>1.9552399999999996</c:v>
                </c:pt>
                <c:pt idx="115">
                  <c:v>1.9715599999999998</c:v>
                </c:pt>
                <c:pt idx="116">
                  <c:v>1.9878799999999996</c:v>
                </c:pt>
                <c:pt idx="117">
                  <c:v>2.0041999999999995</c:v>
                </c:pt>
                <c:pt idx="118">
                  <c:v>2.0205199999999999</c:v>
                </c:pt>
                <c:pt idx="119">
                  <c:v>2.0368399999999998</c:v>
                </c:pt>
                <c:pt idx="120">
                  <c:v>2.0531599999999997</c:v>
                </c:pt>
                <c:pt idx="121">
                  <c:v>2.06948</c:v>
                </c:pt>
                <c:pt idx="122">
                  <c:v>2.0857999999999999</c:v>
                </c:pt>
                <c:pt idx="123">
                  <c:v>2.1021199999999998</c:v>
                </c:pt>
                <c:pt idx="124">
                  <c:v>2.1184399999999997</c:v>
                </c:pt>
                <c:pt idx="125">
                  <c:v>2.1347599999999995</c:v>
                </c:pt>
                <c:pt idx="126">
                  <c:v>2.1510799999999999</c:v>
                </c:pt>
                <c:pt idx="127">
                  <c:v>2.1673999999999998</c:v>
                </c:pt>
                <c:pt idx="128">
                  <c:v>2.1837199999999997</c:v>
                </c:pt>
                <c:pt idx="129">
                  <c:v>2.2000399999999996</c:v>
                </c:pt>
                <c:pt idx="130">
                  <c:v>2.2163599999999994</c:v>
                </c:pt>
                <c:pt idx="131">
                  <c:v>2.2326799999999998</c:v>
                </c:pt>
                <c:pt idx="132">
                  <c:v>2.2489999999999997</c:v>
                </c:pt>
                <c:pt idx="133">
                  <c:v>2.2653199999999996</c:v>
                </c:pt>
                <c:pt idx="134">
                  <c:v>2.2816399999999994</c:v>
                </c:pt>
                <c:pt idx="135">
                  <c:v>2.2979599999999993</c:v>
                </c:pt>
                <c:pt idx="136">
                  <c:v>2.3142799999999997</c:v>
                </c:pt>
                <c:pt idx="137">
                  <c:v>2.3305999999999996</c:v>
                </c:pt>
                <c:pt idx="138">
                  <c:v>2.3469199999999995</c:v>
                </c:pt>
                <c:pt idx="139">
                  <c:v>2.3632399999999993</c:v>
                </c:pt>
                <c:pt idx="140">
                  <c:v>2.3795599999999997</c:v>
                </c:pt>
                <c:pt idx="141">
                  <c:v>2.3958799999999996</c:v>
                </c:pt>
                <c:pt idx="142">
                  <c:v>2.4121999999999995</c:v>
                </c:pt>
                <c:pt idx="143">
                  <c:v>2.4285199999999993</c:v>
                </c:pt>
                <c:pt idx="144">
                  <c:v>2.4448399999999992</c:v>
                </c:pt>
                <c:pt idx="145">
                  <c:v>2.4611599999999996</c:v>
                </c:pt>
                <c:pt idx="146">
                  <c:v>2.4774799999999995</c:v>
                </c:pt>
                <c:pt idx="147">
                  <c:v>2.4937999999999994</c:v>
                </c:pt>
                <c:pt idx="148">
                  <c:v>2.5101199999999992</c:v>
                </c:pt>
                <c:pt idx="149">
                  <c:v>2.5264399999999996</c:v>
                </c:pt>
                <c:pt idx="150">
                  <c:v>2.5427599999999999</c:v>
                </c:pt>
              </c:numCache>
            </c:numRef>
          </c:yVal>
          <c:smooth val="1"/>
          <c:extLst>
            <c:ext xmlns:c16="http://schemas.microsoft.com/office/drawing/2014/chart" uri="{C3380CC4-5D6E-409C-BE32-E72D297353CC}">
              <c16:uniqueId val="{00000002-EBB2-49C9-A014-1F538461E4EA}"/>
            </c:ext>
          </c:extLst>
        </c:ser>
        <c:ser>
          <c:idx val="3"/>
          <c:order val="3"/>
          <c:tx>
            <c:v>RCS</c:v>
          </c:tx>
          <c:spPr>
            <a:ln>
              <a:solidFill>
                <a:schemeClr val="accent5">
                  <a:lumMod val="75000"/>
                </a:schemeClr>
              </a:solidFill>
              <a:prstDash val="lgDashDotDot"/>
            </a:ln>
          </c:spPr>
          <c:marker>
            <c:symbol val="none"/>
          </c:marker>
          <c:xVal>
            <c:numRef>
              <c:f>Eff_vs_IOUT!$S$7:$S$157</c:f>
              <c:numCache>
                <c:formatCode>General</c:formatCode>
                <c:ptCount val="151"/>
                <c:pt idx="0">
                  <c:v>0</c:v>
                </c:pt>
                <c:pt idx="1">
                  <c:v>3.3999999999999996E-2</c:v>
                </c:pt>
                <c:pt idx="2">
                  <c:v>6.7999999999999991E-2</c:v>
                </c:pt>
                <c:pt idx="3">
                  <c:v>0.10199999999999998</c:v>
                </c:pt>
                <c:pt idx="4">
                  <c:v>0.13599999999999998</c:v>
                </c:pt>
                <c:pt idx="5">
                  <c:v>0.16999999999999998</c:v>
                </c:pt>
                <c:pt idx="6">
                  <c:v>0.20399999999999996</c:v>
                </c:pt>
                <c:pt idx="7">
                  <c:v>0.23799999999999996</c:v>
                </c:pt>
                <c:pt idx="8">
                  <c:v>0.27199999999999996</c:v>
                </c:pt>
                <c:pt idx="9">
                  <c:v>0.30599999999999994</c:v>
                </c:pt>
                <c:pt idx="10">
                  <c:v>0.33999999999999997</c:v>
                </c:pt>
                <c:pt idx="11">
                  <c:v>0.37399999999999994</c:v>
                </c:pt>
                <c:pt idx="12">
                  <c:v>0.40799999999999992</c:v>
                </c:pt>
                <c:pt idx="13">
                  <c:v>0.44199999999999995</c:v>
                </c:pt>
                <c:pt idx="14">
                  <c:v>0.47599999999999992</c:v>
                </c:pt>
                <c:pt idx="15">
                  <c:v>0.5099999999999999</c:v>
                </c:pt>
                <c:pt idx="16">
                  <c:v>0.54399999999999993</c:v>
                </c:pt>
                <c:pt idx="17">
                  <c:v>0.57799999999999996</c:v>
                </c:pt>
                <c:pt idx="18">
                  <c:v>0.61199999999999988</c:v>
                </c:pt>
                <c:pt idx="19">
                  <c:v>0.64599999999999991</c:v>
                </c:pt>
                <c:pt idx="20">
                  <c:v>0.67999999999999994</c:v>
                </c:pt>
                <c:pt idx="21">
                  <c:v>0.71399999999999986</c:v>
                </c:pt>
                <c:pt idx="22">
                  <c:v>0.74799999999999989</c:v>
                </c:pt>
                <c:pt idx="23">
                  <c:v>0.78199999999999992</c:v>
                </c:pt>
                <c:pt idx="24">
                  <c:v>0.81599999999999984</c:v>
                </c:pt>
                <c:pt idx="25">
                  <c:v>0.84999999999999987</c:v>
                </c:pt>
                <c:pt idx="26">
                  <c:v>0.8839999999999999</c:v>
                </c:pt>
                <c:pt idx="27">
                  <c:v>0.91799999999999993</c:v>
                </c:pt>
                <c:pt idx="28">
                  <c:v>0.95199999999999985</c:v>
                </c:pt>
                <c:pt idx="29">
                  <c:v>0.98599999999999988</c:v>
                </c:pt>
                <c:pt idx="30">
                  <c:v>1.0199999999999998</c:v>
                </c:pt>
                <c:pt idx="31">
                  <c:v>1.0539999999999998</c:v>
                </c:pt>
                <c:pt idx="32">
                  <c:v>1.0879999999999999</c:v>
                </c:pt>
                <c:pt idx="33">
                  <c:v>1.1219999999999999</c:v>
                </c:pt>
                <c:pt idx="34">
                  <c:v>1.1559999999999999</c:v>
                </c:pt>
                <c:pt idx="35">
                  <c:v>1.19</c:v>
                </c:pt>
                <c:pt idx="36">
                  <c:v>1.2239999999999998</c:v>
                </c:pt>
                <c:pt idx="37">
                  <c:v>1.2579999999999998</c:v>
                </c:pt>
                <c:pt idx="38">
                  <c:v>1.2919999999999998</c:v>
                </c:pt>
                <c:pt idx="39">
                  <c:v>1.3259999999999998</c:v>
                </c:pt>
                <c:pt idx="40">
                  <c:v>1.3599999999999999</c:v>
                </c:pt>
                <c:pt idx="41">
                  <c:v>1.3939999999999999</c:v>
                </c:pt>
                <c:pt idx="42">
                  <c:v>1.4279999999999997</c:v>
                </c:pt>
                <c:pt idx="43">
                  <c:v>1.4619999999999997</c:v>
                </c:pt>
                <c:pt idx="44">
                  <c:v>1.4959999999999998</c:v>
                </c:pt>
                <c:pt idx="45">
                  <c:v>1.5299999999999998</c:v>
                </c:pt>
                <c:pt idx="46">
                  <c:v>1.5639999999999998</c:v>
                </c:pt>
                <c:pt idx="47">
                  <c:v>1.5979999999999999</c:v>
                </c:pt>
                <c:pt idx="48">
                  <c:v>1.6319999999999997</c:v>
                </c:pt>
                <c:pt idx="49">
                  <c:v>1.6659999999999997</c:v>
                </c:pt>
                <c:pt idx="50">
                  <c:v>1.6999999999999997</c:v>
                </c:pt>
                <c:pt idx="51">
                  <c:v>1.7339999999999998</c:v>
                </c:pt>
                <c:pt idx="52">
                  <c:v>1.7679999999999998</c:v>
                </c:pt>
                <c:pt idx="53">
                  <c:v>1.8019999999999998</c:v>
                </c:pt>
                <c:pt idx="54">
                  <c:v>1.8359999999999999</c:v>
                </c:pt>
                <c:pt idx="55">
                  <c:v>1.8699999999999997</c:v>
                </c:pt>
                <c:pt idx="56">
                  <c:v>1.9039999999999997</c:v>
                </c:pt>
                <c:pt idx="57">
                  <c:v>1.9379999999999997</c:v>
                </c:pt>
                <c:pt idx="58">
                  <c:v>1.9719999999999998</c:v>
                </c:pt>
                <c:pt idx="59">
                  <c:v>2.0059999999999998</c:v>
                </c:pt>
                <c:pt idx="60">
                  <c:v>2.0399999999999996</c:v>
                </c:pt>
                <c:pt idx="61">
                  <c:v>2.0739999999999998</c:v>
                </c:pt>
                <c:pt idx="62">
                  <c:v>2.1079999999999997</c:v>
                </c:pt>
                <c:pt idx="63">
                  <c:v>2.1419999999999999</c:v>
                </c:pt>
                <c:pt idx="64">
                  <c:v>2.1759999999999997</c:v>
                </c:pt>
                <c:pt idx="65">
                  <c:v>2.2099999999999995</c:v>
                </c:pt>
                <c:pt idx="66">
                  <c:v>2.2439999999999998</c:v>
                </c:pt>
                <c:pt idx="67">
                  <c:v>2.2779999999999996</c:v>
                </c:pt>
                <c:pt idx="68">
                  <c:v>2.3119999999999998</c:v>
                </c:pt>
                <c:pt idx="69">
                  <c:v>2.3459999999999996</c:v>
                </c:pt>
                <c:pt idx="70">
                  <c:v>2.38</c:v>
                </c:pt>
                <c:pt idx="71">
                  <c:v>2.4139999999999997</c:v>
                </c:pt>
                <c:pt idx="72">
                  <c:v>2.4479999999999995</c:v>
                </c:pt>
                <c:pt idx="73">
                  <c:v>2.4819999999999998</c:v>
                </c:pt>
                <c:pt idx="74">
                  <c:v>2.5159999999999996</c:v>
                </c:pt>
                <c:pt idx="75">
                  <c:v>2.5499999999999998</c:v>
                </c:pt>
                <c:pt idx="76">
                  <c:v>2.5839999999999996</c:v>
                </c:pt>
                <c:pt idx="77">
                  <c:v>2.6179999999999994</c:v>
                </c:pt>
                <c:pt idx="78">
                  <c:v>2.6519999999999997</c:v>
                </c:pt>
                <c:pt idx="79">
                  <c:v>2.6859999999999995</c:v>
                </c:pt>
                <c:pt idx="80">
                  <c:v>2.7199999999999998</c:v>
                </c:pt>
                <c:pt idx="81">
                  <c:v>2.7539999999999996</c:v>
                </c:pt>
                <c:pt idx="82">
                  <c:v>2.7879999999999998</c:v>
                </c:pt>
                <c:pt idx="83">
                  <c:v>2.8219999999999996</c:v>
                </c:pt>
                <c:pt idx="84">
                  <c:v>2.8559999999999994</c:v>
                </c:pt>
                <c:pt idx="85">
                  <c:v>2.8899999999999997</c:v>
                </c:pt>
                <c:pt idx="86">
                  <c:v>2.9239999999999995</c:v>
                </c:pt>
                <c:pt idx="87">
                  <c:v>2.9579999999999997</c:v>
                </c:pt>
                <c:pt idx="88">
                  <c:v>2.9919999999999995</c:v>
                </c:pt>
                <c:pt idx="89">
                  <c:v>3.0259999999999998</c:v>
                </c:pt>
                <c:pt idx="90">
                  <c:v>3.0599999999999996</c:v>
                </c:pt>
                <c:pt idx="91">
                  <c:v>3.0939999999999994</c:v>
                </c:pt>
                <c:pt idx="92">
                  <c:v>3.1279999999999997</c:v>
                </c:pt>
                <c:pt idx="93">
                  <c:v>3.1619999999999995</c:v>
                </c:pt>
                <c:pt idx="94">
                  <c:v>3.1959999999999997</c:v>
                </c:pt>
                <c:pt idx="95">
                  <c:v>3.2299999999999995</c:v>
                </c:pt>
                <c:pt idx="96">
                  <c:v>3.2639999999999993</c:v>
                </c:pt>
                <c:pt idx="97">
                  <c:v>3.2979999999999996</c:v>
                </c:pt>
                <c:pt idx="98">
                  <c:v>3.3319999999999994</c:v>
                </c:pt>
                <c:pt idx="99">
                  <c:v>3.3659999999999997</c:v>
                </c:pt>
                <c:pt idx="100">
                  <c:v>3.3999999999999995</c:v>
                </c:pt>
                <c:pt idx="101">
                  <c:v>3.4339999999999997</c:v>
                </c:pt>
                <c:pt idx="102">
                  <c:v>3.4679999999999995</c:v>
                </c:pt>
                <c:pt idx="103">
                  <c:v>3.5019999999999993</c:v>
                </c:pt>
                <c:pt idx="104">
                  <c:v>3.5359999999999996</c:v>
                </c:pt>
                <c:pt idx="105">
                  <c:v>3.5699999999999994</c:v>
                </c:pt>
                <c:pt idx="106">
                  <c:v>3.6039999999999996</c:v>
                </c:pt>
                <c:pt idx="107">
                  <c:v>3.6379999999999995</c:v>
                </c:pt>
                <c:pt idx="108">
                  <c:v>3.6719999999999997</c:v>
                </c:pt>
                <c:pt idx="109">
                  <c:v>3.7059999999999995</c:v>
                </c:pt>
                <c:pt idx="110">
                  <c:v>3.7399999999999993</c:v>
                </c:pt>
                <c:pt idx="111">
                  <c:v>3.7739999999999996</c:v>
                </c:pt>
                <c:pt idx="112">
                  <c:v>3.8079999999999994</c:v>
                </c:pt>
                <c:pt idx="113">
                  <c:v>3.8419999999999996</c:v>
                </c:pt>
                <c:pt idx="114">
                  <c:v>3.8759999999999994</c:v>
                </c:pt>
                <c:pt idx="115">
                  <c:v>3.9099999999999997</c:v>
                </c:pt>
                <c:pt idx="116">
                  <c:v>3.9439999999999995</c:v>
                </c:pt>
                <c:pt idx="117">
                  <c:v>3.9779999999999993</c:v>
                </c:pt>
                <c:pt idx="118">
                  <c:v>4.0119999999999996</c:v>
                </c:pt>
                <c:pt idx="119">
                  <c:v>4.0459999999999994</c:v>
                </c:pt>
                <c:pt idx="120">
                  <c:v>4.0799999999999992</c:v>
                </c:pt>
                <c:pt idx="121">
                  <c:v>4.1139999999999999</c:v>
                </c:pt>
                <c:pt idx="122">
                  <c:v>4.1479999999999997</c:v>
                </c:pt>
                <c:pt idx="123">
                  <c:v>4.1819999999999995</c:v>
                </c:pt>
                <c:pt idx="124">
                  <c:v>4.2159999999999993</c:v>
                </c:pt>
                <c:pt idx="125">
                  <c:v>4.2499999999999991</c:v>
                </c:pt>
                <c:pt idx="126">
                  <c:v>4.2839999999999998</c:v>
                </c:pt>
                <c:pt idx="127">
                  <c:v>4.3179999999999996</c:v>
                </c:pt>
                <c:pt idx="128">
                  <c:v>4.3519999999999994</c:v>
                </c:pt>
                <c:pt idx="129">
                  <c:v>4.3859999999999992</c:v>
                </c:pt>
                <c:pt idx="130">
                  <c:v>4.419999999999999</c:v>
                </c:pt>
                <c:pt idx="131">
                  <c:v>4.4539999999999997</c:v>
                </c:pt>
                <c:pt idx="132">
                  <c:v>4.4879999999999995</c:v>
                </c:pt>
                <c:pt idx="133">
                  <c:v>4.5219999999999994</c:v>
                </c:pt>
                <c:pt idx="134">
                  <c:v>4.5559999999999992</c:v>
                </c:pt>
                <c:pt idx="135">
                  <c:v>4.589999999999999</c:v>
                </c:pt>
                <c:pt idx="136">
                  <c:v>4.6239999999999997</c:v>
                </c:pt>
                <c:pt idx="137">
                  <c:v>4.6579999999999995</c:v>
                </c:pt>
                <c:pt idx="138">
                  <c:v>4.6919999999999993</c:v>
                </c:pt>
                <c:pt idx="139">
                  <c:v>4.7259999999999991</c:v>
                </c:pt>
                <c:pt idx="140">
                  <c:v>4.76</c:v>
                </c:pt>
                <c:pt idx="141">
                  <c:v>4.7939999999999996</c:v>
                </c:pt>
                <c:pt idx="142">
                  <c:v>4.8279999999999994</c:v>
                </c:pt>
                <c:pt idx="143">
                  <c:v>4.8619999999999992</c:v>
                </c:pt>
                <c:pt idx="144">
                  <c:v>4.895999999999999</c:v>
                </c:pt>
                <c:pt idx="145">
                  <c:v>4.93</c:v>
                </c:pt>
                <c:pt idx="146">
                  <c:v>4.9639999999999995</c:v>
                </c:pt>
                <c:pt idx="147">
                  <c:v>4.9979999999999993</c:v>
                </c:pt>
                <c:pt idx="148">
                  <c:v>5.0319999999999991</c:v>
                </c:pt>
                <c:pt idx="149">
                  <c:v>5.0659999999999989</c:v>
                </c:pt>
                <c:pt idx="150">
                  <c:v>5.0999999999999996</c:v>
                </c:pt>
              </c:numCache>
            </c:numRef>
          </c:xVal>
          <c:yVal>
            <c:numRef>
              <c:f>Eff_vs_IOUT!$AO$7:$AO$157</c:f>
              <c:numCache>
                <c:formatCode>General</c:formatCode>
                <c:ptCount val="151"/>
                <c:pt idx="0">
                  <c:v>0</c:v>
                </c:pt>
                <c:pt idx="1">
                  <c:v>2.6223194496225957E-4</c:v>
                </c:pt>
                <c:pt idx="2">
                  <c:v>7.4170394610620556E-4</c:v>
                </c:pt>
                <c:pt idx="3">
                  <c:v>1.3625971561267178E-3</c:v>
                </c:pt>
                <c:pt idx="4">
                  <c:v>2.0978555596980778E-3</c:v>
                </c:pt>
                <c:pt idx="5">
                  <c:v>2.9318422740379807E-3</c:v>
                </c:pt>
                <c:pt idx="6">
                  <c:v>3.8540067564908293E-3</c:v>
                </c:pt>
                <c:pt idx="7">
                  <c:v>4.8566035853084121E-3</c:v>
                </c:pt>
                <c:pt idx="8">
                  <c:v>5.9336315688496436E-3</c:v>
                </c:pt>
                <c:pt idx="9">
                  <c:v>7.0802625139810118E-3</c:v>
                </c:pt>
                <c:pt idx="10">
                  <c:v>8.2925022133665781E-3</c:v>
                </c:pt>
                <c:pt idx="11">
                  <c:v>9.5669746643343798E-3</c:v>
                </c:pt>
                <c:pt idx="12">
                  <c:v>1.0900777249013746E-2</c:v>
                </c:pt>
                <c:pt idx="13">
                  <c:v>1.2291379407139012E-2</c:v>
                </c:pt>
                <c:pt idx="14">
                  <c:v>1.3736549314825909E-2</c:v>
                </c:pt>
                <c:pt idx="15">
                  <c:v>1.5234299335236181E-2</c:v>
                </c:pt>
                <c:pt idx="16">
                  <c:v>1.6782844477584612E-2</c:v>
                </c:pt>
                <c:pt idx="17">
                  <c:v>1.8380570127339409E-2</c:v>
                </c:pt>
                <c:pt idx="18">
                  <c:v>2.3592686559893213E-2</c:v>
                </c:pt>
                <c:pt idx="19">
                  <c:v>2.5734138904204281E-2</c:v>
                </c:pt>
                <c:pt idx="20">
                  <c:v>2.7991345429288939E-2</c:v>
                </c:pt>
                <c:pt idx="21">
                  <c:v>3.0364306135147134E-2</c:v>
                </c:pt>
                <c:pt idx="22">
                  <c:v>3.2853021021778943E-2</c:v>
                </c:pt>
                <c:pt idx="23">
                  <c:v>3.5457490089184272E-2</c:v>
                </c:pt>
                <c:pt idx="24">
                  <c:v>3.8177713337363216E-2</c:v>
                </c:pt>
                <c:pt idx="25">
                  <c:v>4.1013690766315711E-2</c:v>
                </c:pt>
                <c:pt idx="26">
                  <c:v>4.3965422376041771E-2</c:v>
                </c:pt>
                <c:pt idx="27">
                  <c:v>4.7032908166541425E-2</c:v>
                </c:pt>
                <c:pt idx="28">
                  <c:v>5.0216148137814602E-2</c:v>
                </c:pt>
                <c:pt idx="29">
                  <c:v>5.35151422898614E-2</c:v>
                </c:pt>
                <c:pt idx="30">
                  <c:v>5.692989062268175E-2</c:v>
                </c:pt>
                <c:pt idx="31">
                  <c:v>6.0460393136275693E-2</c:v>
                </c:pt>
                <c:pt idx="32">
                  <c:v>6.4106649830643209E-2</c:v>
                </c:pt>
                <c:pt idx="33">
                  <c:v>6.7868660705784234E-2</c:v>
                </c:pt>
                <c:pt idx="34">
                  <c:v>7.1746425761698887E-2</c:v>
                </c:pt>
                <c:pt idx="35">
                  <c:v>7.5739944998387099E-2</c:v>
                </c:pt>
                <c:pt idx="36">
                  <c:v>7.9849218415848869E-2</c:v>
                </c:pt>
                <c:pt idx="37">
                  <c:v>8.4074246014084211E-2</c:v>
                </c:pt>
                <c:pt idx="38">
                  <c:v>8.8415027793093182E-2</c:v>
                </c:pt>
                <c:pt idx="39">
                  <c:v>9.287156375287571E-2</c:v>
                </c:pt>
                <c:pt idx="40">
                  <c:v>9.7443853893431728E-2</c:v>
                </c:pt>
                <c:pt idx="41">
                  <c:v>0.10213189821476143</c:v>
                </c:pt>
                <c:pt idx="42">
                  <c:v>0.10693569671686452</c:v>
                </c:pt>
                <c:pt idx="43">
                  <c:v>0.11185524939974138</c:v>
                </c:pt>
                <c:pt idx="44">
                  <c:v>0.11689055626339169</c:v>
                </c:pt>
                <c:pt idx="45">
                  <c:v>0.12204161730781565</c:v>
                </c:pt>
                <c:pt idx="46">
                  <c:v>0.12730843253301305</c:v>
                </c:pt>
                <c:pt idx="47">
                  <c:v>0.1326910019389842</c:v>
                </c:pt>
                <c:pt idx="48">
                  <c:v>0.1381893255257288</c:v>
                </c:pt>
                <c:pt idx="49">
                  <c:v>0.14380340329324706</c:v>
                </c:pt>
                <c:pt idx="50">
                  <c:v>0.14953323524153875</c:v>
                </c:pt>
                <c:pt idx="51">
                  <c:v>0.15537882137060419</c:v>
                </c:pt>
                <c:pt idx="52">
                  <c:v>0.16134016168044307</c:v>
                </c:pt>
                <c:pt idx="53">
                  <c:v>0.16741725617105563</c:v>
                </c:pt>
                <c:pt idx="54">
                  <c:v>0.17361010484244171</c:v>
                </c:pt>
                <c:pt idx="55">
                  <c:v>0.1799187076946013</c:v>
                </c:pt>
                <c:pt idx="56">
                  <c:v>0.18634306472753448</c:v>
                </c:pt>
                <c:pt idx="57">
                  <c:v>0.19288317594124132</c:v>
                </c:pt>
                <c:pt idx="58">
                  <c:v>0.19953904133572159</c:v>
                </c:pt>
                <c:pt idx="59">
                  <c:v>0.20631066091097552</c:v>
                </c:pt>
                <c:pt idx="60">
                  <c:v>0.21319803466700293</c:v>
                </c:pt>
                <c:pt idx="61">
                  <c:v>0.22020116260380415</c:v>
                </c:pt>
                <c:pt idx="62">
                  <c:v>0.22732004472137879</c:v>
                </c:pt>
                <c:pt idx="63">
                  <c:v>0.2345546810197269</c:v>
                </c:pt>
                <c:pt idx="64">
                  <c:v>0.24190507149884879</c:v>
                </c:pt>
                <c:pt idx="65">
                  <c:v>0.24937121615874411</c:v>
                </c:pt>
                <c:pt idx="66">
                  <c:v>0.25695311499941303</c:v>
                </c:pt>
                <c:pt idx="67">
                  <c:v>0.26465076802085541</c:v>
                </c:pt>
                <c:pt idx="68">
                  <c:v>0.27246417522307159</c:v>
                </c:pt>
                <c:pt idx="69">
                  <c:v>0.28039333660606119</c:v>
                </c:pt>
                <c:pt idx="70">
                  <c:v>0.28843825216982438</c:v>
                </c:pt>
                <c:pt idx="71">
                  <c:v>0.29659892191436116</c:v>
                </c:pt>
                <c:pt idx="72">
                  <c:v>0.30487534583967152</c:v>
                </c:pt>
                <c:pt idx="73">
                  <c:v>0.31326752394575552</c:v>
                </c:pt>
                <c:pt idx="74">
                  <c:v>0.321775456232613</c:v>
                </c:pt>
                <c:pt idx="75">
                  <c:v>0.33039914270024412</c:v>
                </c:pt>
                <c:pt idx="76">
                  <c:v>0.3391385833486486</c:v>
                </c:pt>
                <c:pt idx="77">
                  <c:v>0.34799377817782673</c:v>
                </c:pt>
                <c:pt idx="78">
                  <c:v>0.35696472718777861</c:v>
                </c:pt>
                <c:pt idx="79">
                  <c:v>0.36605143037850391</c:v>
                </c:pt>
                <c:pt idx="80">
                  <c:v>0.37525388775000285</c:v>
                </c:pt>
                <c:pt idx="81">
                  <c:v>0.38457209930227526</c:v>
                </c:pt>
                <c:pt idx="82">
                  <c:v>0.39400606503532148</c:v>
                </c:pt>
                <c:pt idx="83">
                  <c:v>0.40355578494914107</c:v>
                </c:pt>
                <c:pt idx="84">
                  <c:v>0.41322125904373436</c:v>
                </c:pt>
                <c:pt idx="85">
                  <c:v>0.42300248731910123</c:v>
                </c:pt>
                <c:pt idx="86">
                  <c:v>0.43289946977524146</c:v>
                </c:pt>
                <c:pt idx="87">
                  <c:v>0.44291220641215545</c:v>
                </c:pt>
                <c:pt idx="88">
                  <c:v>0.45304069722984275</c:v>
                </c:pt>
                <c:pt idx="89">
                  <c:v>0.46328494222830402</c:v>
                </c:pt>
                <c:pt idx="90">
                  <c:v>0.47364494140753849</c:v>
                </c:pt>
                <c:pt idx="91">
                  <c:v>0.48412069476754677</c:v>
                </c:pt>
                <c:pt idx="92">
                  <c:v>0.49471220230832841</c:v>
                </c:pt>
                <c:pt idx="93">
                  <c:v>0.50541946402988391</c:v>
                </c:pt>
                <c:pt idx="94">
                  <c:v>0.51624247993221295</c:v>
                </c:pt>
                <c:pt idx="95">
                  <c:v>0.52718125001531535</c:v>
                </c:pt>
                <c:pt idx="96">
                  <c:v>0.53823577427919134</c:v>
                </c:pt>
                <c:pt idx="97">
                  <c:v>0.54940605272384102</c:v>
                </c:pt>
                <c:pt idx="98">
                  <c:v>0.56069208534926407</c:v>
                </c:pt>
                <c:pt idx="99">
                  <c:v>0.57209387215546104</c:v>
                </c:pt>
                <c:pt idx="100">
                  <c:v>0.58361141314243115</c:v>
                </c:pt>
                <c:pt idx="101">
                  <c:v>0.59524470831017517</c:v>
                </c:pt>
                <c:pt idx="102">
                  <c:v>0.60699375765869257</c:v>
                </c:pt>
                <c:pt idx="103">
                  <c:v>0.61885856118798377</c:v>
                </c:pt>
                <c:pt idx="104">
                  <c:v>0.63083911889804845</c:v>
                </c:pt>
                <c:pt idx="105">
                  <c:v>0.64293543078888649</c:v>
                </c:pt>
                <c:pt idx="106">
                  <c:v>0.65514749686049867</c:v>
                </c:pt>
                <c:pt idx="107">
                  <c:v>0.66747531711288377</c:v>
                </c:pt>
                <c:pt idx="108">
                  <c:v>0.67991889154604257</c:v>
                </c:pt>
                <c:pt idx="109">
                  <c:v>0.69247822015997507</c:v>
                </c:pt>
                <c:pt idx="110">
                  <c:v>0.70515330295468104</c:v>
                </c:pt>
                <c:pt idx="111">
                  <c:v>0.71794413993016082</c:v>
                </c:pt>
                <c:pt idx="112">
                  <c:v>0.73085073108641385</c:v>
                </c:pt>
                <c:pt idx="113">
                  <c:v>0.74387307642344069</c:v>
                </c:pt>
                <c:pt idx="114">
                  <c:v>0.75701117594124123</c:v>
                </c:pt>
                <c:pt idx="115">
                  <c:v>0.77026502963981491</c:v>
                </c:pt>
                <c:pt idx="116">
                  <c:v>0.78363463751916229</c:v>
                </c:pt>
                <c:pt idx="117">
                  <c:v>0.79711999957928337</c:v>
                </c:pt>
                <c:pt idx="118">
                  <c:v>0.81072111582017814</c:v>
                </c:pt>
                <c:pt idx="119">
                  <c:v>0.82443798624184617</c:v>
                </c:pt>
                <c:pt idx="120">
                  <c:v>0.838270610844288</c:v>
                </c:pt>
                <c:pt idx="121">
                  <c:v>0.85221898962750353</c:v>
                </c:pt>
                <c:pt idx="122">
                  <c:v>0.86628312259149232</c:v>
                </c:pt>
                <c:pt idx="123">
                  <c:v>0.8804630097362548</c:v>
                </c:pt>
                <c:pt idx="124">
                  <c:v>0.89475865106179076</c:v>
                </c:pt>
                <c:pt idx="125">
                  <c:v>0.90917004656810052</c:v>
                </c:pt>
                <c:pt idx="126">
                  <c:v>0.92369719625518376</c:v>
                </c:pt>
                <c:pt idx="127">
                  <c:v>0.93834010012304048</c:v>
                </c:pt>
                <c:pt idx="128">
                  <c:v>0.95309875817167067</c:v>
                </c:pt>
                <c:pt idx="129">
                  <c:v>0.96797317040107433</c:v>
                </c:pt>
                <c:pt idx="130">
                  <c:v>0.98296333681125192</c:v>
                </c:pt>
                <c:pt idx="131">
                  <c:v>0.99806925740220342</c:v>
                </c:pt>
                <c:pt idx="132">
                  <c:v>1.0132909321739278</c:v>
                </c:pt>
                <c:pt idx="133">
                  <c:v>1.028628361126426</c:v>
                </c:pt>
                <c:pt idx="134">
                  <c:v>1.0440815442596976</c:v>
                </c:pt>
                <c:pt idx="135">
                  <c:v>1.0596504815737431</c:v>
                </c:pt>
                <c:pt idx="136">
                  <c:v>1.0753351730685625</c:v>
                </c:pt>
                <c:pt idx="137">
                  <c:v>1.0911356187441548</c:v>
                </c:pt>
                <c:pt idx="138">
                  <c:v>1.1070518186005209</c:v>
                </c:pt>
                <c:pt idx="139">
                  <c:v>1.1230837726376606</c:v>
                </c:pt>
                <c:pt idx="140">
                  <c:v>1.1392314808555739</c:v>
                </c:pt>
                <c:pt idx="141">
                  <c:v>1.1554949432542607</c:v>
                </c:pt>
                <c:pt idx="142">
                  <c:v>1.1718741598337206</c:v>
                </c:pt>
                <c:pt idx="143">
                  <c:v>1.1883691305939548</c:v>
                </c:pt>
                <c:pt idx="144">
                  <c:v>1.2049798555349618</c:v>
                </c:pt>
                <c:pt idx="145">
                  <c:v>1.2217063346567429</c:v>
                </c:pt>
                <c:pt idx="146">
                  <c:v>1.2385485679592978</c:v>
                </c:pt>
                <c:pt idx="147">
                  <c:v>1.2555065554426259</c:v>
                </c:pt>
                <c:pt idx="148">
                  <c:v>1.2725802971067273</c:v>
                </c:pt>
                <c:pt idx="149">
                  <c:v>1.2897697929516025</c:v>
                </c:pt>
                <c:pt idx="150">
                  <c:v>1.3070750429772524</c:v>
                </c:pt>
              </c:numCache>
            </c:numRef>
          </c:yVal>
          <c:smooth val="1"/>
          <c:extLst>
            <c:ext xmlns:c16="http://schemas.microsoft.com/office/drawing/2014/chart" uri="{C3380CC4-5D6E-409C-BE32-E72D297353CC}">
              <c16:uniqueId val="{00000003-EBB2-49C9-A014-1F538461E4EA}"/>
            </c:ext>
          </c:extLst>
        </c:ser>
        <c:dLbls>
          <c:showLegendKey val="0"/>
          <c:showVal val="0"/>
          <c:showCatName val="0"/>
          <c:showSerName val="0"/>
          <c:showPercent val="0"/>
          <c:showBubbleSize val="0"/>
        </c:dLbls>
        <c:axId val="157162112"/>
        <c:axId val="157160192"/>
      </c:scatterChart>
      <c:valAx>
        <c:axId val="144893056"/>
        <c:scaling>
          <c:orientation val="minMax"/>
        </c:scaling>
        <c:delete val="0"/>
        <c:axPos val="b"/>
        <c:majorGridlines/>
        <c:numFmt formatCode="General" sourceLinked="1"/>
        <c:majorTickMark val="out"/>
        <c:minorTickMark val="none"/>
        <c:tickLblPos val="nextTo"/>
        <c:crossAx val="144894592"/>
        <c:crosses val="autoZero"/>
        <c:crossBetween val="midCat"/>
      </c:valAx>
      <c:valAx>
        <c:axId val="144894592"/>
        <c:scaling>
          <c:orientation val="minMax"/>
          <c:max val="100"/>
          <c:min val="70"/>
        </c:scaling>
        <c:delete val="0"/>
        <c:axPos val="l"/>
        <c:majorGridlines/>
        <c:title>
          <c:tx>
            <c:rich>
              <a:bodyPr rot="-5400000" vert="horz"/>
              <a:lstStyle/>
              <a:p>
                <a:pPr>
                  <a:defRPr sz="1400"/>
                </a:pPr>
                <a:r>
                  <a:rPr lang="en-US" sz="1400"/>
                  <a:t>Efficiency</a:t>
                </a:r>
                <a:r>
                  <a:rPr lang="en-US" sz="1400" baseline="0"/>
                  <a:t> (%)</a:t>
                </a:r>
                <a:endParaRPr lang="en-US" sz="1400"/>
              </a:p>
            </c:rich>
          </c:tx>
          <c:overlay val="0"/>
        </c:title>
        <c:numFmt formatCode="General" sourceLinked="1"/>
        <c:majorTickMark val="out"/>
        <c:minorTickMark val="none"/>
        <c:tickLblPos val="nextTo"/>
        <c:crossAx val="144893056"/>
        <c:crosses val="autoZero"/>
        <c:crossBetween val="midCat"/>
      </c:valAx>
      <c:valAx>
        <c:axId val="157160192"/>
        <c:scaling>
          <c:orientation val="minMax"/>
        </c:scaling>
        <c:delete val="0"/>
        <c:axPos val="r"/>
        <c:title>
          <c:tx>
            <c:rich>
              <a:bodyPr rot="-5400000" vert="horz"/>
              <a:lstStyle/>
              <a:p>
                <a:pPr>
                  <a:defRPr sz="1400"/>
                </a:pPr>
                <a:r>
                  <a:rPr lang="en-US" sz="1400"/>
                  <a:t>Losses</a:t>
                </a:r>
                <a:r>
                  <a:rPr lang="en-US" sz="1400" baseline="0"/>
                  <a:t> (W)</a:t>
                </a:r>
                <a:endParaRPr lang="en-US" sz="1400"/>
              </a:p>
            </c:rich>
          </c:tx>
          <c:overlay val="0"/>
        </c:title>
        <c:numFmt formatCode="General" sourceLinked="1"/>
        <c:majorTickMark val="out"/>
        <c:minorTickMark val="none"/>
        <c:tickLblPos val="nextTo"/>
        <c:crossAx val="157162112"/>
        <c:crosses val="max"/>
        <c:crossBetween val="midCat"/>
      </c:valAx>
      <c:valAx>
        <c:axId val="157162112"/>
        <c:scaling>
          <c:orientation val="minMax"/>
        </c:scaling>
        <c:delete val="1"/>
        <c:axPos val="b"/>
        <c:title>
          <c:tx>
            <c:rich>
              <a:bodyPr/>
              <a:lstStyle/>
              <a:p>
                <a:pPr>
                  <a:defRPr/>
                </a:pPr>
                <a:r>
                  <a:rPr lang="en-US"/>
                  <a:t>Load</a:t>
                </a:r>
                <a:r>
                  <a:rPr lang="en-US" baseline="0"/>
                  <a:t> Current (A)</a:t>
                </a:r>
                <a:endParaRPr lang="en-US"/>
              </a:p>
            </c:rich>
          </c:tx>
          <c:overlay val="0"/>
        </c:title>
        <c:numFmt formatCode="General" sourceLinked="1"/>
        <c:majorTickMark val="out"/>
        <c:minorTickMark val="none"/>
        <c:tickLblPos val="nextTo"/>
        <c:crossAx val="157160192"/>
        <c:crosses val="autoZero"/>
        <c:crossBetween val="midCat"/>
      </c:valAx>
    </c:plotArea>
    <c:legend>
      <c:legendPos val="r"/>
      <c:layout>
        <c:manualLayout>
          <c:xMode val="edge"/>
          <c:yMode val="edge"/>
          <c:x val="0.51894403926190358"/>
          <c:y val="6.4862204724409449E-3"/>
          <c:w val="0.39609572935704079"/>
          <c:h val="0.12183653099700564"/>
        </c:manualLayout>
      </c:layout>
      <c:overlay val="1"/>
    </c:legend>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Efficiency</a:t>
            </a:r>
          </a:p>
        </c:rich>
      </c:tx>
      <c:overlay val="0"/>
    </c:title>
    <c:autoTitleDeleted val="0"/>
    <c:plotArea>
      <c:layout/>
      <c:scatterChart>
        <c:scatterStyle val="smoothMarker"/>
        <c:varyColors val="0"/>
        <c:ser>
          <c:idx val="0"/>
          <c:order val="0"/>
          <c:tx>
            <c:v>Eff</c:v>
          </c:tx>
          <c:marker>
            <c:symbol val="none"/>
          </c:marker>
          <c:xVal>
            <c:numRef>
              <c:f>Eff_vs_IOUT!$S$7:$S$157</c:f>
              <c:numCache>
                <c:formatCode>General</c:formatCode>
                <c:ptCount val="151"/>
                <c:pt idx="0">
                  <c:v>0</c:v>
                </c:pt>
                <c:pt idx="1">
                  <c:v>3.3999999999999996E-2</c:v>
                </c:pt>
                <c:pt idx="2">
                  <c:v>6.7999999999999991E-2</c:v>
                </c:pt>
                <c:pt idx="3">
                  <c:v>0.10199999999999998</c:v>
                </c:pt>
                <c:pt idx="4">
                  <c:v>0.13599999999999998</c:v>
                </c:pt>
                <c:pt idx="5">
                  <c:v>0.16999999999999998</c:v>
                </c:pt>
                <c:pt idx="6">
                  <c:v>0.20399999999999996</c:v>
                </c:pt>
                <c:pt idx="7">
                  <c:v>0.23799999999999996</c:v>
                </c:pt>
                <c:pt idx="8">
                  <c:v>0.27199999999999996</c:v>
                </c:pt>
                <c:pt idx="9">
                  <c:v>0.30599999999999994</c:v>
                </c:pt>
                <c:pt idx="10">
                  <c:v>0.33999999999999997</c:v>
                </c:pt>
                <c:pt idx="11">
                  <c:v>0.37399999999999994</c:v>
                </c:pt>
                <c:pt idx="12">
                  <c:v>0.40799999999999992</c:v>
                </c:pt>
                <c:pt idx="13">
                  <c:v>0.44199999999999995</c:v>
                </c:pt>
                <c:pt idx="14">
                  <c:v>0.47599999999999992</c:v>
                </c:pt>
                <c:pt idx="15">
                  <c:v>0.5099999999999999</c:v>
                </c:pt>
                <c:pt idx="16">
                  <c:v>0.54399999999999993</c:v>
                </c:pt>
                <c:pt idx="17">
                  <c:v>0.57799999999999996</c:v>
                </c:pt>
                <c:pt idx="18">
                  <c:v>0.61199999999999988</c:v>
                </c:pt>
                <c:pt idx="19">
                  <c:v>0.64599999999999991</c:v>
                </c:pt>
                <c:pt idx="20">
                  <c:v>0.67999999999999994</c:v>
                </c:pt>
                <c:pt idx="21">
                  <c:v>0.71399999999999986</c:v>
                </c:pt>
                <c:pt idx="22">
                  <c:v>0.74799999999999989</c:v>
                </c:pt>
                <c:pt idx="23">
                  <c:v>0.78199999999999992</c:v>
                </c:pt>
                <c:pt idx="24">
                  <c:v>0.81599999999999984</c:v>
                </c:pt>
                <c:pt idx="25">
                  <c:v>0.84999999999999987</c:v>
                </c:pt>
                <c:pt idx="26">
                  <c:v>0.8839999999999999</c:v>
                </c:pt>
                <c:pt idx="27">
                  <c:v>0.91799999999999993</c:v>
                </c:pt>
                <c:pt idx="28">
                  <c:v>0.95199999999999985</c:v>
                </c:pt>
                <c:pt idx="29">
                  <c:v>0.98599999999999988</c:v>
                </c:pt>
                <c:pt idx="30">
                  <c:v>1.0199999999999998</c:v>
                </c:pt>
                <c:pt idx="31">
                  <c:v>1.0539999999999998</c:v>
                </c:pt>
                <c:pt idx="32">
                  <c:v>1.0879999999999999</c:v>
                </c:pt>
                <c:pt idx="33">
                  <c:v>1.1219999999999999</c:v>
                </c:pt>
                <c:pt idx="34">
                  <c:v>1.1559999999999999</c:v>
                </c:pt>
                <c:pt idx="35">
                  <c:v>1.19</c:v>
                </c:pt>
                <c:pt idx="36">
                  <c:v>1.2239999999999998</c:v>
                </c:pt>
                <c:pt idx="37">
                  <c:v>1.2579999999999998</c:v>
                </c:pt>
                <c:pt idx="38">
                  <c:v>1.2919999999999998</c:v>
                </c:pt>
                <c:pt idx="39">
                  <c:v>1.3259999999999998</c:v>
                </c:pt>
                <c:pt idx="40">
                  <c:v>1.3599999999999999</c:v>
                </c:pt>
                <c:pt idx="41">
                  <c:v>1.3939999999999999</c:v>
                </c:pt>
                <c:pt idx="42">
                  <c:v>1.4279999999999997</c:v>
                </c:pt>
                <c:pt idx="43">
                  <c:v>1.4619999999999997</c:v>
                </c:pt>
                <c:pt idx="44">
                  <c:v>1.4959999999999998</c:v>
                </c:pt>
                <c:pt idx="45">
                  <c:v>1.5299999999999998</c:v>
                </c:pt>
                <c:pt idx="46">
                  <c:v>1.5639999999999998</c:v>
                </c:pt>
                <c:pt idx="47">
                  <c:v>1.5979999999999999</c:v>
                </c:pt>
                <c:pt idx="48">
                  <c:v>1.6319999999999997</c:v>
                </c:pt>
                <c:pt idx="49">
                  <c:v>1.6659999999999997</c:v>
                </c:pt>
                <c:pt idx="50">
                  <c:v>1.6999999999999997</c:v>
                </c:pt>
                <c:pt idx="51">
                  <c:v>1.7339999999999998</c:v>
                </c:pt>
                <c:pt idx="52">
                  <c:v>1.7679999999999998</c:v>
                </c:pt>
                <c:pt idx="53">
                  <c:v>1.8019999999999998</c:v>
                </c:pt>
                <c:pt idx="54">
                  <c:v>1.8359999999999999</c:v>
                </c:pt>
                <c:pt idx="55">
                  <c:v>1.8699999999999997</c:v>
                </c:pt>
                <c:pt idx="56">
                  <c:v>1.9039999999999997</c:v>
                </c:pt>
                <c:pt idx="57">
                  <c:v>1.9379999999999997</c:v>
                </c:pt>
                <c:pt idx="58">
                  <c:v>1.9719999999999998</c:v>
                </c:pt>
                <c:pt idx="59">
                  <c:v>2.0059999999999998</c:v>
                </c:pt>
                <c:pt idx="60">
                  <c:v>2.0399999999999996</c:v>
                </c:pt>
                <c:pt idx="61">
                  <c:v>2.0739999999999998</c:v>
                </c:pt>
                <c:pt idx="62">
                  <c:v>2.1079999999999997</c:v>
                </c:pt>
                <c:pt idx="63">
                  <c:v>2.1419999999999999</c:v>
                </c:pt>
                <c:pt idx="64">
                  <c:v>2.1759999999999997</c:v>
                </c:pt>
                <c:pt idx="65">
                  <c:v>2.2099999999999995</c:v>
                </c:pt>
                <c:pt idx="66">
                  <c:v>2.2439999999999998</c:v>
                </c:pt>
                <c:pt idx="67">
                  <c:v>2.2779999999999996</c:v>
                </c:pt>
                <c:pt idx="68">
                  <c:v>2.3119999999999998</c:v>
                </c:pt>
                <c:pt idx="69">
                  <c:v>2.3459999999999996</c:v>
                </c:pt>
                <c:pt idx="70">
                  <c:v>2.38</c:v>
                </c:pt>
                <c:pt idx="71">
                  <c:v>2.4139999999999997</c:v>
                </c:pt>
                <c:pt idx="72">
                  <c:v>2.4479999999999995</c:v>
                </c:pt>
                <c:pt idx="73">
                  <c:v>2.4819999999999998</c:v>
                </c:pt>
                <c:pt idx="74">
                  <c:v>2.5159999999999996</c:v>
                </c:pt>
                <c:pt idx="75">
                  <c:v>2.5499999999999998</c:v>
                </c:pt>
                <c:pt idx="76">
                  <c:v>2.5839999999999996</c:v>
                </c:pt>
                <c:pt idx="77">
                  <c:v>2.6179999999999994</c:v>
                </c:pt>
                <c:pt idx="78">
                  <c:v>2.6519999999999997</c:v>
                </c:pt>
                <c:pt idx="79">
                  <c:v>2.6859999999999995</c:v>
                </c:pt>
                <c:pt idx="80">
                  <c:v>2.7199999999999998</c:v>
                </c:pt>
                <c:pt idx="81">
                  <c:v>2.7539999999999996</c:v>
                </c:pt>
                <c:pt idx="82">
                  <c:v>2.7879999999999998</c:v>
                </c:pt>
                <c:pt idx="83">
                  <c:v>2.8219999999999996</c:v>
                </c:pt>
                <c:pt idx="84">
                  <c:v>2.8559999999999994</c:v>
                </c:pt>
                <c:pt idx="85">
                  <c:v>2.8899999999999997</c:v>
                </c:pt>
                <c:pt idx="86">
                  <c:v>2.9239999999999995</c:v>
                </c:pt>
                <c:pt idx="87">
                  <c:v>2.9579999999999997</c:v>
                </c:pt>
                <c:pt idx="88">
                  <c:v>2.9919999999999995</c:v>
                </c:pt>
                <c:pt idx="89">
                  <c:v>3.0259999999999998</c:v>
                </c:pt>
                <c:pt idx="90">
                  <c:v>3.0599999999999996</c:v>
                </c:pt>
                <c:pt idx="91">
                  <c:v>3.0939999999999994</c:v>
                </c:pt>
                <c:pt idx="92">
                  <c:v>3.1279999999999997</c:v>
                </c:pt>
                <c:pt idx="93">
                  <c:v>3.1619999999999995</c:v>
                </c:pt>
                <c:pt idx="94">
                  <c:v>3.1959999999999997</c:v>
                </c:pt>
                <c:pt idx="95">
                  <c:v>3.2299999999999995</c:v>
                </c:pt>
                <c:pt idx="96">
                  <c:v>3.2639999999999993</c:v>
                </c:pt>
                <c:pt idx="97">
                  <c:v>3.2979999999999996</c:v>
                </c:pt>
                <c:pt idx="98">
                  <c:v>3.3319999999999994</c:v>
                </c:pt>
                <c:pt idx="99">
                  <c:v>3.3659999999999997</c:v>
                </c:pt>
                <c:pt idx="100">
                  <c:v>3.3999999999999995</c:v>
                </c:pt>
                <c:pt idx="101">
                  <c:v>3.4339999999999997</c:v>
                </c:pt>
                <c:pt idx="102">
                  <c:v>3.4679999999999995</c:v>
                </c:pt>
                <c:pt idx="103">
                  <c:v>3.5019999999999993</c:v>
                </c:pt>
                <c:pt idx="104">
                  <c:v>3.5359999999999996</c:v>
                </c:pt>
                <c:pt idx="105">
                  <c:v>3.5699999999999994</c:v>
                </c:pt>
                <c:pt idx="106">
                  <c:v>3.6039999999999996</c:v>
                </c:pt>
                <c:pt idx="107">
                  <c:v>3.6379999999999995</c:v>
                </c:pt>
                <c:pt idx="108">
                  <c:v>3.6719999999999997</c:v>
                </c:pt>
                <c:pt idx="109">
                  <c:v>3.7059999999999995</c:v>
                </c:pt>
                <c:pt idx="110">
                  <c:v>3.7399999999999993</c:v>
                </c:pt>
                <c:pt idx="111">
                  <c:v>3.7739999999999996</c:v>
                </c:pt>
                <c:pt idx="112">
                  <c:v>3.8079999999999994</c:v>
                </c:pt>
                <c:pt idx="113">
                  <c:v>3.8419999999999996</c:v>
                </c:pt>
                <c:pt idx="114">
                  <c:v>3.8759999999999994</c:v>
                </c:pt>
                <c:pt idx="115">
                  <c:v>3.9099999999999997</c:v>
                </c:pt>
                <c:pt idx="116">
                  <c:v>3.9439999999999995</c:v>
                </c:pt>
                <c:pt idx="117">
                  <c:v>3.9779999999999993</c:v>
                </c:pt>
                <c:pt idx="118">
                  <c:v>4.0119999999999996</c:v>
                </c:pt>
                <c:pt idx="119">
                  <c:v>4.0459999999999994</c:v>
                </c:pt>
                <c:pt idx="120">
                  <c:v>4.0799999999999992</c:v>
                </c:pt>
                <c:pt idx="121">
                  <c:v>4.1139999999999999</c:v>
                </c:pt>
                <c:pt idx="122">
                  <c:v>4.1479999999999997</c:v>
                </c:pt>
                <c:pt idx="123">
                  <c:v>4.1819999999999995</c:v>
                </c:pt>
                <c:pt idx="124">
                  <c:v>4.2159999999999993</c:v>
                </c:pt>
                <c:pt idx="125">
                  <c:v>4.2499999999999991</c:v>
                </c:pt>
                <c:pt idx="126">
                  <c:v>4.2839999999999998</c:v>
                </c:pt>
                <c:pt idx="127">
                  <c:v>4.3179999999999996</c:v>
                </c:pt>
                <c:pt idx="128">
                  <c:v>4.3519999999999994</c:v>
                </c:pt>
                <c:pt idx="129">
                  <c:v>4.3859999999999992</c:v>
                </c:pt>
                <c:pt idx="130">
                  <c:v>4.419999999999999</c:v>
                </c:pt>
                <c:pt idx="131">
                  <c:v>4.4539999999999997</c:v>
                </c:pt>
                <c:pt idx="132">
                  <c:v>4.4879999999999995</c:v>
                </c:pt>
                <c:pt idx="133">
                  <c:v>4.5219999999999994</c:v>
                </c:pt>
                <c:pt idx="134">
                  <c:v>4.5559999999999992</c:v>
                </c:pt>
                <c:pt idx="135">
                  <c:v>4.589999999999999</c:v>
                </c:pt>
                <c:pt idx="136">
                  <c:v>4.6239999999999997</c:v>
                </c:pt>
                <c:pt idx="137">
                  <c:v>4.6579999999999995</c:v>
                </c:pt>
                <c:pt idx="138">
                  <c:v>4.6919999999999993</c:v>
                </c:pt>
                <c:pt idx="139">
                  <c:v>4.7259999999999991</c:v>
                </c:pt>
                <c:pt idx="140">
                  <c:v>4.76</c:v>
                </c:pt>
                <c:pt idx="141">
                  <c:v>4.7939999999999996</c:v>
                </c:pt>
                <c:pt idx="142">
                  <c:v>4.8279999999999994</c:v>
                </c:pt>
                <c:pt idx="143">
                  <c:v>4.8619999999999992</c:v>
                </c:pt>
                <c:pt idx="144">
                  <c:v>4.895999999999999</c:v>
                </c:pt>
                <c:pt idx="145">
                  <c:v>4.93</c:v>
                </c:pt>
                <c:pt idx="146">
                  <c:v>4.9639999999999995</c:v>
                </c:pt>
                <c:pt idx="147">
                  <c:v>4.9979999999999993</c:v>
                </c:pt>
                <c:pt idx="148">
                  <c:v>5.0319999999999991</c:v>
                </c:pt>
                <c:pt idx="149">
                  <c:v>5.0659999999999989</c:v>
                </c:pt>
                <c:pt idx="150">
                  <c:v>5.0999999999999996</c:v>
                </c:pt>
              </c:numCache>
            </c:numRef>
          </c:xVal>
          <c:yVal>
            <c:numRef>
              <c:f>Eff_vs_IOUT!$AT$7:$AT$157</c:f>
              <c:numCache>
                <c:formatCode>General</c:formatCode>
                <c:ptCount val="151"/>
                <c:pt idx="0">
                  <c:v>0</c:v>
                </c:pt>
                <c:pt idx="1">
                  <c:v>64.98734363793865</c:v>
                </c:pt>
                <c:pt idx="2">
                  <c:v>76.312835366500735</c:v>
                </c:pt>
                <c:pt idx="3">
                  <c:v>80.99497845550907</c:v>
                </c:pt>
                <c:pt idx="4">
                  <c:v>83.542624478431733</c:v>
                </c:pt>
                <c:pt idx="5">
                  <c:v>85.138362667741404</c:v>
                </c:pt>
                <c:pt idx="6">
                  <c:v>86.227896652509173</c:v>
                </c:pt>
                <c:pt idx="7">
                  <c:v>87.016522436887527</c:v>
                </c:pt>
                <c:pt idx="8">
                  <c:v>87.611906586417064</c:v>
                </c:pt>
                <c:pt idx="9">
                  <c:v>88.075927419720117</c:v>
                </c:pt>
                <c:pt idx="10">
                  <c:v>88.446661245943503</c:v>
                </c:pt>
                <c:pt idx="11">
                  <c:v>88.748813541490009</c:v>
                </c:pt>
                <c:pt idx="12">
                  <c:v>88.999108423366735</c:v>
                </c:pt>
                <c:pt idx="13">
                  <c:v>89.209266895179681</c:v>
                </c:pt>
                <c:pt idx="14">
                  <c:v>89.387744813848599</c:v>
                </c:pt>
                <c:pt idx="15">
                  <c:v>89.540793897147893</c:v>
                </c:pt>
                <c:pt idx="16">
                  <c:v>89.673134550917112</c:v>
                </c:pt>
                <c:pt idx="17">
                  <c:v>89.78839662137753</c:v>
                </c:pt>
                <c:pt idx="18">
                  <c:v>89.678219008597608</c:v>
                </c:pt>
                <c:pt idx="19">
                  <c:v>89.755584856187596</c:v>
                </c:pt>
                <c:pt idx="20">
                  <c:v>89.821277478461624</c:v>
                </c:pt>
                <c:pt idx="21">
                  <c:v>89.876933838265899</c:v>
                </c:pt>
                <c:pt idx="22">
                  <c:v>89.923899409627083</c:v>
                </c:pt>
                <c:pt idx="23">
                  <c:v>89.963290291268237</c:v>
                </c:pt>
                <c:pt idx="24">
                  <c:v>89.996040086397841</c:v>
                </c:pt>
                <c:pt idx="25">
                  <c:v>90.022935736456859</c:v>
                </c:pt>
                <c:pt idx="26">
                  <c:v>90.044645230592053</c:v>
                </c:pt>
                <c:pt idx="27">
                  <c:v>90.061739261547771</c:v>
                </c:pt>
                <c:pt idx="28">
                  <c:v>90.074708316689893</c:v>
                </c:pt>
                <c:pt idx="29">
                  <c:v>90.083976288666932</c:v>
                </c:pt>
                <c:pt idx="30">
                  <c:v>90.089911405418505</c:v>
                </c:pt>
                <c:pt idx="31">
                  <c:v>90.092835075909022</c:v>
                </c:pt>
                <c:pt idx="32">
                  <c:v>90.093029101002656</c:v>
                </c:pt>
                <c:pt idx="33">
                  <c:v>90.090741591457018</c:v>
                </c:pt>
                <c:pt idx="34">
                  <c:v>90.086191855631554</c:v>
                </c:pt>
                <c:pt idx="35">
                  <c:v>90.079574460270848</c:v>
                </c:pt>
                <c:pt idx="36">
                  <c:v>90.071062623106542</c:v>
                </c:pt>
                <c:pt idx="37">
                  <c:v>90.060811062124486</c:v>
                </c:pt>
                <c:pt idx="38">
                  <c:v>90.048958400376847</c:v>
                </c:pt>
                <c:pt idx="39">
                  <c:v>90.035629205175283</c:v>
                </c:pt>
                <c:pt idx="40">
                  <c:v>90.020935724913954</c:v>
                </c:pt>
                <c:pt idx="41">
                  <c:v>90.004979374568876</c:v>
                </c:pt>
                <c:pt idx="42">
                  <c:v>89.987852011303048</c:v>
                </c:pt>
                <c:pt idx="43">
                  <c:v>89.969637033980902</c:v>
                </c:pt>
                <c:pt idx="44">
                  <c:v>89.950410334314526</c:v>
                </c:pt>
                <c:pt idx="45">
                  <c:v>89.930241122485043</c:v>
                </c:pt>
                <c:pt idx="46">
                  <c:v>89.909192646150245</c:v>
                </c:pt>
                <c:pt idx="47">
                  <c:v>89.887322818561572</c:v>
                </c:pt>
                <c:pt idx="48">
                  <c:v>89.864684768918607</c:v>
                </c:pt>
                <c:pt idx="49">
                  <c:v>89.841327325965608</c:v>
                </c:pt>
                <c:pt idx="50">
                  <c:v>89.817295444090192</c:v>
                </c:pt>
                <c:pt idx="51">
                  <c:v>89.792630579744994</c:v>
                </c:pt>
                <c:pt idx="52">
                  <c:v>89.767371024820264</c:v>
                </c:pt>
                <c:pt idx="53">
                  <c:v>89.741552202603884</c:v>
                </c:pt>
                <c:pt idx="54">
                  <c:v>89.715206931137203</c:v>
                </c:pt>
                <c:pt idx="55">
                  <c:v>89.68836565808148</c:v>
                </c:pt>
                <c:pt idx="56">
                  <c:v>89.661056670627076</c:v>
                </c:pt>
                <c:pt idx="57">
                  <c:v>89.633306283485254</c:v>
                </c:pt>
                <c:pt idx="58">
                  <c:v>89.605139007587127</c:v>
                </c:pt>
                <c:pt idx="59">
                  <c:v>89.576577701760513</c:v>
                </c:pt>
                <c:pt idx="60">
                  <c:v>89.54764370935564</c:v>
                </c:pt>
                <c:pt idx="61">
                  <c:v>89.518356981533657</c:v>
                </c:pt>
                <c:pt idx="62">
                  <c:v>89.488736188712764</c:v>
                </c:pt>
                <c:pt idx="63">
                  <c:v>89.458798821477913</c:v>
                </c:pt>
                <c:pt idx="64">
                  <c:v>89.428561282098414</c:v>
                </c:pt>
                <c:pt idx="65">
                  <c:v>89.398038967657612</c:v>
                </c:pt>
                <c:pt idx="66">
                  <c:v>89.367246345678069</c:v>
                </c:pt>
                <c:pt idx="67">
                  <c:v>89.336197023020986</c:v>
                </c:pt>
                <c:pt idx="68">
                  <c:v>89.304903808747412</c:v>
                </c:pt>
                <c:pt idx="69">
                  <c:v>89.273378771549744</c:v>
                </c:pt>
                <c:pt idx="70">
                  <c:v>89.241633292293102</c:v>
                </c:pt>
                <c:pt idx="71">
                  <c:v>89.209678112145156</c:v>
                </c:pt>
                <c:pt idx="72">
                  <c:v>89.177523376721027</c:v>
                </c:pt>
                <c:pt idx="73">
                  <c:v>89.14517867662272</c:v>
                </c:pt>
                <c:pt idx="74">
                  <c:v>89.112653084711866</c:v>
                </c:pt>
                <c:pt idx="75">
                  <c:v>89.079955190419298</c:v>
                </c:pt>
                <c:pt idx="76">
                  <c:v>89.047093131362033</c:v>
                </c:pt>
                <c:pt idx="77">
                  <c:v>89.014074622511657</c:v>
                </c:pt>
                <c:pt idx="78">
                  <c:v>88.980906983132115</c:v>
                </c:pt>
                <c:pt idx="79">
                  <c:v>88.947597161683461</c:v>
                </c:pt>
                <c:pt idx="80">
                  <c:v>88.91415175886867</c:v>
                </c:pt>
                <c:pt idx="81">
                  <c:v>88.880577048983085</c:v>
                </c:pt>
                <c:pt idx="82">
                  <c:v>88.84687899971027</c:v>
                </c:pt>
                <c:pt idx="83">
                  <c:v>88.813063290494981</c:v>
                </c:pt>
                <c:pt idx="84">
                  <c:v>88.779135329610853</c:v>
                </c:pt>
                <c:pt idx="85">
                  <c:v>88.745100270029909</c:v>
                </c:pt>
                <c:pt idx="86">
                  <c:v>88.710963024190832</c:v>
                </c:pt>
                <c:pt idx="87">
                  <c:v>88.676728277754009</c:v>
                </c:pt>
                <c:pt idx="88">
                  <c:v>88.642400502423897</c:v>
                </c:pt>
                <c:pt idx="89">
                  <c:v>88.607983967911068</c:v>
                </c:pt>
                <c:pt idx="90">
                  <c:v>88.573482753101217</c:v>
                </c:pt>
                <c:pt idx="91">
                  <c:v>88.538900756491245</c:v>
                </c:pt>
                <c:pt idx="92">
                  <c:v>88.504241705948289</c:v>
                </c:pt>
                <c:pt idx="93">
                  <c:v>88.469509167842048</c:v>
                </c:pt>
                <c:pt idx="94">
                  <c:v>88.434706555597302</c:v>
                </c:pt>
                <c:pt idx="95">
                  <c:v>88.399837137708715</c:v>
                </c:pt>
                <c:pt idx="96">
                  <c:v>88.36490404525712</c:v>
                </c:pt>
                <c:pt idx="97">
                  <c:v>88.329910278963197</c:v>
                </c:pt>
                <c:pt idx="98">
                  <c:v>88.294858715811159</c:v>
                </c:pt>
                <c:pt idx="99">
                  <c:v>88.259752115273002</c:v>
                </c:pt>
                <c:pt idx="100">
                  <c:v>88.224593125160965</c:v>
                </c:pt>
                <c:pt idx="101">
                  <c:v>88.189384287133819</c:v>
                </c:pt>
                <c:pt idx="102">
                  <c:v>88.154128041880895</c:v>
                </c:pt>
                <c:pt idx="103">
                  <c:v>88.11882673400531</c:v>
                </c:pt>
                <c:pt idx="104">
                  <c:v>88.083482616626767</c:v>
                </c:pt>
                <c:pt idx="105">
                  <c:v>88.048097855722474</c:v>
                </c:pt>
                <c:pt idx="106">
                  <c:v>88.012674534223493</c:v>
                </c:pt>
                <c:pt idx="107">
                  <c:v>87.977214655882236</c:v>
                </c:pt>
                <c:pt idx="108">
                  <c:v>87.94172014892608</c:v>
                </c:pt>
                <c:pt idx="109">
                  <c:v>87.906192869510761</c:v>
                </c:pt>
                <c:pt idx="110">
                  <c:v>87.870634604986051</c:v>
                </c:pt>
                <c:pt idx="111">
                  <c:v>87.835047076985774</c:v>
                </c:pt>
                <c:pt idx="112">
                  <c:v>87.799431944352861</c:v>
                </c:pt>
                <c:pt idx="113">
                  <c:v>87.763790805909778</c:v>
                </c:pt>
                <c:pt idx="114">
                  <c:v>87.728125203083707</c:v>
                </c:pt>
                <c:pt idx="115">
                  <c:v>87.692436622395263</c:v>
                </c:pt>
                <c:pt idx="116">
                  <c:v>87.656726497819108</c:v>
                </c:pt>
                <c:pt idx="117">
                  <c:v>87.620996213023773</c:v>
                </c:pt>
                <c:pt idx="118">
                  <c:v>87.585247103498219</c:v>
                </c:pt>
                <c:pt idx="119">
                  <c:v>87.549480458571594</c:v>
                </c:pt>
                <c:pt idx="120">
                  <c:v>87.513697523332098</c:v>
                </c:pt>
                <c:pt idx="121">
                  <c:v>87.4778995004515</c:v>
                </c:pt>
                <c:pt idx="122">
                  <c:v>87.442087551919826</c:v>
                </c:pt>
                <c:pt idx="123">
                  <c:v>87.406262800696027</c:v>
                </c:pt>
                <c:pt idx="124">
                  <c:v>87.370426332278925</c:v>
                </c:pt>
                <c:pt idx="125">
                  <c:v>87.334579196203094</c:v>
                </c:pt>
                <c:pt idx="126">
                  <c:v>87.298722407463742</c:v>
                </c:pt>
                <c:pt idx="127">
                  <c:v>87.262856947874454</c:v>
                </c:pt>
                <c:pt idx="128">
                  <c:v>87.226983767361631</c:v>
                </c:pt>
                <c:pt idx="129">
                  <c:v>87.191103785198791</c:v>
                </c:pt>
                <c:pt idx="130">
                  <c:v>87.15521789118425</c:v>
                </c:pt>
                <c:pt idx="131">
                  <c:v>87.119326946764929</c:v>
                </c:pt>
                <c:pt idx="132">
                  <c:v>87.083431786109273</c:v>
                </c:pt>
                <c:pt idx="133">
                  <c:v>87.047533217131985</c:v>
                </c:pt>
                <c:pt idx="134">
                  <c:v>87.011632022472938</c:v>
                </c:pt>
                <c:pt idx="135">
                  <c:v>86.975728960432818</c:v>
                </c:pt>
                <c:pt idx="136">
                  <c:v>86.93982476586757</c:v>
                </c:pt>
                <c:pt idx="137">
                  <c:v>86.903920151043735</c:v>
                </c:pt>
                <c:pt idx="138">
                  <c:v>86.868015806456924</c:v>
                </c:pt>
                <c:pt idx="139">
                  <c:v>86.832112401614765</c:v>
                </c:pt>
                <c:pt idx="140">
                  <c:v>86.79621058578671</c:v>
                </c:pt>
                <c:pt idx="141">
                  <c:v>86.760310988721756</c:v>
                </c:pt>
                <c:pt idx="142">
                  <c:v>86.724414221336204</c:v>
                </c:pt>
                <c:pt idx="143">
                  <c:v>86.688520876372408</c:v>
                </c:pt>
                <c:pt idx="144">
                  <c:v>86.652631529030316</c:v>
                </c:pt>
                <c:pt idx="145">
                  <c:v>86.616746737572839</c:v>
                </c:pt>
                <c:pt idx="146">
                  <c:v>86.580867043906522</c:v>
                </c:pt>
                <c:pt idx="147">
                  <c:v>86.544992974138566</c:v>
                </c:pt>
                <c:pt idx="148">
                  <c:v>86.509125039111211</c:v>
                </c:pt>
                <c:pt idx="149">
                  <c:v>86.473263734914795</c:v>
                </c:pt>
                <c:pt idx="150">
                  <c:v>86.43740954338034</c:v>
                </c:pt>
              </c:numCache>
            </c:numRef>
          </c:yVal>
          <c:smooth val="0"/>
          <c:extLst>
            <c:ext xmlns:c16="http://schemas.microsoft.com/office/drawing/2014/chart" uri="{C3380CC4-5D6E-409C-BE32-E72D297353CC}">
              <c16:uniqueId val="{00000000-8AEF-4CD2-9E91-5056CF00EB36}"/>
            </c:ext>
          </c:extLst>
        </c:ser>
        <c:dLbls>
          <c:showLegendKey val="0"/>
          <c:showVal val="0"/>
          <c:showCatName val="0"/>
          <c:showSerName val="0"/>
          <c:showPercent val="0"/>
          <c:showBubbleSize val="0"/>
        </c:dLbls>
        <c:axId val="145036800"/>
        <c:axId val="145038336"/>
      </c:scatterChart>
      <c:scatterChart>
        <c:scatterStyle val="smoothMarker"/>
        <c:varyColors val="0"/>
        <c:ser>
          <c:idx val="1"/>
          <c:order val="1"/>
          <c:tx>
            <c:v>MOSFET</c:v>
          </c:tx>
          <c:marker>
            <c:symbol val="none"/>
          </c:marker>
          <c:xVal>
            <c:numRef>
              <c:f>Eff_vs_IOUT!$S$7:$S$157</c:f>
              <c:numCache>
                <c:formatCode>General</c:formatCode>
                <c:ptCount val="151"/>
                <c:pt idx="0">
                  <c:v>0</c:v>
                </c:pt>
                <c:pt idx="1">
                  <c:v>3.3999999999999996E-2</c:v>
                </c:pt>
                <c:pt idx="2">
                  <c:v>6.7999999999999991E-2</c:v>
                </c:pt>
                <c:pt idx="3">
                  <c:v>0.10199999999999998</c:v>
                </c:pt>
                <c:pt idx="4">
                  <c:v>0.13599999999999998</c:v>
                </c:pt>
                <c:pt idx="5">
                  <c:v>0.16999999999999998</c:v>
                </c:pt>
                <c:pt idx="6">
                  <c:v>0.20399999999999996</c:v>
                </c:pt>
                <c:pt idx="7">
                  <c:v>0.23799999999999996</c:v>
                </c:pt>
                <c:pt idx="8">
                  <c:v>0.27199999999999996</c:v>
                </c:pt>
                <c:pt idx="9">
                  <c:v>0.30599999999999994</c:v>
                </c:pt>
                <c:pt idx="10">
                  <c:v>0.33999999999999997</c:v>
                </c:pt>
                <c:pt idx="11">
                  <c:v>0.37399999999999994</c:v>
                </c:pt>
                <c:pt idx="12">
                  <c:v>0.40799999999999992</c:v>
                </c:pt>
                <c:pt idx="13">
                  <c:v>0.44199999999999995</c:v>
                </c:pt>
                <c:pt idx="14">
                  <c:v>0.47599999999999992</c:v>
                </c:pt>
                <c:pt idx="15">
                  <c:v>0.5099999999999999</c:v>
                </c:pt>
                <c:pt idx="16">
                  <c:v>0.54399999999999993</c:v>
                </c:pt>
                <c:pt idx="17">
                  <c:v>0.57799999999999996</c:v>
                </c:pt>
                <c:pt idx="18">
                  <c:v>0.61199999999999988</c:v>
                </c:pt>
                <c:pt idx="19">
                  <c:v>0.64599999999999991</c:v>
                </c:pt>
                <c:pt idx="20">
                  <c:v>0.67999999999999994</c:v>
                </c:pt>
                <c:pt idx="21">
                  <c:v>0.71399999999999986</c:v>
                </c:pt>
                <c:pt idx="22">
                  <c:v>0.74799999999999989</c:v>
                </c:pt>
                <c:pt idx="23">
                  <c:v>0.78199999999999992</c:v>
                </c:pt>
                <c:pt idx="24">
                  <c:v>0.81599999999999984</c:v>
                </c:pt>
                <c:pt idx="25">
                  <c:v>0.84999999999999987</c:v>
                </c:pt>
                <c:pt idx="26">
                  <c:v>0.8839999999999999</c:v>
                </c:pt>
                <c:pt idx="27">
                  <c:v>0.91799999999999993</c:v>
                </c:pt>
                <c:pt idx="28">
                  <c:v>0.95199999999999985</c:v>
                </c:pt>
                <c:pt idx="29">
                  <c:v>0.98599999999999988</c:v>
                </c:pt>
                <c:pt idx="30">
                  <c:v>1.0199999999999998</c:v>
                </c:pt>
                <c:pt idx="31">
                  <c:v>1.0539999999999998</c:v>
                </c:pt>
                <c:pt idx="32">
                  <c:v>1.0879999999999999</c:v>
                </c:pt>
                <c:pt idx="33">
                  <c:v>1.1219999999999999</c:v>
                </c:pt>
                <c:pt idx="34">
                  <c:v>1.1559999999999999</c:v>
                </c:pt>
                <c:pt idx="35">
                  <c:v>1.19</c:v>
                </c:pt>
                <c:pt idx="36">
                  <c:v>1.2239999999999998</c:v>
                </c:pt>
                <c:pt idx="37">
                  <c:v>1.2579999999999998</c:v>
                </c:pt>
                <c:pt idx="38">
                  <c:v>1.2919999999999998</c:v>
                </c:pt>
                <c:pt idx="39">
                  <c:v>1.3259999999999998</c:v>
                </c:pt>
                <c:pt idx="40">
                  <c:v>1.3599999999999999</c:v>
                </c:pt>
                <c:pt idx="41">
                  <c:v>1.3939999999999999</c:v>
                </c:pt>
                <c:pt idx="42">
                  <c:v>1.4279999999999997</c:v>
                </c:pt>
                <c:pt idx="43">
                  <c:v>1.4619999999999997</c:v>
                </c:pt>
                <c:pt idx="44">
                  <c:v>1.4959999999999998</c:v>
                </c:pt>
                <c:pt idx="45">
                  <c:v>1.5299999999999998</c:v>
                </c:pt>
                <c:pt idx="46">
                  <c:v>1.5639999999999998</c:v>
                </c:pt>
                <c:pt idx="47">
                  <c:v>1.5979999999999999</c:v>
                </c:pt>
                <c:pt idx="48">
                  <c:v>1.6319999999999997</c:v>
                </c:pt>
                <c:pt idx="49">
                  <c:v>1.6659999999999997</c:v>
                </c:pt>
                <c:pt idx="50">
                  <c:v>1.6999999999999997</c:v>
                </c:pt>
                <c:pt idx="51">
                  <c:v>1.7339999999999998</c:v>
                </c:pt>
                <c:pt idx="52">
                  <c:v>1.7679999999999998</c:v>
                </c:pt>
                <c:pt idx="53">
                  <c:v>1.8019999999999998</c:v>
                </c:pt>
                <c:pt idx="54">
                  <c:v>1.8359999999999999</c:v>
                </c:pt>
                <c:pt idx="55">
                  <c:v>1.8699999999999997</c:v>
                </c:pt>
                <c:pt idx="56">
                  <c:v>1.9039999999999997</c:v>
                </c:pt>
                <c:pt idx="57">
                  <c:v>1.9379999999999997</c:v>
                </c:pt>
                <c:pt idx="58">
                  <c:v>1.9719999999999998</c:v>
                </c:pt>
                <c:pt idx="59">
                  <c:v>2.0059999999999998</c:v>
                </c:pt>
                <c:pt idx="60">
                  <c:v>2.0399999999999996</c:v>
                </c:pt>
                <c:pt idx="61">
                  <c:v>2.0739999999999998</c:v>
                </c:pt>
                <c:pt idx="62">
                  <c:v>2.1079999999999997</c:v>
                </c:pt>
                <c:pt idx="63">
                  <c:v>2.1419999999999999</c:v>
                </c:pt>
                <c:pt idx="64">
                  <c:v>2.1759999999999997</c:v>
                </c:pt>
                <c:pt idx="65">
                  <c:v>2.2099999999999995</c:v>
                </c:pt>
                <c:pt idx="66">
                  <c:v>2.2439999999999998</c:v>
                </c:pt>
                <c:pt idx="67">
                  <c:v>2.2779999999999996</c:v>
                </c:pt>
                <c:pt idx="68">
                  <c:v>2.3119999999999998</c:v>
                </c:pt>
                <c:pt idx="69">
                  <c:v>2.3459999999999996</c:v>
                </c:pt>
                <c:pt idx="70">
                  <c:v>2.38</c:v>
                </c:pt>
                <c:pt idx="71">
                  <c:v>2.4139999999999997</c:v>
                </c:pt>
                <c:pt idx="72">
                  <c:v>2.4479999999999995</c:v>
                </c:pt>
                <c:pt idx="73">
                  <c:v>2.4819999999999998</c:v>
                </c:pt>
                <c:pt idx="74">
                  <c:v>2.5159999999999996</c:v>
                </c:pt>
                <c:pt idx="75">
                  <c:v>2.5499999999999998</c:v>
                </c:pt>
                <c:pt idx="76">
                  <c:v>2.5839999999999996</c:v>
                </c:pt>
                <c:pt idx="77">
                  <c:v>2.6179999999999994</c:v>
                </c:pt>
                <c:pt idx="78">
                  <c:v>2.6519999999999997</c:v>
                </c:pt>
                <c:pt idx="79">
                  <c:v>2.6859999999999995</c:v>
                </c:pt>
                <c:pt idx="80">
                  <c:v>2.7199999999999998</c:v>
                </c:pt>
                <c:pt idx="81">
                  <c:v>2.7539999999999996</c:v>
                </c:pt>
                <c:pt idx="82">
                  <c:v>2.7879999999999998</c:v>
                </c:pt>
                <c:pt idx="83">
                  <c:v>2.8219999999999996</c:v>
                </c:pt>
                <c:pt idx="84">
                  <c:v>2.8559999999999994</c:v>
                </c:pt>
                <c:pt idx="85">
                  <c:v>2.8899999999999997</c:v>
                </c:pt>
                <c:pt idx="86">
                  <c:v>2.9239999999999995</c:v>
                </c:pt>
                <c:pt idx="87">
                  <c:v>2.9579999999999997</c:v>
                </c:pt>
                <c:pt idx="88">
                  <c:v>2.9919999999999995</c:v>
                </c:pt>
                <c:pt idx="89">
                  <c:v>3.0259999999999998</c:v>
                </c:pt>
                <c:pt idx="90">
                  <c:v>3.0599999999999996</c:v>
                </c:pt>
                <c:pt idx="91">
                  <c:v>3.0939999999999994</c:v>
                </c:pt>
                <c:pt idx="92">
                  <c:v>3.1279999999999997</c:v>
                </c:pt>
                <c:pt idx="93">
                  <c:v>3.1619999999999995</c:v>
                </c:pt>
                <c:pt idx="94">
                  <c:v>3.1959999999999997</c:v>
                </c:pt>
                <c:pt idx="95">
                  <c:v>3.2299999999999995</c:v>
                </c:pt>
                <c:pt idx="96">
                  <c:v>3.2639999999999993</c:v>
                </c:pt>
                <c:pt idx="97">
                  <c:v>3.2979999999999996</c:v>
                </c:pt>
                <c:pt idx="98">
                  <c:v>3.3319999999999994</c:v>
                </c:pt>
                <c:pt idx="99">
                  <c:v>3.3659999999999997</c:v>
                </c:pt>
                <c:pt idx="100">
                  <c:v>3.3999999999999995</c:v>
                </c:pt>
                <c:pt idx="101">
                  <c:v>3.4339999999999997</c:v>
                </c:pt>
                <c:pt idx="102">
                  <c:v>3.4679999999999995</c:v>
                </c:pt>
                <c:pt idx="103">
                  <c:v>3.5019999999999993</c:v>
                </c:pt>
                <c:pt idx="104">
                  <c:v>3.5359999999999996</c:v>
                </c:pt>
                <c:pt idx="105">
                  <c:v>3.5699999999999994</c:v>
                </c:pt>
                <c:pt idx="106">
                  <c:v>3.6039999999999996</c:v>
                </c:pt>
                <c:pt idx="107">
                  <c:v>3.6379999999999995</c:v>
                </c:pt>
                <c:pt idx="108">
                  <c:v>3.6719999999999997</c:v>
                </c:pt>
                <c:pt idx="109">
                  <c:v>3.7059999999999995</c:v>
                </c:pt>
                <c:pt idx="110">
                  <c:v>3.7399999999999993</c:v>
                </c:pt>
                <c:pt idx="111">
                  <c:v>3.7739999999999996</c:v>
                </c:pt>
                <c:pt idx="112">
                  <c:v>3.8079999999999994</c:v>
                </c:pt>
                <c:pt idx="113">
                  <c:v>3.8419999999999996</c:v>
                </c:pt>
                <c:pt idx="114">
                  <c:v>3.8759999999999994</c:v>
                </c:pt>
                <c:pt idx="115">
                  <c:v>3.9099999999999997</c:v>
                </c:pt>
                <c:pt idx="116">
                  <c:v>3.9439999999999995</c:v>
                </c:pt>
                <c:pt idx="117">
                  <c:v>3.9779999999999993</c:v>
                </c:pt>
                <c:pt idx="118">
                  <c:v>4.0119999999999996</c:v>
                </c:pt>
                <c:pt idx="119">
                  <c:v>4.0459999999999994</c:v>
                </c:pt>
                <c:pt idx="120">
                  <c:v>4.0799999999999992</c:v>
                </c:pt>
                <c:pt idx="121">
                  <c:v>4.1139999999999999</c:v>
                </c:pt>
                <c:pt idx="122">
                  <c:v>4.1479999999999997</c:v>
                </c:pt>
                <c:pt idx="123">
                  <c:v>4.1819999999999995</c:v>
                </c:pt>
                <c:pt idx="124">
                  <c:v>4.2159999999999993</c:v>
                </c:pt>
                <c:pt idx="125">
                  <c:v>4.2499999999999991</c:v>
                </c:pt>
                <c:pt idx="126">
                  <c:v>4.2839999999999998</c:v>
                </c:pt>
                <c:pt idx="127">
                  <c:v>4.3179999999999996</c:v>
                </c:pt>
                <c:pt idx="128">
                  <c:v>4.3519999999999994</c:v>
                </c:pt>
                <c:pt idx="129">
                  <c:v>4.3859999999999992</c:v>
                </c:pt>
                <c:pt idx="130">
                  <c:v>4.419999999999999</c:v>
                </c:pt>
                <c:pt idx="131">
                  <c:v>4.4539999999999997</c:v>
                </c:pt>
                <c:pt idx="132">
                  <c:v>4.4879999999999995</c:v>
                </c:pt>
                <c:pt idx="133">
                  <c:v>4.5219999999999994</c:v>
                </c:pt>
                <c:pt idx="134">
                  <c:v>4.5559999999999992</c:v>
                </c:pt>
                <c:pt idx="135">
                  <c:v>4.589999999999999</c:v>
                </c:pt>
                <c:pt idx="136">
                  <c:v>4.6239999999999997</c:v>
                </c:pt>
                <c:pt idx="137">
                  <c:v>4.6579999999999995</c:v>
                </c:pt>
                <c:pt idx="138">
                  <c:v>4.6919999999999993</c:v>
                </c:pt>
                <c:pt idx="139">
                  <c:v>4.7259999999999991</c:v>
                </c:pt>
                <c:pt idx="140">
                  <c:v>4.76</c:v>
                </c:pt>
                <c:pt idx="141">
                  <c:v>4.7939999999999996</c:v>
                </c:pt>
                <c:pt idx="142">
                  <c:v>4.8279999999999994</c:v>
                </c:pt>
                <c:pt idx="143">
                  <c:v>4.8619999999999992</c:v>
                </c:pt>
                <c:pt idx="144">
                  <c:v>4.895999999999999</c:v>
                </c:pt>
                <c:pt idx="145">
                  <c:v>4.93</c:v>
                </c:pt>
                <c:pt idx="146">
                  <c:v>4.9639999999999995</c:v>
                </c:pt>
                <c:pt idx="147">
                  <c:v>4.9979999999999993</c:v>
                </c:pt>
                <c:pt idx="148">
                  <c:v>5.0319999999999991</c:v>
                </c:pt>
                <c:pt idx="149">
                  <c:v>5.0659999999999989</c:v>
                </c:pt>
                <c:pt idx="150">
                  <c:v>5.0999999999999996</c:v>
                </c:pt>
              </c:numCache>
            </c:numRef>
          </c:xVal>
          <c:yVal>
            <c:numRef>
              <c:f>Eff_vs_IOUT!$AI$7:$AI$157</c:f>
              <c:numCache>
                <c:formatCode>General</c:formatCode>
                <c:ptCount val="151"/>
                <c:pt idx="0">
                  <c:v>0</c:v>
                </c:pt>
                <c:pt idx="1">
                  <c:v>2.6654934675109057E-2</c:v>
                </c:pt>
                <c:pt idx="2">
                  <c:v>5.36429707696967E-2</c:v>
                </c:pt>
                <c:pt idx="3">
                  <c:v>8.0847852717895088E-2</c:v>
                </c:pt>
                <c:pt idx="4">
                  <c:v>0.10822809462953809</c:v>
                </c:pt>
                <c:pt idx="5">
                  <c:v>0.13575971995102623</c:v>
                </c:pt>
                <c:pt idx="6">
                  <c:v>0.16342655118362084</c:v>
                </c:pt>
                <c:pt idx="7">
                  <c:v>0.19121671201397472</c:v>
                </c:pt>
                <c:pt idx="8">
                  <c:v>0.21912100061490486</c:v>
                </c:pt>
                <c:pt idx="9">
                  <c:v>0.24713201375693991</c:v>
                </c:pt>
                <c:pt idx="10">
                  <c:v>0.27524362698883142</c:v>
                </c:pt>
                <c:pt idx="11">
                  <c:v>0.30345066377314889</c:v>
                </c:pt>
                <c:pt idx="12">
                  <c:v>0.33174867342915759</c:v>
                </c:pt>
                <c:pt idx="13">
                  <c:v>0.36013377576444988</c:v>
                </c:pt>
                <c:pt idx="14">
                  <c:v>0.38860254864907001</c:v>
                </c:pt>
                <c:pt idx="15">
                  <c:v>0.41715194437319936</c:v>
                </c:pt>
                <c:pt idx="16">
                  <c:v>0.44577922595096725</c:v>
                </c:pt>
                <c:pt idx="17">
                  <c:v>0.47448191764009157</c:v>
                </c:pt>
                <c:pt idx="18">
                  <c:v>0.50872667519617432</c:v>
                </c:pt>
                <c:pt idx="19">
                  <c:v>0.53826308115028487</c:v>
                </c:pt>
                <c:pt idx="20">
                  <c:v>0.56797697684824833</c:v>
                </c:pt>
                <c:pt idx="21">
                  <c:v>0.59786836229006435</c:v>
                </c:pt>
                <c:pt idx="22">
                  <c:v>0.62793723747573338</c:v>
                </c:pt>
                <c:pt idx="23">
                  <c:v>0.65818360240525531</c:v>
                </c:pt>
                <c:pt idx="24">
                  <c:v>0.68860745707862991</c:v>
                </c:pt>
                <c:pt idx="25">
                  <c:v>0.7192088014958572</c:v>
                </c:pt>
                <c:pt idx="26">
                  <c:v>0.74998763565693749</c:v>
                </c:pt>
                <c:pt idx="27">
                  <c:v>0.78094395956187068</c:v>
                </c:pt>
                <c:pt idx="28">
                  <c:v>0.81207777321065633</c:v>
                </c:pt>
                <c:pt idx="29">
                  <c:v>0.8433890766032951</c:v>
                </c:pt>
                <c:pt idx="30">
                  <c:v>0.87487786973978643</c:v>
                </c:pt>
                <c:pt idx="31">
                  <c:v>0.90654415262013088</c:v>
                </c:pt>
                <c:pt idx="32">
                  <c:v>0.9383879252443279</c:v>
                </c:pt>
                <c:pt idx="33">
                  <c:v>0.97040918761237771</c:v>
                </c:pt>
                <c:pt idx="34">
                  <c:v>1.0026079397242806</c:v>
                </c:pt>
                <c:pt idx="35">
                  <c:v>1.0349841815800362</c:v>
                </c:pt>
                <c:pt idx="36">
                  <c:v>1.0675379131796443</c:v>
                </c:pt>
                <c:pt idx="37">
                  <c:v>1.1002691345231055</c:v>
                </c:pt>
                <c:pt idx="38">
                  <c:v>1.1331778456104196</c:v>
                </c:pt>
                <c:pt idx="39">
                  <c:v>1.1662640464415863</c:v>
                </c:pt>
                <c:pt idx="40">
                  <c:v>1.199527737016606</c:v>
                </c:pt>
                <c:pt idx="41">
                  <c:v>1.2329689173354783</c:v>
                </c:pt>
                <c:pt idx="42">
                  <c:v>1.2665875873982031</c:v>
                </c:pt>
                <c:pt idx="43">
                  <c:v>1.3003837472047814</c:v>
                </c:pt>
                <c:pt idx="44">
                  <c:v>1.334357396755212</c:v>
                </c:pt>
                <c:pt idx="45">
                  <c:v>1.3685085360494957</c:v>
                </c:pt>
                <c:pt idx="46">
                  <c:v>1.4028371650876321</c:v>
                </c:pt>
                <c:pt idx="47">
                  <c:v>1.4373432838696214</c:v>
                </c:pt>
                <c:pt idx="48">
                  <c:v>1.4720268923954636</c:v>
                </c:pt>
                <c:pt idx="49">
                  <c:v>1.5068879906651582</c:v>
                </c:pt>
                <c:pt idx="50">
                  <c:v>1.5419265786787058</c:v>
                </c:pt>
                <c:pt idx="51">
                  <c:v>1.5771426564361064</c:v>
                </c:pt>
                <c:pt idx="52">
                  <c:v>1.6125362239373595</c:v>
                </c:pt>
                <c:pt idx="53">
                  <c:v>1.648107281182466</c:v>
                </c:pt>
                <c:pt idx="54">
                  <c:v>1.6838558281714249</c:v>
                </c:pt>
                <c:pt idx="55">
                  <c:v>1.719781864904236</c:v>
                </c:pt>
                <c:pt idx="56">
                  <c:v>1.7558853913809007</c:v>
                </c:pt>
                <c:pt idx="57">
                  <c:v>1.7921664076014185</c:v>
                </c:pt>
                <c:pt idx="58">
                  <c:v>1.8286249135657884</c:v>
                </c:pt>
                <c:pt idx="59">
                  <c:v>1.8652609092740113</c:v>
                </c:pt>
                <c:pt idx="60">
                  <c:v>1.9020743947260867</c:v>
                </c:pt>
                <c:pt idx="61">
                  <c:v>1.9390653699220155</c:v>
                </c:pt>
                <c:pt idx="62">
                  <c:v>1.9762338348617972</c:v>
                </c:pt>
                <c:pt idx="63">
                  <c:v>2.0135797895454308</c:v>
                </c:pt>
                <c:pt idx="64">
                  <c:v>2.0511032339729183</c:v>
                </c:pt>
                <c:pt idx="65">
                  <c:v>2.0888041681442577</c:v>
                </c:pt>
                <c:pt idx="66">
                  <c:v>2.1266825920594505</c:v>
                </c:pt>
                <c:pt idx="67">
                  <c:v>2.1647385057184962</c:v>
                </c:pt>
                <c:pt idx="68">
                  <c:v>2.2029719091213944</c:v>
                </c:pt>
                <c:pt idx="69">
                  <c:v>2.2413828022681455</c:v>
                </c:pt>
                <c:pt idx="70">
                  <c:v>2.2799711851587494</c:v>
                </c:pt>
                <c:pt idx="71">
                  <c:v>2.3187370577932058</c:v>
                </c:pt>
                <c:pt idx="72">
                  <c:v>2.3576804201715151</c:v>
                </c:pt>
                <c:pt idx="73">
                  <c:v>2.3968012722936782</c:v>
                </c:pt>
                <c:pt idx="74">
                  <c:v>2.4360996141596925</c:v>
                </c:pt>
                <c:pt idx="75">
                  <c:v>2.4755754457695609</c:v>
                </c:pt>
                <c:pt idx="76">
                  <c:v>2.5152287671232809</c:v>
                </c:pt>
                <c:pt idx="77">
                  <c:v>2.5550595782208543</c:v>
                </c:pt>
                <c:pt idx="78">
                  <c:v>2.595067879062281</c:v>
                </c:pt>
                <c:pt idx="79">
                  <c:v>2.6352536696475601</c:v>
                </c:pt>
                <c:pt idx="80">
                  <c:v>2.6756169499766922</c:v>
                </c:pt>
                <c:pt idx="81">
                  <c:v>2.7161577200496763</c:v>
                </c:pt>
                <c:pt idx="82">
                  <c:v>2.7568759798665146</c:v>
                </c:pt>
                <c:pt idx="83">
                  <c:v>2.7977717294272049</c:v>
                </c:pt>
                <c:pt idx="84">
                  <c:v>2.8388449687317481</c:v>
                </c:pt>
                <c:pt idx="85">
                  <c:v>2.8800956977801442</c:v>
                </c:pt>
                <c:pt idx="86">
                  <c:v>2.9215239165723927</c:v>
                </c:pt>
                <c:pt idx="87">
                  <c:v>2.9631296251084942</c:v>
                </c:pt>
                <c:pt idx="88">
                  <c:v>3.0049128233884481</c:v>
                </c:pt>
                <c:pt idx="89">
                  <c:v>3.0468735114122563</c:v>
                </c:pt>
                <c:pt idx="90">
                  <c:v>3.089011689179916</c:v>
                </c:pt>
                <c:pt idx="91">
                  <c:v>3.1313273566914286</c:v>
                </c:pt>
                <c:pt idx="92">
                  <c:v>3.1738205139467945</c:v>
                </c:pt>
                <c:pt idx="93">
                  <c:v>3.216491160946013</c:v>
                </c:pt>
                <c:pt idx="94">
                  <c:v>3.2593392976890847</c:v>
                </c:pt>
                <c:pt idx="95">
                  <c:v>3.3023649241760085</c:v>
                </c:pt>
                <c:pt idx="96">
                  <c:v>3.3455680404067856</c:v>
                </c:pt>
                <c:pt idx="97">
                  <c:v>3.3889486463814151</c:v>
                </c:pt>
                <c:pt idx="98">
                  <c:v>3.4325067420998971</c:v>
                </c:pt>
                <c:pt idx="99">
                  <c:v>3.4762423275622325</c:v>
                </c:pt>
                <c:pt idx="100">
                  <c:v>3.5201554027684203</c:v>
                </c:pt>
                <c:pt idx="101">
                  <c:v>3.5642459677184619</c:v>
                </c:pt>
                <c:pt idx="102">
                  <c:v>3.6085140224123551</c:v>
                </c:pt>
                <c:pt idx="103">
                  <c:v>3.652959566850102</c:v>
                </c:pt>
                <c:pt idx="104">
                  <c:v>3.6975826010317014</c:v>
                </c:pt>
                <c:pt idx="105">
                  <c:v>3.7423831249571533</c:v>
                </c:pt>
                <c:pt idx="106">
                  <c:v>3.7873611386264594</c:v>
                </c:pt>
                <c:pt idx="107">
                  <c:v>3.8325166420396171</c:v>
                </c:pt>
                <c:pt idx="108">
                  <c:v>3.8778496351966272</c:v>
                </c:pt>
                <c:pt idx="109">
                  <c:v>3.9233601180974906</c:v>
                </c:pt>
                <c:pt idx="110">
                  <c:v>3.9690480907422057</c:v>
                </c:pt>
                <c:pt idx="111">
                  <c:v>4.0149135531307758</c:v>
                </c:pt>
                <c:pt idx="112">
                  <c:v>4.0609565052631975</c:v>
                </c:pt>
                <c:pt idx="113">
                  <c:v>4.1071769471394717</c:v>
                </c:pt>
                <c:pt idx="114">
                  <c:v>4.1535748787596001</c:v>
                </c:pt>
                <c:pt idx="115">
                  <c:v>4.20015030012358</c:v>
                </c:pt>
                <c:pt idx="116">
                  <c:v>4.2469032112314125</c:v>
                </c:pt>
                <c:pt idx="117">
                  <c:v>4.2938336120830982</c:v>
                </c:pt>
                <c:pt idx="118">
                  <c:v>4.3409415026786373</c:v>
                </c:pt>
                <c:pt idx="119">
                  <c:v>4.3882268830180289</c:v>
                </c:pt>
                <c:pt idx="120">
                  <c:v>4.4356897531012729</c:v>
                </c:pt>
                <c:pt idx="121">
                  <c:v>4.4833301129283711</c:v>
                </c:pt>
                <c:pt idx="122">
                  <c:v>4.5311479624993201</c:v>
                </c:pt>
                <c:pt idx="123">
                  <c:v>4.5791433018141223</c:v>
                </c:pt>
                <c:pt idx="124">
                  <c:v>4.6273161308727779</c:v>
                </c:pt>
                <c:pt idx="125">
                  <c:v>4.6756664496752869</c:v>
                </c:pt>
                <c:pt idx="126">
                  <c:v>4.7241942582216474</c:v>
                </c:pt>
                <c:pt idx="127">
                  <c:v>4.7728995565118622</c:v>
                </c:pt>
                <c:pt idx="128">
                  <c:v>4.8217823445459285</c:v>
                </c:pt>
                <c:pt idx="129">
                  <c:v>4.8708426223238472</c:v>
                </c:pt>
                <c:pt idx="130">
                  <c:v>4.9200803898456194</c:v>
                </c:pt>
                <c:pt idx="131">
                  <c:v>4.9694956471112466</c:v>
                </c:pt>
                <c:pt idx="132">
                  <c:v>5.0190883941207236</c:v>
                </c:pt>
                <c:pt idx="133">
                  <c:v>5.068858630874054</c:v>
                </c:pt>
                <c:pt idx="134">
                  <c:v>5.1188063573712386</c:v>
                </c:pt>
                <c:pt idx="135">
                  <c:v>5.1689315736122747</c:v>
                </c:pt>
                <c:pt idx="136">
                  <c:v>5.2192342795971651</c:v>
                </c:pt>
                <c:pt idx="137">
                  <c:v>5.2697144753259062</c:v>
                </c:pt>
                <c:pt idx="138">
                  <c:v>5.3203721607985024</c:v>
                </c:pt>
                <c:pt idx="139">
                  <c:v>5.3712073360149493</c:v>
                </c:pt>
                <c:pt idx="140">
                  <c:v>5.4222200009752504</c:v>
                </c:pt>
                <c:pt idx="141">
                  <c:v>5.473410155679403</c:v>
                </c:pt>
                <c:pt idx="142">
                  <c:v>5.5247778001274082</c:v>
                </c:pt>
                <c:pt idx="143">
                  <c:v>5.5763229343192684</c:v>
                </c:pt>
                <c:pt idx="144">
                  <c:v>5.6280455582549793</c:v>
                </c:pt>
                <c:pt idx="145">
                  <c:v>5.6799456719345436</c:v>
                </c:pt>
                <c:pt idx="146">
                  <c:v>5.7320232753579621</c:v>
                </c:pt>
                <c:pt idx="147">
                  <c:v>5.7842783685252313</c:v>
                </c:pt>
                <c:pt idx="148">
                  <c:v>5.8367109514363538</c:v>
                </c:pt>
                <c:pt idx="149">
                  <c:v>5.8893210240913287</c:v>
                </c:pt>
                <c:pt idx="150">
                  <c:v>5.9421085864901597</c:v>
                </c:pt>
              </c:numCache>
            </c:numRef>
          </c:yVal>
          <c:smooth val="1"/>
          <c:extLst>
            <c:ext xmlns:c16="http://schemas.microsoft.com/office/drawing/2014/chart" uri="{C3380CC4-5D6E-409C-BE32-E72D297353CC}">
              <c16:uniqueId val="{00000001-8AEF-4CD2-9E91-5056CF00EB36}"/>
            </c:ext>
          </c:extLst>
        </c:ser>
        <c:ser>
          <c:idx val="2"/>
          <c:order val="2"/>
          <c:tx>
            <c:v>Diode</c:v>
          </c:tx>
          <c:marker>
            <c:symbol val="none"/>
          </c:marker>
          <c:xVal>
            <c:numRef>
              <c:f>Eff_vs_IOUT!$S$7:$S$157</c:f>
              <c:numCache>
                <c:formatCode>General</c:formatCode>
                <c:ptCount val="151"/>
                <c:pt idx="0">
                  <c:v>0</c:v>
                </c:pt>
                <c:pt idx="1">
                  <c:v>3.3999999999999996E-2</c:v>
                </c:pt>
                <c:pt idx="2">
                  <c:v>6.7999999999999991E-2</c:v>
                </c:pt>
                <c:pt idx="3">
                  <c:v>0.10199999999999998</c:v>
                </c:pt>
                <c:pt idx="4">
                  <c:v>0.13599999999999998</c:v>
                </c:pt>
                <c:pt idx="5">
                  <c:v>0.16999999999999998</c:v>
                </c:pt>
                <c:pt idx="6">
                  <c:v>0.20399999999999996</c:v>
                </c:pt>
                <c:pt idx="7">
                  <c:v>0.23799999999999996</c:v>
                </c:pt>
                <c:pt idx="8">
                  <c:v>0.27199999999999996</c:v>
                </c:pt>
                <c:pt idx="9">
                  <c:v>0.30599999999999994</c:v>
                </c:pt>
                <c:pt idx="10">
                  <c:v>0.33999999999999997</c:v>
                </c:pt>
                <c:pt idx="11">
                  <c:v>0.37399999999999994</c:v>
                </c:pt>
                <c:pt idx="12">
                  <c:v>0.40799999999999992</c:v>
                </c:pt>
                <c:pt idx="13">
                  <c:v>0.44199999999999995</c:v>
                </c:pt>
                <c:pt idx="14">
                  <c:v>0.47599999999999992</c:v>
                </c:pt>
                <c:pt idx="15">
                  <c:v>0.5099999999999999</c:v>
                </c:pt>
                <c:pt idx="16">
                  <c:v>0.54399999999999993</c:v>
                </c:pt>
                <c:pt idx="17">
                  <c:v>0.57799999999999996</c:v>
                </c:pt>
                <c:pt idx="18">
                  <c:v>0.61199999999999988</c:v>
                </c:pt>
                <c:pt idx="19">
                  <c:v>0.64599999999999991</c:v>
                </c:pt>
                <c:pt idx="20">
                  <c:v>0.67999999999999994</c:v>
                </c:pt>
                <c:pt idx="21">
                  <c:v>0.71399999999999986</c:v>
                </c:pt>
                <c:pt idx="22">
                  <c:v>0.74799999999999989</c:v>
                </c:pt>
                <c:pt idx="23">
                  <c:v>0.78199999999999992</c:v>
                </c:pt>
                <c:pt idx="24">
                  <c:v>0.81599999999999984</c:v>
                </c:pt>
                <c:pt idx="25">
                  <c:v>0.84999999999999987</c:v>
                </c:pt>
                <c:pt idx="26">
                  <c:v>0.8839999999999999</c:v>
                </c:pt>
                <c:pt idx="27">
                  <c:v>0.91799999999999993</c:v>
                </c:pt>
                <c:pt idx="28">
                  <c:v>0.95199999999999985</c:v>
                </c:pt>
                <c:pt idx="29">
                  <c:v>0.98599999999999988</c:v>
                </c:pt>
                <c:pt idx="30">
                  <c:v>1.0199999999999998</c:v>
                </c:pt>
                <c:pt idx="31">
                  <c:v>1.0539999999999998</c:v>
                </c:pt>
                <c:pt idx="32">
                  <c:v>1.0879999999999999</c:v>
                </c:pt>
                <c:pt idx="33">
                  <c:v>1.1219999999999999</c:v>
                </c:pt>
                <c:pt idx="34">
                  <c:v>1.1559999999999999</c:v>
                </c:pt>
                <c:pt idx="35">
                  <c:v>1.19</c:v>
                </c:pt>
                <c:pt idx="36">
                  <c:v>1.2239999999999998</c:v>
                </c:pt>
                <c:pt idx="37">
                  <c:v>1.2579999999999998</c:v>
                </c:pt>
                <c:pt idx="38">
                  <c:v>1.2919999999999998</c:v>
                </c:pt>
                <c:pt idx="39">
                  <c:v>1.3259999999999998</c:v>
                </c:pt>
                <c:pt idx="40">
                  <c:v>1.3599999999999999</c:v>
                </c:pt>
                <c:pt idx="41">
                  <c:v>1.3939999999999999</c:v>
                </c:pt>
                <c:pt idx="42">
                  <c:v>1.4279999999999997</c:v>
                </c:pt>
                <c:pt idx="43">
                  <c:v>1.4619999999999997</c:v>
                </c:pt>
                <c:pt idx="44">
                  <c:v>1.4959999999999998</c:v>
                </c:pt>
                <c:pt idx="45">
                  <c:v>1.5299999999999998</c:v>
                </c:pt>
                <c:pt idx="46">
                  <c:v>1.5639999999999998</c:v>
                </c:pt>
                <c:pt idx="47">
                  <c:v>1.5979999999999999</c:v>
                </c:pt>
                <c:pt idx="48">
                  <c:v>1.6319999999999997</c:v>
                </c:pt>
                <c:pt idx="49">
                  <c:v>1.6659999999999997</c:v>
                </c:pt>
                <c:pt idx="50">
                  <c:v>1.6999999999999997</c:v>
                </c:pt>
                <c:pt idx="51">
                  <c:v>1.7339999999999998</c:v>
                </c:pt>
                <c:pt idx="52">
                  <c:v>1.7679999999999998</c:v>
                </c:pt>
                <c:pt idx="53">
                  <c:v>1.8019999999999998</c:v>
                </c:pt>
                <c:pt idx="54">
                  <c:v>1.8359999999999999</c:v>
                </c:pt>
                <c:pt idx="55">
                  <c:v>1.8699999999999997</c:v>
                </c:pt>
                <c:pt idx="56">
                  <c:v>1.9039999999999997</c:v>
                </c:pt>
                <c:pt idx="57">
                  <c:v>1.9379999999999997</c:v>
                </c:pt>
                <c:pt idx="58">
                  <c:v>1.9719999999999998</c:v>
                </c:pt>
                <c:pt idx="59">
                  <c:v>2.0059999999999998</c:v>
                </c:pt>
                <c:pt idx="60">
                  <c:v>2.0399999999999996</c:v>
                </c:pt>
                <c:pt idx="61">
                  <c:v>2.0739999999999998</c:v>
                </c:pt>
                <c:pt idx="62">
                  <c:v>2.1079999999999997</c:v>
                </c:pt>
                <c:pt idx="63">
                  <c:v>2.1419999999999999</c:v>
                </c:pt>
                <c:pt idx="64">
                  <c:v>2.1759999999999997</c:v>
                </c:pt>
                <c:pt idx="65">
                  <c:v>2.2099999999999995</c:v>
                </c:pt>
                <c:pt idx="66">
                  <c:v>2.2439999999999998</c:v>
                </c:pt>
                <c:pt idx="67">
                  <c:v>2.2779999999999996</c:v>
                </c:pt>
                <c:pt idx="68">
                  <c:v>2.3119999999999998</c:v>
                </c:pt>
                <c:pt idx="69">
                  <c:v>2.3459999999999996</c:v>
                </c:pt>
                <c:pt idx="70">
                  <c:v>2.38</c:v>
                </c:pt>
                <c:pt idx="71">
                  <c:v>2.4139999999999997</c:v>
                </c:pt>
                <c:pt idx="72">
                  <c:v>2.4479999999999995</c:v>
                </c:pt>
                <c:pt idx="73">
                  <c:v>2.4819999999999998</c:v>
                </c:pt>
                <c:pt idx="74">
                  <c:v>2.5159999999999996</c:v>
                </c:pt>
                <c:pt idx="75">
                  <c:v>2.5499999999999998</c:v>
                </c:pt>
                <c:pt idx="76">
                  <c:v>2.5839999999999996</c:v>
                </c:pt>
                <c:pt idx="77">
                  <c:v>2.6179999999999994</c:v>
                </c:pt>
                <c:pt idx="78">
                  <c:v>2.6519999999999997</c:v>
                </c:pt>
                <c:pt idx="79">
                  <c:v>2.6859999999999995</c:v>
                </c:pt>
                <c:pt idx="80">
                  <c:v>2.7199999999999998</c:v>
                </c:pt>
                <c:pt idx="81">
                  <c:v>2.7539999999999996</c:v>
                </c:pt>
                <c:pt idx="82">
                  <c:v>2.7879999999999998</c:v>
                </c:pt>
                <c:pt idx="83">
                  <c:v>2.8219999999999996</c:v>
                </c:pt>
                <c:pt idx="84">
                  <c:v>2.8559999999999994</c:v>
                </c:pt>
                <c:pt idx="85">
                  <c:v>2.8899999999999997</c:v>
                </c:pt>
                <c:pt idx="86">
                  <c:v>2.9239999999999995</c:v>
                </c:pt>
                <c:pt idx="87">
                  <c:v>2.9579999999999997</c:v>
                </c:pt>
                <c:pt idx="88">
                  <c:v>2.9919999999999995</c:v>
                </c:pt>
                <c:pt idx="89">
                  <c:v>3.0259999999999998</c:v>
                </c:pt>
                <c:pt idx="90">
                  <c:v>3.0599999999999996</c:v>
                </c:pt>
                <c:pt idx="91">
                  <c:v>3.0939999999999994</c:v>
                </c:pt>
                <c:pt idx="92">
                  <c:v>3.1279999999999997</c:v>
                </c:pt>
                <c:pt idx="93">
                  <c:v>3.1619999999999995</c:v>
                </c:pt>
                <c:pt idx="94">
                  <c:v>3.1959999999999997</c:v>
                </c:pt>
                <c:pt idx="95">
                  <c:v>3.2299999999999995</c:v>
                </c:pt>
                <c:pt idx="96">
                  <c:v>3.2639999999999993</c:v>
                </c:pt>
                <c:pt idx="97">
                  <c:v>3.2979999999999996</c:v>
                </c:pt>
                <c:pt idx="98">
                  <c:v>3.3319999999999994</c:v>
                </c:pt>
                <c:pt idx="99">
                  <c:v>3.3659999999999997</c:v>
                </c:pt>
                <c:pt idx="100">
                  <c:v>3.3999999999999995</c:v>
                </c:pt>
                <c:pt idx="101">
                  <c:v>3.4339999999999997</c:v>
                </c:pt>
                <c:pt idx="102">
                  <c:v>3.4679999999999995</c:v>
                </c:pt>
                <c:pt idx="103">
                  <c:v>3.5019999999999993</c:v>
                </c:pt>
                <c:pt idx="104">
                  <c:v>3.5359999999999996</c:v>
                </c:pt>
                <c:pt idx="105">
                  <c:v>3.5699999999999994</c:v>
                </c:pt>
                <c:pt idx="106">
                  <c:v>3.6039999999999996</c:v>
                </c:pt>
                <c:pt idx="107">
                  <c:v>3.6379999999999995</c:v>
                </c:pt>
                <c:pt idx="108">
                  <c:v>3.6719999999999997</c:v>
                </c:pt>
                <c:pt idx="109">
                  <c:v>3.7059999999999995</c:v>
                </c:pt>
                <c:pt idx="110">
                  <c:v>3.7399999999999993</c:v>
                </c:pt>
                <c:pt idx="111">
                  <c:v>3.7739999999999996</c:v>
                </c:pt>
                <c:pt idx="112">
                  <c:v>3.8079999999999994</c:v>
                </c:pt>
                <c:pt idx="113">
                  <c:v>3.8419999999999996</c:v>
                </c:pt>
                <c:pt idx="114">
                  <c:v>3.8759999999999994</c:v>
                </c:pt>
                <c:pt idx="115">
                  <c:v>3.9099999999999997</c:v>
                </c:pt>
                <c:pt idx="116">
                  <c:v>3.9439999999999995</c:v>
                </c:pt>
                <c:pt idx="117">
                  <c:v>3.9779999999999993</c:v>
                </c:pt>
                <c:pt idx="118">
                  <c:v>4.0119999999999996</c:v>
                </c:pt>
                <c:pt idx="119">
                  <c:v>4.0459999999999994</c:v>
                </c:pt>
                <c:pt idx="120">
                  <c:v>4.0799999999999992</c:v>
                </c:pt>
                <c:pt idx="121">
                  <c:v>4.1139999999999999</c:v>
                </c:pt>
                <c:pt idx="122">
                  <c:v>4.1479999999999997</c:v>
                </c:pt>
                <c:pt idx="123">
                  <c:v>4.1819999999999995</c:v>
                </c:pt>
                <c:pt idx="124">
                  <c:v>4.2159999999999993</c:v>
                </c:pt>
                <c:pt idx="125">
                  <c:v>4.2499999999999991</c:v>
                </c:pt>
                <c:pt idx="126">
                  <c:v>4.2839999999999998</c:v>
                </c:pt>
                <c:pt idx="127">
                  <c:v>4.3179999999999996</c:v>
                </c:pt>
                <c:pt idx="128">
                  <c:v>4.3519999999999994</c:v>
                </c:pt>
                <c:pt idx="129">
                  <c:v>4.3859999999999992</c:v>
                </c:pt>
                <c:pt idx="130">
                  <c:v>4.419999999999999</c:v>
                </c:pt>
                <c:pt idx="131">
                  <c:v>4.4539999999999997</c:v>
                </c:pt>
                <c:pt idx="132">
                  <c:v>4.4879999999999995</c:v>
                </c:pt>
                <c:pt idx="133">
                  <c:v>4.5219999999999994</c:v>
                </c:pt>
                <c:pt idx="134">
                  <c:v>4.5559999999999992</c:v>
                </c:pt>
                <c:pt idx="135">
                  <c:v>4.589999999999999</c:v>
                </c:pt>
                <c:pt idx="136">
                  <c:v>4.6239999999999997</c:v>
                </c:pt>
                <c:pt idx="137">
                  <c:v>4.6579999999999995</c:v>
                </c:pt>
                <c:pt idx="138">
                  <c:v>4.6919999999999993</c:v>
                </c:pt>
                <c:pt idx="139">
                  <c:v>4.7259999999999991</c:v>
                </c:pt>
                <c:pt idx="140">
                  <c:v>4.76</c:v>
                </c:pt>
                <c:pt idx="141">
                  <c:v>4.7939999999999996</c:v>
                </c:pt>
                <c:pt idx="142">
                  <c:v>4.8279999999999994</c:v>
                </c:pt>
                <c:pt idx="143">
                  <c:v>4.8619999999999992</c:v>
                </c:pt>
                <c:pt idx="144">
                  <c:v>4.895999999999999</c:v>
                </c:pt>
                <c:pt idx="145">
                  <c:v>4.93</c:v>
                </c:pt>
                <c:pt idx="146">
                  <c:v>4.9639999999999995</c:v>
                </c:pt>
                <c:pt idx="147">
                  <c:v>4.9979999999999993</c:v>
                </c:pt>
                <c:pt idx="148">
                  <c:v>5.0319999999999991</c:v>
                </c:pt>
                <c:pt idx="149">
                  <c:v>5.0659999999999989</c:v>
                </c:pt>
                <c:pt idx="150">
                  <c:v>5.0999999999999996</c:v>
                </c:pt>
              </c:numCache>
            </c:numRef>
          </c:xVal>
          <c:yVal>
            <c:numRef>
              <c:f>Eff_vs_IOUT!$AN$7:$AN$157</c:f>
              <c:numCache>
                <c:formatCode>General</c:formatCode>
                <c:ptCount val="151"/>
                <c:pt idx="0">
                  <c:v>9.4760000000000011E-2</c:v>
                </c:pt>
                <c:pt idx="1">
                  <c:v>0.11108000000000001</c:v>
                </c:pt>
                <c:pt idx="2">
                  <c:v>0.12740000000000001</c:v>
                </c:pt>
                <c:pt idx="3">
                  <c:v>0.14372000000000001</c:v>
                </c:pt>
                <c:pt idx="4">
                  <c:v>0.16004000000000002</c:v>
                </c:pt>
                <c:pt idx="5">
                  <c:v>0.17636000000000002</c:v>
                </c:pt>
                <c:pt idx="6">
                  <c:v>0.19267999999999999</c:v>
                </c:pt>
                <c:pt idx="7">
                  <c:v>0.20899999999999999</c:v>
                </c:pt>
                <c:pt idx="8">
                  <c:v>0.22531999999999999</c:v>
                </c:pt>
                <c:pt idx="9">
                  <c:v>0.24163999999999997</c:v>
                </c:pt>
                <c:pt idx="10">
                  <c:v>0.25795999999999997</c:v>
                </c:pt>
                <c:pt idx="11">
                  <c:v>0.27427999999999997</c:v>
                </c:pt>
                <c:pt idx="12">
                  <c:v>0.29059999999999997</c:v>
                </c:pt>
                <c:pt idx="13">
                  <c:v>0.30691999999999997</c:v>
                </c:pt>
                <c:pt idx="14">
                  <c:v>0.32323999999999997</c:v>
                </c:pt>
                <c:pt idx="15">
                  <c:v>0.33955999999999997</c:v>
                </c:pt>
                <c:pt idx="16">
                  <c:v>0.35587999999999997</c:v>
                </c:pt>
                <c:pt idx="17">
                  <c:v>0.37219999999999998</c:v>
                </c:pt>
                <c:pt idx="18">
                  <c:v>0.38851999999999992</c:v>
                </c:pt>
                <c:pt idx="19">
                  <c:v>0.40483999999999998</c:v>
                </c:pt>
                <c:pt idx="20">
                  <c:v>0.42115999999999998</c:v>
                </c:pt>
                <c:pt idx="21">
                  <c:v>0.43747999999999992</c:v>
                </c:pt>
                <c:pt idx="22">
                  <c:v>0.45379999999999993</c:v>
                </c:pt>
                <c:pt idx="23">
                  <c:v>0.47011999999999998</c:v>
                </c:pt>
                <c:pt idx="24">
                  <c:v>0.48643999999999993</c:v>
                </c:pt>
                <c:pt idx="25">
                  <c:v>0.50275999999999987</c:v>
                </c:pt>
                <c:pt idx="26">
                  <c:v>0.51907999999999999</c:v>
                </c:pt>
                <c:pt idx="27">
                  <c:v>0.53539999999999999</c:v>
                </c:pt>
                <c:pt idx="28">
                  <c:v>0.55171999999999999</c:v>
                </c:pt>
                <c:pt idx="29">
                  <c:v>0.56803999999999988</c:v>
                </c:pt>
                <c:pt idx="30">
                  <c:v>0.58435999999999988</c:v>
                </c:pt>
                <c:pt idx="31">
                  <c:v>0.60067999999999988</c:v>
                </c:pt>
                <c:pt idx="32">
                  <c:v>0.61699999999999999</c:v>
                </c:pt>
                <c:pt idx="33">
                  <c:v>0.63331999999999988</c:v>
                </c:pt>
                <c:pt idx="34">
                  <c:v>0.64964</c:v>
                </c:pt>
                <c:pt idx="35">
                  <c:v>0.66595999999999989</c:v>
                </c:pt>
                <c:pt idx="36">
                  <c:v>0.68227999999999978</c:v>
                </c:pt>
                <c:pt idx="37">
                  <c:v>0.69859999999999989</c:v>
                </c:pt>
                <c:pt idx="38">
                  <c:v>0.71492</c:v>
                </c:pt>
                <c:pt idx="39">
                  <c:v>0.73123999999999989</c:v>
                </c:pt>
                <c:pt idx="40">
                  <c:v>0.74756</c:v>
                </c:pt>
                <c:pt idx="41">
                  <c:v>0.76387999999999989</c:v>
                </c:pt>
                <c:pt idx="42">
                  <c:v>0.78019999999999978</c:v>
                </c:pt>
                <c:pt idx="43">
                  <c:v>0.79651999999999989</c:v>
                </c:pt>
                <c:pt idx="44">
                  <c:v>0.81283999999999978</c:v>
                </c:pt>
                <c:pt idx="45">
                  <c:v>0.8291599999999999</c:v>
                </c:pt>
                <c:pt idx="46">
                  <c:v>0.84548000000000001</c:v>
                </c:pt>
                <c:pt idx="47">
                  <c:v>0.8617999999999999</c:v>
                </c:pt>
                <c:pt idx="48">
                  <c:v>0.87811999999999979</c:v>
                </c:pt>
                <c:pt idx="49">
                  <c:v>0.8944399999999999</c:v>
                </c:pt>
                <c:pt idx="50">
                  <c:v>0.91075999999999979</c:v>
                </c:pt>
                <c:pt idx="51">
                  <c:v>0.9270799999999999</c:v>
                </c:pt>
                <c:pt idx="52">
                  <c:v>0.94339999999999979</c:v>
                </c:pt>
                <c:pt idx="53">
                  <c:v>0.95971999999999991</c:v>
                </c:pt>
                <c:pt idx="54">
                  <c:v>0.97604000000000002</c:v>
                </c:pt>
                <c:pt idx="55">
                  <c:v>0.99235999999999991</c:v>
                </c:pt>
                <c:pt idx="56">
                  <c:v>1.0086799999999998</c:v>
                </c:pt>
                <c:pt idx="57">
                  <c:v>1.0249999999999999</c:v>
                </c:pt>
                <c:pt idx="58">
                  <c:v>1.0413199999999998</c:v>
                </c:pt>
                <c:pt idx="59">
                  <c:v>1.0576399999999999</c:v>
                </c:pt>
                <c:pt idx="60">
                  <c:v>1.0739599999999998</c:v>
                </c:pt>
                <c:pt idx="61">
                  <c:v>1.0902799999999999</c:v>
                </c:pt>
                <c:pt idx="62">
                  <c:v>1.1065999999999998</c:v>
                </c:pt>
                <c:pt idx="63">
                  <c:v>1.1229199999999999</c:v>
                </c:pt>
                <c:pt idx="64">
                  <c:v>1.1392399999999998</c:v>
                </c:pt>
                <c:pt idx="65">
                  <c:v>1.1555599999999997</c:v>
                </c:pt>
                <c:pt idx="66">
                  <c:v>1.1718799999999998</c:v>
                </c:pt>
                <c:pt idx="67">
                  <c:v>1.1881999999999997</c:v>
                </c:pt>
                <c:pt idx="68">
                  <c:v>1.2045199999999998</c:v>
                </c:pt>
                <c:pt idx="69">
                  <c:v>1.2208399999999997</c:v>
                </c:pt>
                <c:pt idx="70">
                  <c:v>1.2371599999999998</c:v>
                </c:pt>
                <c:pt idx="71">
                  <c:v>1.2534799999999997</c:v>
                </c:pt>
                <c:pt idx="72">
                  <c:v>1.2697999999999996</c:v>
                </c:pt>
                <c:pt idx="73">
                  <c:v>1.2861199999999997</c:v>
                </c:pt>
                <c:pt idx="74">
                  <c:v>1.3024399999999996</c:v>
                </c:pt>
                <c:pt idx="75">
                  <c:v>1.3187599999999999</c:v>
                </c:pt>
                <c:pt idx="76">
                  <c:v>1.3350799999999998</c:v>
                </c:pt>
                <c:pt idx="77">
                  <c:v>1.3513999999999997</c:v>
                </c:pt>
                <c:pt idx="78">
                  <c:v>1.3677199999999998</c:v>
                </c:pt>
                <c:pt idx="79">
                  <c:v>1.3840399999999997</c:v>
                </c:pt>
                <c:pt idx="80">
                  <c:v>1.4003599999999998</c:v>
                </c:pt>
                <c:pt idx="81">
                  <c:v>1.4166799999999997</c:v>
                </c:pt>
                <c:pt idx="82">
                  <c:v>1.4329999999999998</c:v>
                </c:pt>
                <c:pt idx="83">
                  <c:v>1.4493199999999997</c:v>
                </c:pt>
                <c:pt idx="84">
                  <c:v>1.4656399999999996</c:v>
                </c:pt>
                <c:pt idx="85">
                  <c:v>1.4819599999999997</c:v>
                </c:pt>
                <c:pt idx="86">
                  <c:v>1.4982799999999996</c:v>
                </c:pt>
                <c:pt idx="87">
                  <c:v>1.5145999999999997</c:v>
                </c:pt>
                <c:pt idx="88">
                  <c:v>1.5309199999999996</c:v>
                </c:pt>
                <c:pt idx="89">
                  <c:v>1.5472399999999997</c:v>
                </c:pt>
                <c:pt idx="90">
                  <c:v>1.5635599999999996</c:v>
                </c:pt>
                <c:pt idx="91">
                  <c:v>1.5798799999999997</c:v>
                </c:pt>
                <c:pt idx="92">
                  <c:v>1.5961999999999998</c:v>
                </c:pt>
                <c:pt idx="93">
                  <c:v>1.6125199999999997</c:v>
                </c:pt>
                <c:pt idx="94">
                  <c:v>1.6288399999999998</c:v>
                </c:pt>
                <c:pt idx="95">
                  <c:v>1.6451599999999997</c:v>
                </c:pt>
                <c:pt idx="96">
                  <c:v>1.6614799999999996</c:v>
                </c:pt>
                <c:pt idx="97">
                  <c:v>1.6777999999999997</c:v>
                </c:pt>
                <c:pt idx="98">
                  <c:v>1.6941199999999996</c:v>
                </c:pt>
                <c:pt idx="99">
                  <c:v>1.7104399999999997</c:v>
                </c:pt>
                <c:pt idx="100">
                  <c:v>1.7267599999999996</c:v>
                </c:pt>
                <c:pt idx="101">
                  <c:v>1.7430799999999997</c:v>
                </c:pt>
                <c:pt idx="102">
                  <c:v>1.7593999999999996</c:v>
                </c:pt>
                <c:pt idx="103">
                  <c:v>1.7757199999999995</c:v>
                </c:pt>
                <c:pt idx="104">
                  <c:v>1.7920399999999996</c:v>
                </c:pt>
                <c:pt idx="105">
                  <c:v>1.8083599999999995</c:v>
                </c:pt>
                <c:pt idx="106">
                  <c:v>1.8246799999999996</c:v>
                </c:pt>
                <c:pt idx="107">
                  <c:v>1.8409999999999995</c:v>
                </c:pt>
                <c:pt idx="108">
                  <c:v>1.8573199999999999</c:v>
                </c:pt>
                <c:pt idx="109">
                  <c:v>1.8736399999999998</c:v>
                </c:pt>
                <c:pt idx="110">
                  <c:v>1.8899599999999996</c:v>
                </c:pt>
                <c:pt idx="111">
                  <c:v>1.9062799999999998</c:v>
                </c:pt>
                <c:pt idx="112">
                  <c:v>1.9225999999999996</c:v>
                </c:pt>
                <c:pt idx="113">
                  <c:v>1.9389199999999998</c:v>
                </c:pt>
                <c:pt idx="114">
                  <c:v>1.9552399999999996</c:v>
                </c:pt>
                <c:pt idx="115">
                  <c:v>1.9715599999999998</c:v>
                </c:pt>
                <c:pt idx="116">
                  <c:v>1.9878799999999996</c:v>
                </c:pt>
                <c:pt idx="117">
                  <c:v>2.0041999999999995</c:v>
                </c:pt>
                <c:pt idx="118">
                  <c:v>2.0205199999999999</c:v>
                </c:pt>
                <c:pt idx="119">
                  <c:v>2.0368399999999998</c:v>
                </c:pt>
                <c:pt idx="120">
                  <c:v>2.0531599999999997</c:v>
                </c:pt>
                <c:pt idx="121">
                  <c:v>2.06948</c:v>
                </c:pt>
                <c:pt idx="122">
                  <c:v>2.0857999999999999</c:v>
                </c:pt>
                <c:pt idx="123">
                  <c:v>2.1021199999999998</c:v>
                </c:pt>
                <c:pt idx="124">
                  <c:v>2.1184399999999997</c:v>
                </c:pt>
                <c:pt idx="125">
                  <c:v>2.1347599999999995</c:v>
                </c:pt>
                <c:pt idx="126">
                  <c:v>2.1510799999999999</c:v>
                </c:pt>
                <c:pt idx="127">
                  <c:v>2.1673999999999998</c:v>
                </c:pt>
                <c:pt idx="128">
                  <c:v>2.1837199999999997</c:v>
                </c:pt>
                <c:pt idx="129">
                  <c:v>2.2000399999999996</c:v>
                </c:pt>
                <c:pt idx="130">
                  <c:v>2.2163599999999994</c:v>
                </c:pt>
                <c:pt idx="131">
                  <c:v>2.2326799999999998</c:v>
                </c:pt>
                <c:pt idx="132">
                  <c:v>2.2489999999999997</c:v>
                </c:pt>
                <c:pt idx="133">
                  <c:v>2.2653199999999996</c:v>
                </c:pt>
                <c:pt idx="134">
                  <c:v>2.2816399999999994</c:v>
                </c:pt>
                <c:pt idx="135">
                  <c:v>2.2979599999999993</c:v>
                </c:pt>
                <c:pt idx="136">
                  <c:v>2.3142799999999997</c:v>
                </c:pt>
                <c:pt idx="137">
                  <c:v>2.3305999999999996</c:v>
                </c:pt>
                <c:pt idx="138">
                  <c:v>2.3469199999999995</c:v>
                </c:pt>
                <c:pt idx="139">
                  <c:v>2.3632399999999993</c:v>
                </c:pt>
                <c:pt idx="140">
                  <c:v>2.3795599999999997</c:v>
                </c:pt>
                <c:pt idx="141">
                  <c:v>2.3958799999999996</c:v>
                </c:pt>
                <c:pt idx="142">
                  <c:v>2.4121999999999995</c:v>
                </c:pt>
                <c:pt idx="143">
                  <c:v>2.4285199999999993</c:v>
                </c:pt>
                <c:pt idx="144">
                  <c:v>2.4448399999999992</c:v>
                </c:pt>
                <c:pt idx="145">
                  <c:v>2.4611599999999996</c:v>
                </c:pt>
                <c:pt idx="146">
                  <c:v>2.4774799999999995</c:v>
                </c:pt>
                <c:pt idx="147">
                  <c:v>2.4937999999999994</c:v>
                </c:pt>
                <c:pt idx="148">
                  <c:v>2.5101199999999992</c:v>
                </c:pt>
                <c:pt idx="149">
                  <c:v>2.5264399999999996</c:v>
                </c:pt>
                <c:pt idx="150">
                  <c:v>2.5427599999999999</c:v>
                </c:pt>
              </c:numCache>
            </c:numRef>
          </c:yVal>
          <c:smooth val="1"/>
          <c:extLst>
            <c:ext xmlns:c16="http://schemas.microsoft.com/office/drawing/2014/chart" uri="{C3380CC4-5D6E-409C-BE32-E72D297353CC}">
              <c16:uniqueId val="{00000002-8AEF-4CD2-9E91-5056CF00EB36}"/>
            </c:ext>
          </c:extLst>
        </c:ser>
        <c:ser>
          <c:idx val="3"/>
          <c:order val="3"/>
          <c:tx>
            <c:v>RCS</c:v>
          </c:tx>
          <c:marker>
            <c:symbol val="none"/>
          </c:marker>
          <c:xVal>
            <c:numRef>
              <c:f>Eff_vs_IOUT!$S$7:$S$157</c:f>
              <c:numCache>
                <c:formatCode>General</c:formatCode>
                <c:ptCount val="151"/>
                <c:pt idx="0">
                  <c:v>0</c:v>
                </c:pt>
                <c:pt idx="1">
                  <c:v>3.3999999999999996E-2</c:v>
                </c:pt>
                <c:pt idx="2">
                  <c:v>6.7999999999999991E-2</c:v>
                </c:pt>
                <c:pt idx="3">
                  <c:v>0.10199999999999998</c:v>
                </c:pt>
                <c:pt idx="4">
                  <c:v>0.13599999999999998</c:v>
                </c:pt>
                <c:pt idx="5">
                  <c:v>0.16999999999999998</c:v>
                </c:pt>
                <c:pt idx="6">
                  <c:v>0.20399999999999996</c:v>
                </c:pt>
                <c:pt idx="7">
                  <c:v>0.23799999999999996</c:v>
                </c:pt>
                <c:pt idx="8">
                  <c:v>0.27199999999999996</c:v>
                </c:pt>
                <c:pt idx="9">
                  <c:v>0.30599999999999994</c:v>
                </c:pt>
                <c:pt idx="10">
                  <c:v>0.33999999999999997</c:v>
                </c:pt>
                <c:pt idx="11">
                  <c:v>0.37399999999999994</c:v>
                </c:pt>
                <c:pt idx="12">
                  <c:v>0.40799999999999992</c:v>
                </c:pt>
                <c:pt idx="13">
                  <c:v>0.44199999999999995</c:v>
                </c:pt>
                <c:pt idx="14">
                  <c:v>0.47599999999999992</c:v>
                </c:pt>
                <c:pt idx="15">
                  <c:v>0.5099999999999999</c:v>
                </c:pt>
                <c:pt idx="16">
                  <c:v>0.54399999999999993</c:v>
                </c:pt>
                <c:pt idx="17">
                  <c:v>0.57799999999999996</c:v>
                </c:pt>
                <c:pt idx="18">
                  <c:v>0.61199999999999988</c:v>
                </c:pt>
                <c:pt idx="19">
                  <c:v>0.64599999999999991</c:v>
                </c:pt>
                <c:pt idx="20">
                  <c:v>0.67999999999999994</c:v>
                </c:pt>
                <c:pt idx="21">
                  <c:v>0.71399999999999986</c:v>
                </c:pt>
                <c:pt idx="22">
                  <c:v>0.74799999999999989</c:v>
                </c:pt>
                <c:pt idx="23">
                  <c:v>0.78199999999999992</c:v>
                </c:pt>
                <c:pt idx="24">
                  <c:v>0.81599999999999984</c:v>
                </c:pt>
                <c:pt idx="25">
                  <c:v>0.84999999999999987</c:v>
                </c:pt>
                <c:pt idx="26">
                  <c:v>0.8839999999999999</c:v>
                </c:pt>
                <c:pt idx="27">
                  <c:v>0.91799999999999993</c:v>
                </c:pt>
                <c:pt idx="28">
                  <c:v>0.95199999999999985</c:v>
                </c:pt>
                <c:pt idx="29">
                  <c:v>0.98599999999999988</c:v>
                </c:pt>
                <c:pt idx="30">
                  <c:v>1.0199999999999998</c:v>
                </c:pt>
                <c:pt idx="31">
                  <c:v>1.0539999999999998</c:v>
                </c:pt>
                <c:pt idx="32">
                  <c:v>1.0879999999999999</c:v>
                </c:pt>
                <c:pt idx="33">
                  <c:v>1.1219999999999999</c:v>
                </c:pt>
                <c:pt idx="34">
                  <c:v>1.1559999999999999</c:v>
                </c:pt>
                <c:pt idx="35">
                  <c:v>1.19</c:v>
                </c:pt>
                <c:pt idx="36">
                  <c:v>1.2239999999999998</c:v>
                </c:pt>
                <c:pt idx="37">
                  <c:v>1.2579999999999998</c:v>
                </c:pt>
                <c:pt idx="38">
                  <c:v>1.2919999999999998</c:v>
                </c:pt>
                <c:pt idx="39">
                  <c:v>1.3259999999999998</c:v>
                </c:pt>
                <c:pt idx="40">
                  <c:v>1.3599999999999999</c:v>
                </c:pt>
                <c:pt idx="41">
                  <c:v>1.3939999999999999</c:v>
                </c:pt>
                <c:pt idx="42">
                  <c:v>1.4279999999999997</c:v>
                </c:pt>
                <c:pt idx="43">
                  <c:v>1.4619999999999997</c:v>
                </c:pt>
                <c:pt idx="44">
                  <c:v>1.4959999999999998</c:v>
                </c:pt>
                <c:pt idx="45">
                  <c:v>1.5299999999999998</c:v>
                </c:pt>
                <c:pt idx="46">
                  <c:v>1.5639999999999998</c:v>
                </c:pt>
                <c:pt idx="47">
                  <c:v>1.5979999999999999</c:v>
                </c:pt>
                <c:pt idx="48">
                  <c:v>1.6319999999999997</c:v>
                </c:pt>
                <c:pt idx="49">
                  <c:v>1.6659999999999997</c:v>
                </c:pt>
                <c:pt idx="50">
                  <c:v>1.6999999999999997</c:v>
                </c:pt>
                <c:pt idx="51">
                  <c:v>1.7339999999999998</c:v>
                </c:pt>
                <c:pt idx="52">
                  <c:v>1.7679999999999998</c:v>
                </c:pt>
                <c:pt idx="53">
                  <c:v>1.8019999999999998</c:v>
                </c:pt>
                <c:pt idx="54">
                  <c:v>1.8359999999999999</c:v>
                </c:pt>
                <c:pt idx="55">
                  <c:v>1.8699999999999997</c:v>
                </c:pt>
                <c:pt idx="56">
                  <c:v>1.9039999999999997</c:v>
                </c:pt>
                <c:pt idx="57">
                  <c:v>1.9379999999999997</c:v>
                </c:pt>
                <c:pt idx="58">
                  <c:v>1.9719999999999998</c:v>
                </c:pt>
                <c:pt idx="59">
                  <c:v>2.0059999999999998</c:v>
                </c:pt>
                <c:pt idx="60">
                  <c:v>2.0399999999999996</c:v>
                </c:pt>
                <c:pt idx="61">
                  <c:v>2.0739999999999998</c:v>
                </c:pt>
                <c:pt idx="62">
                  <c:v>2.1079999999999997</c:v>
                </c:pt>
                <c:pt idx="63">
                  <c:v>2.1419999999999999</c:v>
                </c:pt>
                <c:pt idx="64">
                  <c:v>2.1759999999999997</c:v>
                </c:pt>
                <c:pt idx="65">
                  <c:v>2.2099999999999995</c:v>
                </c:pt>
                <c:pt idx="66">
                  <c:v>2.2439999999999998</c:v>
                </c:pt>
                <c:pt idx="67">
                  <c:v>2.2779999999999996</c:v>
                </c:pt>
                <c:pt idx="68">
                  <c:v>2.3119999999999998</c:v>
                </c:pt>
                <c:pt idx="69">
                  <c:v>2.3459999999999996</c:v>
                </c:pt>
                <c:pt idx="70">
                  <c:v>2.38</c:v>
                </c:pt>
                <c:pt idx="71">
                  <c:v>2.4139999999999997</c:v>
                </c:pt>
                <c:pt idx="72">
                  <c:v>2.4479999999999995</c:v>
                </c:pt>
                <c:pt idx="73">
                  <c:v>2.4819999999999998</c:v>
                </c:pt>
                <c:pt idx="74">
                  <c:v>2.5159999999999996</c:v>
                </c:pt>
                <c:pt idx="75">
                  <c:v>2.5499999999999998</c:v>
                </c:pt>
                <c:pt idx="76">
                  <c:v>2.5839999999999996</c:v>
                </c:pt>
                <c:pt idx="77">
                  <c:v>2.6179999999999994</c:v>
                </c:pt>
                <c:pt idx="78">
                  <c:v>2.6519999999999997</c:v>
                </c:pt>
                <c:pt idx="79">
                  <c:v>2.6859999999999995</c:v>
                </c:pt>
                <c:pt idx="80">
                  <c:v>2.7199999999999998</c:v>
                </c:pt>
                <c:pt idx="81">
                  <c:v>2.7539999999999996</c:v>
                </c:pt>
                <c:pt idx="82">
                  <c:v>2.7879999999999998</c:v>
                </c:pt>
                <c:pt idx="83">
                  <c:v>2.8219999999999996</c:v>
                </c:pt>
                <c:pt idx="84">
                  <c:v>2.8559999999999994</c:v>
                </c:pt>
                <c:pt idx="85">
                  <c:v>2.8899999999999997</c:v>
                </c:pt>
                <c:pt idx="86">
                  <c:v>2.9239999999999995</c:v>
                </c:pt>
                <c:pt idx="87">
                  <c:v>2.9579999999999997</c:v>
                </c:pt>
                <c:pt idx="88">
                  <c:v>2.9919999999999995</c:v>
                </c:pt>
                <c:pt idx="89">
                  <c:v>3.0259999999999998</c:v>
                </c:pt>
                <c:pt idx="90">
                  <c:v>3.0599999999999996</c:v>
                </c:pt>
                <c:pt idx="91">
                  <c:v>3.0939999999999994</c:v>
                </c:pt>
                <c:pt idx="92">
                  <c:v>3.1279999999999997</c:v>
                </c:pt>
                <c:pt idx="93">
                  <c:v>3.1619999999999995</c:v>
                </c:pt>
                <c:pt idx="94">
                  <c:v>3.1959999999999997</c:v>
                </c:pt>
                <c:pt idx="95">
                  <c:v>3.2299999999999995</c:v>
                </c:pt>
                <c:pt idx="96">
                  <c:v>3.2639999999999993</c:v>
                </c:pt>
                <c:pt idx="97">
                  <c:v>3.2979999999999996</c:v>
                </c:pt>
                <c:pt idx="98">
                  <c:v>3.3319999999999994</c:v>
                </c:pt>
                <c:pt idx="99">
                  <c:v>3.3659999999999997</c:v>
                </c:pt>
                <c:pt idx="100">
                  <c:v>3.3999999999999995</c:v>
                </c:pt>
                <c:pt idx="101">
                  <c:v>3.4339999999999997</c:v>
                </c:pt>
                <c:pt idx="102">
                  <c:v>3.4679999999999995</c:v>
                </c:pt>
                <c:pt idx="103">
                  <c:v>3.5019999999999993</c:v>
                </c:pt>
                <c:pt idx="104">
                  <c:v>3.5359999999999996</c:v>
                </c:pt>
                <c:pt idx="105">
                  <c:v>3.5699999999999994</c:v>
                </c:pt>
                <c:pt idx="106">
                  <c:v>3.6039999999999996</c:v>
                </c:pt>
                <c:pt idx="107">
                  <c:v>3.6379999999999995</c:v>
                </c:pt>
                <c:pt idx="108">
                  <c:v>3.6719999999999997</c:v>
                </c:pt>
                <c:pt idx="109">
                  <c:v>3.7059999999999995</c:v>
                </c:pt>
                <c:pt idx="110">
                  <c:v>3.7399999999999993</c:v>
                </c:pt>
                <c:pt idx="111">
                  <c:v>3.7739999999999996</c:v>
                </c:pt>
                <c:pt idx="112">
                  <c:v>3.8079999999999994</c:v>
                </c:pt>
                <c:pt idx="113">
                  <c:v>3.8419999999999996</c:v>
                </c:pt>
                <c:pt idx="114">
                  <c:v>3.8759999999999994</c:v>
                </c:pt>
                <c:pt idx="115">
                  <c:v>3.9099999999999997</c:v>
                </c:pt>
                <c:pt idx="116">
                  <c:v>3.9439999999999995</c:v>
                </c:pt>
                <c:pt idx="117">
                  <c:v>3.9779999999999993</c:v>
                </c:pt>
                <c:pt idx="118">
                  <c:v>4.0119999999999996</c:v>
                </c:pt>
                <c:pt idx="119">
                  <c:v>4.0459999999999994</c:v>
                </c:pt>
                <c:pt idx="120">
                  <c:v>4.0799999999999992</c:v>
                </c:pt>
                <c:pt idx="121">
                  <c:v>4.1139999999999999</c:v>
                </c:pt>
                <c:pt idx="122">
                  <c:v>4.1479999999999997</c:v>
                </c:pt>
                <c:pt idx="123">
                  <c:v>4.1819999999999995</c:v>
                </c:pt>
                <c:pt idx="124">
                  <c:v>4.2159999999999993</c:v>
                </c:pt>
                <c:pt idx="125">
                  <c:v>4.2499999999999991</c:v>
                </c:pt>
                <c:pt idx="126">
                  <c:v>4.2839999999999998</c:v>
                </c:pt>
                <c:pt idx="127">
                  <c:v>4.3179999999999996</c:v>
                </c:pt>
                <c:pt idx="128">
                  <c:v>4.3519999999999994</c:v>
                </c:pt>
                <c:pt idx="129">
                  <c:v>4.3859999999999992</c:v>
                </c:pt>
                <c:pt idx="130">
                  <c:v>4.419999999999999</c:v>
                </c:pt>
                <c:pt idx="131">
                  <c:v>4.4539999999999997</c:v>
                </c:pt>
                <c:pt idx="132">
                  <c:v>4.4879999999999995</c:v>
                </c:pt>
                <c:pt idx="133">
                  <c:v>4.5219999999999994</c:v>
                </c:pt>
                <c:pt idx="134">
                  <c:v>4.5559999999999992</c:v>
                </c:pt>
                <c:pt idx="135">
                  <c:v>4.589999999999999</c:v>
                </c:pt>
                <c:pt idx="136">
                  <c:v>4.6239999999999997</c:v>
                </c:pt>
                <c:pt idx="137">
                  <c:v>4.6579999999999995</c:v>
                </c:pt>
                <c:pt idx="138">
                  <c:v>4.6919999999999993</c:v>
                </c:pt>
                <c:pt idx="139">
                  <c:v>4.7259999999999991</c:v>
                </c:pt>
                <c:pt idx="140">
                  <c:v>4.76</c:v>
                </c:pt>
                <c:pt idx="141">
                  <c:v>4.7939999999999996</c:v>
                </c:pt>
                <c:pt idx="142">
                  <c:v>4.8279999999999994</c:v>
                </c:pt>
                <c:pt idx="143">
                  <c:v>4.8619999999999992</c:v>
                </c:pt>
                <c:pt idx="144">
                  <c:v>4.895999999999999</c:v>
                </c:pt>
                <c:pt idx="145">
                  <c:v>4.93</c:v>
                </c:pt>
                <c:pt idx="146">
                  <c:v>4.9639999999999995</c:v>
                </c:pt>
                <c:pt idx="147">
                  <c:v>4.9979999999999993</c:v>
                </c:pt>
                <c:pt idx="148">
                  <c:v>5.0319999999999991</c:v>
                </c:pt>
                <c:pt idx="149">
                  <c:v>5.0659999999999989</c:v>
                </c:pt>
                <c:pt idx="150">
                  <c:v>5.0999999999999996</c:v>
                </c:pt>
              </c:numCache>
            </c:numRef>
          </c:xVal>
          <c:yVal>
            <c:numRef>
              <c:f>Eff_vs_IOUT!$AO$7:$AO$157</c:f>
              <c:numCache>
                <c:formatCode>General</c:formatCode>
                <c:ptCount val="151"/>
                <c:pt idx="0">
                  <c:v>0</c:v>
                </c:pt>
                <c:pt idx="1">
                  <c:v>2.6223194496225957E-4</c:v>
                </c:pt>
                <c:pt idx="2">
                  <c:v>7.4170394610620556E-4</c:v>
                </c:pt>
                <c:pt idx="3">
                  <c:v>1.3625971561267178E-3</c:v>
                </c:pt>
                <c:pt idx="4">
                  <c:v>2.0978555596980778E-3</c:v>
                </c:pt>
                <c:pt idx="5">
                  <c:v>2.9318422740379807E-3</c:v>
                </c:pt>
                <c:pt idx="6">
                  <c:v>3.8540067564908293E-3</c:v>
                </c:pt>
                <c:pt idx="7">
                  <c:v>4.8566035853084121E-3</c:v>
                </c:pt>
                <c:pt idx="8">
                  <c:v>5.9336315688496436E-3</c:v>
                </c:pt>
                <c:pt idx="9">
                  <c:v>7.0802625139810118E-3</c:v>
                </c:pt>
                <c:pt idx="10">
                  <c:v>8.2925022133665781E-3</c:v>
                </c:pt>
                <c:pt idx="11">
                  <c:v>9.5669746643343798E-3</c:v>
                </c:pt>
                <c:pt idx="12">
                  <c:v>1.0900777249013746E-2</c:v>
                </c:pt>
                <c:pt idx="13">
                  <c:v>1.2291379407139012E-2</c:v>
                </c:pt>
                <c:pt idx="14">
                  <c:v>1.3736549314825909E-2</c:v>
                </c:pt>
                <c:pt idx="15">
                  <c:v>1.5234299335236181E-2</c:v>
                </c:pt>
                <c:pt idx="16">
                  <c:v>1.6782844477584612E-2</c:v>
                </c:pt>
                <c:pt idx="17">
                  <c:v>1.8380570127339409E-2</c:v>
                </c:pt>
                <c:pt idx="18">
                  <c:v>2.3592686559893213E-2</c:v>
                </c:pt>
                <c:pt idx="19">
                  <c:v>2.5734138904204281E-2</c:v>
                </c:pt>
                <c:pt idx="20">
                  <c:v>2.7991345429288939E-2</c:v>
                </c:pt>
                <c:pt idx="21">
                  <c:v>3.0364306135147134E-2</c:v>
                </c:pt>
                <c:pt idx="22">
                  <c:v>3.2853021021778943E-2</c:v>
                </c:pt>
                <c:pt idx="23">
                  <c:v>3.5457490089184272E-2</c:v>
                </c:pt>
                <c:pt idx="24">
                  <c:v>3.8177713337363216E-2</c:v>
                </c:pt>
                <c:pt idx="25">
                  <c:v>4.1013690766315711E-2</c:v>
                </c:pt>
                <c:pt idx="26">
                  <c:v>4.3965422376041771E-2</c:v>
                </c:pt>
                <c:pt idx="27">
                  <c:v>4.7032908166541425E-2</c:v>
                </c:pt>
                <c:pt idx="28">
                  <c:v>5.0216148137814602E-2</c:v>
                </c:pt>
                <c:pt idx="29">
                  <c:v>5.35151422898614E-2</c:v>
                </c:pt>
                <c:pt idx="30">
                  <c:v>5.692989062268175E-2</c:v>
                </c:pt>
                <c:pt idx="31">
                  <c:v>6.0460393136275693E-2</c:v>
                </c:pt>
                <c:pt idx="32">
                  <c:v>6.4106649830643209E-2</c:v>
                </c:pt>
                <c:pt idx="33">
                  <c:v>6.7868660705784234E-2</c:v>
                </c:pt>
                <c:pt idx="34">
                  <c:v>7.1746425761698887E-2</c:v>
                </c:pt>
                <c:pt idx="35">
                  <c:v>7.5739944998387099E-2</c:v>
                </c:pt>
                <c:pt idx="36">
                  <c:v>7.9849218415848869E-2</c:v>
                </c:pt>
                <c:pt idx="37">
                  <c:v>8.4074246014084211E-2</c:v>
                </c:pt>
                <c:pt idx="38">
                  <c:v>8.8415027793093182E-2</c:v>
                </c:pt>
                <c:pt idx="39">
                  <c:v>9.287156375287571E-2</c:v>
                </c:pt>
                <c:pt idx="40">
                  <c:v>9.7443853893431728E-2</c:v>
                </c:pt>
                <c:pt idx="41">
                  <c:v>0.10213189821476143</c:v>
                </c:pt>
                <c:pt idx="42">
                  <c:v>0.10693569671686452</c:v>
                </c:pt>
                <c:pt idx="43">
                  <c:v>0.11185524939974138</c:v>
                </c:pt>
                <c:pt idx="44">
                  <c:v>0.11689055626339169</c:v>
                </c:pt>
                <c:pt idx="45">
                  <c:v>0.12204161730781565</c:v>
                </c:pt>
                <c:pt idx="46">
                  <c:v>0.12730843253301305</c:v>
                </c:pt>
                <c:pt idx="47">
                  <c:v>0.1326910019389842</c:v>
                </c:pt>
                <c:pt idx="48">
                  <c:v>0.1381893255257288</c:v>
                </c:pt>
                <c:pt idx="49">
                  <c:v>0.14380340329324706</c:v>
                </c:pt>
                <c:pt idx="50">
                  <c:v>0.14953323524153875</c:v>
                </c:pt>
                <c:pt idx="51">
                  <c:v>0.15537882137060419</c:v>
                </c:pt>
                <c:pt idx="52">
                  <c:v>0.16134016168044307</c:v>
                </c:pt>
                <c:pt idx="53">
                  <c:v>0.16741725617105563</c:v>
                </c:pt>
                <c:pt idx="54">
                  <c:v>0.17361010484244171</c:v>
                </c:pt>
                <c:pt idx="55">
                  <c:v>0.1799187076946013</c:v>
                </c:pt>
                <c:pt idx="56">
                  <c:v>0.18634306472753448</c:v>
                </c:pt>
                <c:pt idx="57">
                  <c:v>0.19288317594124132</c:v>
                </c:pt>
                <c:pt idx="58">
                  <c:v>0.19953904133572159</c:v>
                </c:pt>
                <c:pt idx="59">
                  <c:v>0.20631066091097552</c:v>
                </c:pt>
                <c:pt idx="60">
                  <c:v>0.21319803466700293</c:v>
                </c:pt>
                <c:pt idx="61">
                  <c:v>0.22020116260380415</c:v>
                </c:pt>
                <c:pt idx="62">
                  <c:v>0.22732004472137879</c:v>
                </c:pt>
                <c:pt idx="63">
                  <c:v>0.2345546810197269</c:v>
                </c:pt>
                <c:pt idx="64">
                  <c:v>0.24190507149884879</c:v>
                </c:pt>
                <c:pt idx="65">
                  <c:v>0.24937121615874411</c:v>
                </c:pt>
                <c:pt idx="66">
                  <c:v>0.25695311499941303</c:v>
                </c:pt>
                <c:pt idx="67">
                  <c:v>0.26465076802085541</c:v>
                </c:pt>
                <c:pt idx="68">
                  <c:v>0.27246417522307159</c:v>
                </c:pt>
                <c:pt idx="69">
                  <c:v>0.28039333660606119</c:v>
                </c:pt>
                <c:pt idx="70">
                  <c:v>0.28843825216982438</c:v>
                </c:pt>
                <c:pt idx="71">
                  <c:v>0.29659892191436116</c:v>
                </c:pt>
                <c:pt idx="72">
                  <c:v>0.30487534583967152</c:v>
                </c:pt>
                <c:pt idx="73">
                  <c:v>0.31326752394575552</c:v>
                </c:pt>
                <c:pt idx="74">
                  <c:v>0.321775456232613</c:v>
                </c:pt>
                <c:pt idx="75">
                  <c:v>0.33039914270024412</c:v>
                </c:pt>
                <c:pt idx="76">
                  <c:v>0.3391385833486486</c:v>
                </c:pt>
                <c:pt idx="77">
                  <c:v>0.34799377817782673</c:v>
                </c:pt>
                <c:pt idx="78">
                  <c:v>0.35696472718777861</c:v>
                </c:pt>
                <c:pt idx="79">
                  <c:v>0.36605143037850391</c:v>
                </c:pt>
                <c:pt idx="80">
                  <c:v>0.37525388775000285</c:v>
                </c:pt>
                <c:pt idx="81">
                  <c:v>0.38457209930227526</c:v>
                </c:pt>
                <c:pt idx="82">
                  <c:v>0.39400606503532148</c:v>
                </c:pt>
                <c:pt idx="83">
                  <c:v>0.40355578494914107</c:v>
                </c:pt>
                <c:pt idx="84">
                  <c:v>0.41322125904373436</c:v>
                </c:pt>
                <c:pt idx="85">
                  <c:v>0.42300248731910123</c:v>
                </c:pt>
                <c:pt idx="86">
                  <c:v>0.43289946977524146</c:v>
                </c:pt>
                <c:pt idx="87">
                  <c:v>0.44291220641215545</c:v>
                </c:pt>
                <c:pt idx="88">
                  <c:v>0.45304069722984275</c:v>
                </c:pt>
                <c:pt idx="89">
                  <c:v>0.46328494222830402</c:v>
                </c:pt>
                <c:pt idx="90">
                  <c:v>0.47364494140753849</c:v>
                </c:pt>
                <c:pt idx="91">
                  <c:v>0.48412069476754677</c:v>
                </c:pt>
                <c:pt idx="92">
                  <c:v>0.49471220230832841</c:v>
                </c:pt>
                <c:pt idx="93">
                  <c:v>0.50541946402988391</c:v>
                </c:pt>
                <c:pt idx="94">
                  <c:v>0.51624247993221295</c:v>
                </c:pt>
                <c:pt idx="95">
                  <c:v>0.52718125001531535</c:v>
                </c:pt>
                <c:pt idx="96">
                  <c:v>0.53823577427919134</c:v>
                </c:pt>
                <c:pt idx="97">
                  <c:v>0.54940605272384102</c:v>
                </c:pt>
                <c:pt idx="98">
                  <c:v>0.56069208534926407</c:v>
                </c:pt>
                <c:pt idx="99">
                  <c:v>0.57209387215546104</c:v>
                </c:pt>
                <c:pt idx="100">
                  <c:v>0.58361141314243115</c:v>
                </c:pt>
                <c:pt idx="101">
                  <c:v>0.59524470831017517</c:v>
                </c:pt>
                <c:pt idx="102">
                  <c:v>0.60699375765869257</c:v>
                </c:pt>
                <c:pt idx="103">
                  <c:v>0.61885856118798377</c:v>
                </c:pt>
                <c:pt idx="104">
                  <c:v>0.63083911889804845</c:v>
                </c:pt>
                <c:pt idx="105">
                  <c:v>0.64293543078888649</c:v>
                </c:pt>
                <c:pt idx="106">
                  <c:v>0.65514749686049867</c:v>
                </c:pt>
                <c:pt idx="107">
                  <c:v>0.66747531711288377</c:v>
                </c:pt>
                <c:pt idx="108">
                  <c:v>0.67991889154604257</c:v>
                </c:pt>
                <c:pt idx="109">
                  <c:v>0.69247822015997507</c:v>
                </c:pt>
                <c:pt idx="110">
                  <c:v>0.70515330295468104</c:v>
                </c:pt>
                <c:pt idx="111">
                  <c:v>0.71794413993016082</c:v>
                </c:pt>
                <c:pt idx="112">
                  <c:v>0.73085073108641385</c:v>
                </c:pt>
                <c:pt idx="113">
                  <c:v>0.74387307642344069</c:v>
                </c:pt>
                <c:pt idx="114">
                  <c:v>0.75701117594124123</c:v>
                </c:pt>
                <c:pt idx="115">
                  <c:v>0.77026502963981491</c:v>
                </c:pt>
                <c:pt idx="116">
                  <c:v>0.78363463751916229</c:v>
                </c:pt>
                <c:pt idx="117">
                  <c:v>0.79711999957928337</c:v>
                </c:pt>
                <c:pt idx="118">
                  <c:v>0.81072111582017814</c:v>
                </c:pt>
                <c:pt idx="119">
                  <c:v>0.82443798624184617</c:v>
                </c:pt>
                <c:pt idx="120">
                  <c:v>0.838270610844288</c:v>
                </c:pt>
                <c:pt idx="121">
                  <c:v>0.85221898962750353</c:v>
                </c:pt>
                <c:pt idx="122">
                  <c:v>0.86628312259149232</c:v>
                </c:pt>
                <c:pt idx="123">
                  <c:v>0.8804630097362548</c:v>
                </c:pt>
                <c:pt idx="124">
                  <c:v>0.89475865106179076</c:v>
                </c:pt>
                <c:pt idx="125">
                  <c:v>0.90917004656810052</c:v>
                </c:pt>
                <c:pt idx="126">
                  <c:v>0.92369719625518376</c:v>
                </c:pt>
                <c:pt idx="127">
                  <c:v>0.93834010012304048</c:v>
                </c:pt>
                <c:pt idx="128">
                  <c:v>0.95309875817167067</c:v>
                </c:pt>
                <c:pt idx="129">
                  <c:v>0.96797317040107433</c:v>
                </c:pt>
                <c:pt idx="130">
                  <c:v>0.98296333681125192</c:v>
                </c:pt>
                <c:pt idx="131">
                  <c:v>0.99806925740220342</c:v>
                </c:pt>
                <c:pt idx="132">
                  <c:v>1.0132909321739278</c:v>
                </c:pt>
                <c:pt idx="133">
                  <c:v>1.028628361126426</c:v>
                </c:pt>
                <c:pt idx="134">
                  <c:v>1.0440815442596976</c:v>
                </c:pt>
                <c:pt idx="135">
                  <c:v>1.0596504815737431</c:v>
                </c:pt>
                <c:pt idx="136">
                  <c:v>1.0753351730685625</c:v>
                </c:pt>
                <c:pt idx="137">
                  <c:v>1.0911356187441548</c:v>
                </c:pt>
                <c:pt idx="138">
                  <c:v>1.1070518186005209</c:v>
                </c:pt>
                <c:pt idx="139">
                  <c:v>1.1230837726376606</c:v>
                </c:pt>
                <c:pt idx="140">
                  <c:v>1.1392314808555739</c:v>
                </c:pt>
                <c:pt idx="141">
                  <c:v>1.1554949432542607</c:v>
                </c:pt>
                <c:pt idx="142">
                  <c:v>1.1718741598337206</c:v>
                </c:pt>
                <c:pt idx="143">
                  <c:v>1.1883691305939548</c:v>
                </c:pt>
                <c:pt idx="144">
                  <c:v>1.2049798555349618</c:v>
                </c:pt>
                <c:pt idx="145">
                  <c:v>1.2217063346567429</c:v>
                </c:pt>
                <c:pt idx="146">
                  <c:v>1.2385485679592978</c:v>
                </c:pt>
                <c:pt idx="147">
                  <c:v>1.2555065554426259</c:v>
                </c:pt>
                <c:pt idx="148">
                  <c:v>1.2725802971067273</c:v>
                </c:pt>
                <c:pt idx="149">
                  <c:v>1.2897697929516025</c:v>
                </c:pt>
                <c:pt idx="150">
                  <c:v>1.3070750429772524</c:v>
                </c:pt>
              </c:numCache>
            </c:numRef>
          </c:yVal>
          <c:smooth val="1"/>
          <c:extLst>
            <c:ext xmlns:c16="http://schemas.microsoft.com/office/drawing/2014/chart" uri="{C3380CC4-5D6E-409C-BE32-E72D297353CC}">
              <c16:uniqueId val="{00000003-8AEF-4CD2-9E91-5056CF00EB36}"/>
            </c:ext>
          </c:extLst>
        </c:ser>
        <c:dLbls>
          <c:showLegendKey val="0"/>
          <c:showVal val="0"/>
          <c:showCatName val="0"/>
          <c:showSerName val="0"/>
          <c:showPercent val="0"/>
          <c:showBubbleSize val="0"/>
        </c:dLbls>
        <c:axId val="145058432"/>
        <c:axId val="145056896"/>
      </c:scatterChart>
      <c:valAx>
        <c:axId val="145036800"/>
        <c:scaling>
          <c:orientation val="minMax"/>
        </c:scaling>
        <c:delete val="0"/>
        <c:axPos val="b"/>
        <c:majorGridlines/>
        <c:numFmt formatCode="General" sourceLinked="1"/>
        <c:majorTickMark val="out"/>
        <c:minorTickMark val="none"/>
        <c:tickLblPos val="nextTo"/>
        <c:crossAx val="145038336"/>
        <c:crosses val="autoZero"/>
        <c:crossBetween val="midCat"/>
      </c:valAx>
      <c:valAx>
        <c:axId val="145038336"/>
        <c:scaling>
          <c:orientation val="minMax"/>
          <c:max val="100"/>
        </c:scaling>
        <c:delete val="0"/>
        <c:axPos val="l"/>
        <c:majorGridlines/>
        <c:title>
          <c:overlay val="0"/>
          <c:txPr>
            <a:bodyPr rot="-5400000" vert="horz"/>
            <a:lstStyle/>
            <a:p>
              <a:pPr>
                <a:defRPr/>
              </a:pPr>
              <a:endParaRPr lang="en-US"/>
            </a:p>
          </c:txPr>
        </c:title>
        <c:numFmt formatCode="General" sourceLinked="1"/>
        <c:majorTickMark val="out"/>
        <c:minorTickMark val="none"/>
        <c:tickLblPos val="nextTo"/>
        <c:crossAx val="145036800"/>
        <c:crosses val="autoZero"/>
        <c:crossBetween val="midCat"/>
      </c:valAx>
      <c:valAx>
        <c:axId val="145056896"/>
        <c:scaling>
          <c:orientation val="minMax"/>
        </c:scaling>
        <c:delete val="0"/>
        <c:axPos val="r"/>
        <c:numFmt formatCode="General" sourceLinked="1"/>
        <c:majorTickMark val="out"/>
        <c:minorTickMark val="none"/>
        <c:tickLblPos val="nextTo"/>
        <c:crossAx val="145058432"/>
        <c:crosses val="max"/>
        <c:crossBetween val="midCat"/>
      </c:valAx>
      <c:valAx>
        <c:axId val="145058432"/>
        <c:scaling>
          <c:orientation val="minMax"/>
        </c:scaling>
        <c:delete val="1"/>
        <c:axPos val="b"/>
        <c:numFmt formatCode="General" sourceLinked="1"/>
        <c:majorTickMark val="out"/>
        <c:minorTickMark val="none"/>
        <c:tickLblPos val="nextTo"/>
        <c:crossAx val="145056896"/>
        <c:crosses val="autoZero"/>
        <c:crossBetween val="midCat"/>
      </c:valAx>
    </c:plotArea>
    <c:legend>
      <c:legendPos val="r"/>
      <c:overlay val="1"/>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Plant Transfer</a:t>
            </a:r>
            <a:r>
              <a:rPr lang="en-US" baseline="0"/>
              <a:t> Function</a:t>
            </a:r>
            <a:endParaRPr lang="en-US"/>
          </a:p>
        </c:rich>
      </c:tx>
      <c:overlay val="0"/>
    </c:title>
    <c:autoTitleDeleted val="0"/>
    <c:plotArea>
      <c:layout/>
      <c:scatterChart>
        <c:scatterStyle val="smoothMarker"/>
        <c:varyColors val="0"/>
        <c:ser>
          <c:idx val="0"/>
          <c:order val="0"/>
          <c:tx>
            <c:v>Gain(dB)</c:v>
          </c:tx>
          <c:marker>
            <c:symbol val="none"/>
          </c:marker>
          <c:xVal>
            <c:numRef>
              <c:f>Loop_Modeling!$O$19:$O$560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Loop_Modeling!$AD$19:$AD$560</c:f>
              <c:numCache>
                <c:formatCode>0.000</c:formatCode>
                <c:ptCount val="542"/>
                <c:pt idx="0">
                  <c:v>25.106837313814907</c:v>
                </c:pt>
                <c:pt idx="1">
                  <c:v>25.106754096233498</c:v>
                </c:pt>
                <c:pt idx="2">
                  <c:v>25.106666958438364</c:v>
                </c:pt>
                <c:pt idx="3">
                  <c:v>25.106575715840439</c:v>
                </c:pt>
                <c:pt idx="4">
                  <c:v>25.106480175167185</c:v>
                </c:pt>
                <c:pt idx="5">
                  <c:v>25.106380134054742</c:v>
                </c:pt>
                <c:pt idx="6">
                  <c:v>25.106275380621277</c:v>
                </c:pt>
                <c:pt idx="7">
                  <c:v>25.106165693020333</c:v>
                </c:pt>
                <c:pt idx="8">
                  <c:v>25.106050838972948</c:v>
                </c:pt>
                <c:pt idx="9">
                  <c:v>25.105930575278506</c:v>
                </c:pt>
                <c:pt idx="10">
                  <c:v>25.105804647302282</c:v>
                </c:pt>
                <c:pt idx="11">
                  <c:v>25.105672788439222</c:v>
                </c:pt>
                <c:pt idx="12">
                  <c:v>25.105534719552804</c:v>
                </c:pt>
                <c:pt idx="13">
                  <c:v>25.105390148387521</c:v>
                </c:pt>
                <c:pt idx="14">
                  <c:v>25.10523876895423</c:v>
                </c:pt>
                <c:pt idx="15">
                  <c:v>25.105080260886691</c:v>
                </c:pt>
                <c:pt idx="16">
                  <c:v>25.104914288768214</c:v>
                </c:pt>
                <c:pt idx="17">
                  <c:v>25.104740501426953</c:v>
                </c:pt>
                <c:pt idx="18">
                  <c:v>25.104558531198439</c:v>
                </c:pt>
                <c:pt idx="19">
                  <c:v>25.104367993153947</c:v>
                </c:pt>
                <c:pt idx="20">
                  <c:v>25.104168484292813</c:v>
                </c:pt>
                <c:pt idx="21">
                  <c:v>25.103959582697502</c:v>
                </c:pt>
                <c:pt idx="22">
                  <c:v>25.103740846649284</c:v>
                </c:pt>
                <c:pt idx="23">
                  <c:v>25.103511813703165</c:v>
                </c:pt>
                <c:pt idx="24">
                  <c:v>25.103271999719663</c:v>
                </c:pt>
                <c:pt idx="25">
                  <c:v>25.103020897852346</c:v>
                </c:pt>
                <c:pt idx="26">
                  <c:v>25.102757977487894</c:v>
                </c:pt>
                <c:pt idx="27">
                  <c:v>25.102482683137787</c:v>
                </c:pt>
                <c:pt idx="28">
                  <c:v>25.102194433278349</c:v>
                </c:pt>
                <c:pt idx="29">
                  <c:v>25.101892619138045</c:v>
                </c:pt>
                <c:pt idx="30">
                  <c:v>25.101576603428306</c:v>
                </c:pt>
                <c:pt idx="31">
                  <c:v>25.101245719016191</c:v>
                </c:pt>
                <c:pt idx="32">
                  <c:v>25.100899267536402</c:v>
                </c:pt>
                <c:pt idx="33">
                  <c:v>25.100536517938998</c:v>
                </c:pt>
                <c:pt idx="34">
                  <c:v>25.100156704971401</c:v>
                </c:pt>
                <c:pt idx="35">
                  <c:v>25.099759027590231</c:v>
                </c:pt>
                <c:pt idx="36">
                  <c:v>25.099342647300936</c:v>
                </c:pt>
                <c:pt idx="37">
                  <c:v>25.098906686421927</c:v>
                </c:pt>
                <c:pt idx="38">
                  <c:v>25.098450226269069</c:v>
                </c:pt>
                <c:pt idx="39">
                  <c:v>25.097972305258168</c:v>
                </c:pt>
                <c:pt idx="40">
                  <c:v>25.097471916921229</c:v>
                </c:pt>
                <c:pt idx="41">
                  <c:v>25.096948007832548</c:v>
                </c:pt>
                <c:pt idx="42">
                  <c:v>25.096399475441601</c:v>
                </c:pt>
                <c:pt idx="43">
                  <c:v>25.095825165807618</c:v>
                </c:pt>
                <c:pt idx="44">
                  <c:v>25.095223871232704</c:v>
                </c:pt>
                <c:pt idx="45">
                  <c:v>25.094594327787899</c:v>
                </c:pt>
                <c:pt idx="46">
                  <c:v>25.093935212729292</c:v>
                </c:pt>
                <c:pt idx="47">
                  <c:v>25.09324514179788</c:v>
                </c:pt>
                <c:pt idx="48">
                  <c:v>25.092522666399425</c:v>
                </c:pt>
                <c:pt idx="49">
                  <c:v>25.091766270658962</c:v>
                </c:pt>
                <c:pt idx="50">
                  <c:v>25.090974368344156</c:v>
                </c:pt>
                <c:pt idx="51">
                  <c:v>25.090145299653734</c:v>
                </c:pt>
                <c:pt idx="52">
                  <c:v>25.089277327863147</c:v>
                </c:pt>
                <c:pt idx="53">
                  <c:v>25.088368635824203</c:v>
                </c:pt>
                <c:pt idx="54">
                  <c:v>25.087417322310269</c:v>
                </c:pt>
                <c:pt idx="55">
                  <c:v>25.086421398203328</c:v>
                </c:pt>
                <c:pt idx="56">
                  <c:v>25.085378782514738</c:v>
                </c:pt>
                <c:pt idx="57">
                  <c:v>25.08428729823423</c:v>
                </c:pt>
                <c:pt idx="58">
                  <c:v>25.083144667999978</c:v>
                </c:pt>
                <c:pt idx="59">
                  <c:v>25.081948509583299</c:v>
                </c:pt>
                <c:pt idx="60">
                  <c:v>25.080696331181002</c:v>
                </c:pt>
                <c:pt idx="61">
                  <c:v>25.079385526507263</c:v>
                </c:pt>
                <c:pt idx="62">
                  <c:v>25.078013369679375</c:v>
                </c:pt>
                <c:pt idx="63">
                  <c:v>25.076577009888052</c:v>
                </c:pt>
                <c:pt idx="64">
                  <c:v>25.075073465846273</c:v>
                </c:pt>
                <c:pt idx="65">
                  <c:v>25.07349962000735</c:v>
                </c:pt>
                <c:pt idx="66">
                  <c:v>25.071852212545544</c:v>
                </c:pt>
                <c:pt idx="67">
                  <c:v>25.070127835090656</c:v>
                </c:pt>
                <c:pt idx="68">
                  <c:v>25.068322924208637</c:v>
                </c:pt>
                <c:pt idx="69">
                  <c:v>25.066433754619432</c:v>
                </c:pt>
                <c:pt idx="70">
                  <c:v>25.064456432145409</c:v>
                </c:pt>
                <c:pt idx="71">
                  <c:v>25.062386886379961</c:v>
                </c:pt>
                <c:pt idx="72">
                  <c:v>25.060220863070228</c:v>
                </c:pt>
                <c:pt idx="73">
                  <c:v>25.057953916203903</c:v>
                </c:pt>
                <c:pt idx="74">
                  <c:v>25.055581399793859</c:v>
                </c:pt>
                <c:pt idx="75">
                  <c:v>25.053098459350647</c:v>
                </c:pt>
                <c:pt idx="76">
                  <c:v>25.050500023036918</c:v>
                </c:pt>
                <c:pt idx="77">
                  <c:v>25.04778079249515</c:v>
                </c:pt>
                <c:pt idx="78">
                  <c:v>25.044935233341882</c:v>
                </c:pt>
                <c:pt idx="79">
                  <c:v>25.041957565321358</c:v>
                </c:pt>
                <c:pt idx="80">
                  <c:v>25.038841752112223</c:v>
                </c:pt>
                <c:pt idx="81">
                  <c:v>25.035581490781563</c:v>
                </c:pt>
                <c:pt idx="82">
                  <c:v>25.032170200880511</c:v>
                </c:pt>
                <c:pt idx="83">
                  <c:v>25.028601013177312</c:v>
                </c:pt>
                <c:pt idx="84">
                  <c:v>25.024866758023588</c:v>
                </c:pt>
                <c:pt idx="85">
                  <c:v>25.020959953351287</c:v>
                </c:pt>
                <c:pt idx="86">
                  <c:v>25.016872792298027</c:v>
                </c:pt>
                <c:pt idx="87">
                  <c:v>25.012597130460765</c:v>
                </c:pt>
                <c:pt idx="88">
                  <c:v>25.008124472778054</c:v>
                </c:pt>
                <c:pt idx="89">
                  <c:v>25.003445960042768</c:v>
                </c:pt>
                <c:pt idx="90">
                  <c:v>24.998552355049888</c:v>
                </c:pt>
                <c:pt idx="91">
                  <c:v>24.993434028384453</c:v>
                </c:pt>
                <c:pt idx="92">
                  <c:v>24.988080943857192</c:v>
                </c:pt>
                <c:pt idx="93">
                  <c:v>24.982482643598324</c:v>
                </c:pt>
                <c:pt idx="94">
                  <c:v>24.9766282328217</c:v>
                </c:pt>
                <c:pt idx="95">
                  <c:v>24.970506364273799</c:v>
                </c:pt>
                <c:pt idx="96">
                  <c:v>24.964105222386593</c:v>
                </c:pt>
                <c:pt idx="97">
                  <c:v>24.957412507155045</c:v>
                </c:pt>
                <c:pt idx="98">
                  <c:v>24.950415417763622</c:v>
                </c:pt>
                <c:pt idx="99">
                  <c:v>24.943100635991136</c:v>
                </c:pt>
                <c:pt idx="100">
                  <c:v>24.935454309425889</c:v>
                </c:pt>
                <c:pt idx="101">
                  <c:v>24.927462034528503</c:v>
                </c:pt>
                <c:pt idx="102">
                  <c:v>24.919108839583739</c:v>
                </c:pt>
                <c:pt idx="103">
                  <c:v>24.910379167588591</c:v>
                </c:pt>
                <c:pt idx="104">
                  <c:v>24.901256859128242</c:v>
                </c:pt>
                <c:pt idx="105">
                  <c:v>24.891725135298351</c:v>
                </c:pt>
                <c:pt idx="106">
                  <c:v>24.881766580736738</c:v>
                </c:pt>
                <c:pt idx="107">
                  <c:v>24.871363126836108</c:v>
                </c:pt>
                <c:pt idx="108">
                  <c:v>24.860496035212954</c:v>
                </c:pt>
                <c:pt idx="109">
                  <c:v>24.849145881519142</c:v>
                </c:pt>
                <c:pt idx="110">
                  <c:v>24.837292539685023</c:v>
                </c:pt>
                <c:pt idx="111">
                  <c:v>24.824915166695718</c:v>
                </c:pt>
                <c:pt idx="112">
                  <c:v>24.811992188005497</c:v>
                </c:pt>
                <c:pt idx="113">
                  <c:v>24.798501283706447</c:v>
                </c:pt>
                <c:pt idx="114">
                  <c:v>24.784419375574799</c:v>
                </c:pt>
                <c:pt idx="115">
                  <c:v>24.769722615126085</c:v>
                </c:pt>
                <c:pt idx="116">
                  <c:v>24.754386372819546</c:v>
                </c:pt>
                <c:pt idx="117">
                  <c:v>24.73838522856137</c:v>
                </c:pt>
                <c:pt idx="118">
                  <c:v>24.72169296366161</c:v>
                </c:pt>
                <c:pt idx="119">
                  <c:v>24.704282554412313</c:v>
                </c:pt>
                <c:pt idx="120">
                  <c:v>24.686126167457729</c:v>
                </c:pt>
                <c:pt idx="121">
                  <c:v>24.667195157138298</c:v>
                </c:pt>
                <c:pt idx="122">
                  <c:v>24.647460064994018</c:v>
                </c:pt>
                <c:pt idx="123">
                  <c:v>24.626890621622202</c:v>
                </c:pt>
                <c:pt idx="124">
                  <c:v>24.605455751085611</c:v>
                </c:pt>
                <c:pt idx="125">
                  <c:v>24.583123578075558</c:v>
                </c:pt>
                <c:pt idx="126">
                  <c:v>24.559861438034236</c:v>
                </c:pt>
                <c:pt idx="127">
                  <c:v>24.535635890442951</c:v>
                </c:pt>
                <c:pt idx="128">
                  <c:v>24.51041273548363</c:v>
                </c:pt>
                <c:pt idx="129">
                  <c:v>24.484157034278098</c:v>
                </c:pt>
                <c:pt idx="130">
                  <c:v>24.456833132904983</c:v>
                </c:pt>
                <c:pt idx="131">
                  <c:v>24.428404690389684</c:v>
                </c:pt>
                <c:pt idx="132">
                  <c:v>24.398834710851538</c:v>
                </c:pt>
                <c:pt idx="133">
                  <c:v>24.368085579983379</c:v>
                </c:pt>
                <c:pt idx="134">
                  <c:v>24.336119106021798</c:v>
                </c:pt>
                <c:pt idx="135">
                  <c:v>24.302896565350984</c:v>
                </c:pt>
                <c:pt idx="136">
                  <c:v>24.268378752861267</c:v>
                </c:pt>
                <c:pt idx="137">
                  <c:v>24.232526037159165</c:v>
                </c:pt>
                <c:pt idx="138">
                  <c:v>24.195298420700912</c:v>
                </c:pt>
                <c:pt idx="139">
                  <c:v>24.156655604886019</c:v>
                </c:pt>
                <c:pt idx="140">
                  <c:v>24.116557060118843</c:v>
                </c:pt>
                <c:pt idx="141">
                  <c:v>24.074962100803358</c:v>
                </c:pt>
                <c:pt idx="142">
                  <c:v>24.03182996519967</c:v>
                </c:pt>
                <c:pt idx="143">
                  <c:v>23.987119900024531</c:v>
                </c:pt>
                <c:pt idx="144">
                  <c:v>23.94079124963238</c:v>
                </c:pt>
                <c:pt idx="145">
                  <c:v>23.892803549565848</c:v>
                </c:pt>
                <c:pt idx="146">
                  <c:v>23.84311662421096</c:v>
                </c:pt>
                <c:pt idx="147">
                  <c:v>23.791690688244351</c:v>
                </c:pt>
                <c:pt idx="148">
                  <c:v>23.738486451502489</c:v>
                </c:pt>
                <c:pt idx="149">
                  <c:v>23.683465226853624</c:v>
                </c:pt>
                <c:pt idx="150">
                  <c:v>23.626589040597757</c:v>
                </c:pt>
                <c:pt idx="151">
                  <c:v>23.567820744871675</c:v>
                </c:pt>
                <c:pt idx="152">
                  <c:v>23.507124131485462</c:v>
                </c:pt>
                <c:pt idx="153">
                  <c:v>23.444464046571536</c:v>
                </c:pt>
                <c:pt idx="154">
                  <c:v>23.379806505387929</c:v>
                </c:pt>
                <c:pt idx="155">
                  <c:v>23.313118806577947</c:v>
                </c:pt>
                <c:pt idx="156">
                  <c:v>23.244369645160319</c:v>
                </c:pt>
                <c:pt idx="157">
                  <c:v>23.173529223498846</c:v>
                </c:pt>
                <c:pt idx="158">
                  <c:v>23.1005693594851</c:v>
                </c:pt>
                <c:pt idx="159">
                  <c:v>23.025463591158349</c:v>
                </c:pt>
                <c:pt idx="160">
                  <c:v>22.948187276988229</c:v>
                </c:pt>
                <c:pt idx="161">
                  <c:v>22.868717691055714</c:v>
                </c:pt>
                <c:pt idx="162">
                  <c:v>22.787034112386124</c:v>
                </c:pt>
                <c:pt idx="163">
                  <c:v>22.703117907718415</c:v>
                </c:pt>
                <c:pt idx="164">
                  <c:v>22.616952607030399</c:v>
                </c:pt>
                <c:pt idx="165">
                  <c:v>22.528523971191309</c:v>
                </c:pt>
                <c:pt idx="166">
                  <c:v>22.437820051165623</c:v>
                </c:pt>
                <c:pt idx="167">
                  <c:v>22.344831238259818</c:v>
                </c:pt>
                <c:pt idx="168">
                  <c:v>22.249550304974189</c:v>
                </c:pt>
                <c:pt idx="169">
                  <c:v>22.151972436101815</c:v>
                </c:pt>
                <c:pt idx="170">
                  <c:v>22.052095249800008</c:v>
                </c:pt>
                <c:pt idx="171">
                  <c:v>21.949918808448668</c:v>
                </c:pt>
                <c:pt idx="172">
                  <c:v>21.845445619200955</c:v>
                </c:pt>
                <c:pt idx="173">
                  <c:v>21.738680624223843</c:v>
                </c:pt>
                <c:pt idx="174">
                  <c:v>21.629631180720214</c:v>
                </c:pt>
                <c:pt idx="175">
                  <c:v>21.518307030913522</c:v>
                </c:pt>
                <c:pt idx="176">
                  <c:v>21.404720262266753</c:v>
                </c:pt>
                <c:pt idx="177">
                  <c:v>21.288885258290165</c:v>
                </c:pt>
                <c:pt idx="178">
                  <c:v>21.170818640372403</c:v>
                </c:pt>
                <c:pt idx="179">
                  <c:v>21.050539201141312</c:v>
                </c:pt>
                <c:pt idx="180">
                  <c:v>20.928067829927862</c:v>
                </c:pt>
                <c:pt idx="181">
                  <c:v>20.803427430960795</c:v>
                </c:pt>
                <c:pt idx="182">
                  <c:v>20.676642834970433</c:v>
                </c:pt>
                <c:pt idx="183">
                  <c:v>20.547740704917508</c:v>
                </c:pt>
                <c:pt idx="184">
                  <c:v>20.416749436593058</c:v>
                </c:pt>
                <c:pt idx="185">
                  <c:v>20.283699054853649</c:v>
                </c:pt>
                <c:pt idx="186">
                  <c:v>20.148621106268859</c:v>
                </c:pt>
                <c:pt idx="187">
                  <c:v>20.011548548957052</c:v>
                </c:pt>
                <c:pt idx="188">
                  <c:v>19.872515640378545</c:v>
                </c:pt>
                <c:pt idx="189">
                  <c:v>19.731557823839395</c:v>
                </c:pt>
                <c:pt idx="190">
                  <c:v>19.588711614435507</c:v>
                </c:pt>
                <c:pt idx="191">
                  <c:v>19.444014485136695</c:v>
                </c:pt>
                <c:pt idx="192">
                  <c:v>19.297504753673952</c:v>
                </c:pt>
                <c:pt idx="193">
                  <c:v>19.14922147085263</c:v>
                </c:pt>
                <c:pt idx="194">
                  <c:v>18.999204310868141</c:v>
                </c:pt>
                <c:pt idx="195">
                  <c:v>18.847493464153779</c:v>
                </c:pt>
                <c:pt idx="196">
                  <c:v>18.694129533237202</c:v>
                </c:pt>
                <c:pt idx="197">
                  <c:v>18.539153432032379</c:v>
                </c:pt>
                <c:pt idx="198">
                  <c:v>18.382606288938959</c:v>
                </c:pt>
                <c:pt idx="199">
                  <c:v>18.224529354069055</c:v>
                </c:pt>
                <c:pt idx="200">
                  <c:v>18.064963910868833</c:v>
                </c:pt>
                <c:pt idx="201">
                  <c:v>17.903951192352878</c:v>
                </c:pt>
                <c:pt idx="202">
                  <c:v>17.741532302117818</c:v>
                </c:pt>
                <c:pt idx="203">
                  <c:v>17.577748140257867</c:v>
                </c:pt>
                <c:pt idx="204">
                  <c:v>17.412639334260302</c:v>
                </c:pt>
                <c:pt idx="205">
                  <c:v>17.246246174916863</c:v>
                </c:pt>
                <c:pt idx="206">
                  <c:v>17.078608557250931</c:v>
                </c:pt>
                <c:pt idx="207">
                  <c:v>16.909765926425855</c:v>
                </c:pt>
                <c:pt idx="208">
                  <c:v>16.739757228568113</c:v>
                </c:pt>
                <c:pt idx="209">
                  <c:v>16.568620866411877</c:v>
                </c:pt>
                <c:pt idx="210">
                  <c:v>16.396394659648628</c:v>
                </c:pt>
                <c:pt idx="211">
                  <c:v>16.223115809842625</c:v>
                </c:pt>
                <c:pt idx="212">
                  <c:v>16.048820869757559</c:v>
                </c:pt>
                <c:pt idx="213">
                  <c:v>15.873545716924475</c:v>
                </c:pt>
                <c:pt idx="214">
                  <c:v>15.697325531268495</c:v>
                </c:pt>
                <c:pt idx="215">
                  <c:v>15.520194776605436</c:v>
                </c:pt>
                <c:pt idx="216">
                  <c:v>15.342187185810355</c:v>
                </c:pt>
                <c:pt idx="217">
                  <c:v>15.163335749458094</c:v>
                </c:pt>
                <c:pt idx="218">
                  <c:v>14.983672707732676</c:v>
                </c:pt>
                <c:pt idx="219">
                  <c:v>14.803229545402971</c:v>
                </c:pt>
                <c:pt idx="220">
                  <c:v>14.622036989662881</c:v>
                </c:pt>
                <c:pt idx="221">
                  <c:v>14.440125010638367</c:v>
                </c:pt>
                <c:pt idx="222">
                  <c:v>14.257522824366614</c:v>
                </c:pt>
                <c:pt idx="223">
                  <c:v>14.074258898058636</c:v>
                </c:pt>
                <c:pt idx="224">
                  <c:v>13.890360957463328</c:v>
                </c:pt>
                <c:pt idx="225">
                  <c:v>13.705855996155867</c:v>
                </c:pt>
                <c:pt idx="226">
                  <c:v>13.520770286583987</c:v>
                </c:pt>
                <c:pt idx="227">
                  <c:v>13.335129392710382</c:v>
                </c:pt>
                <c:pt idx="228">
                  <c:v>13.148958184100421</c:v>
                </c:pt>
                <c:pt idx="229">
                  <c:v>12.962280851310142</c:v>
                </c:pt>
                <c:pt idx="230">
                  <c:v>12.775120922441728</c:v>
                </c:pt>
                <c:pt idx="231">
                  <c:v>12.587501280737525</c:v>
                </c:pt>
                <c:pt idx="232">
                  <c:v>12.399444183097595</c:v>
                </c:pt>
                <c:pt idx="233">
                  <c:v>12.21097127940854</c:v>
                </c:pt>
                <c:pt idx="234">
                  <c:v>12.022103632585006</c:v>
                </c:pt>
                <c:pt idx="235">
                  <c:v>11.83286173922945</c:v>
                </c:pt>
                <c:pt idx="236">
                  <c:v>11.643265550824998</c:v>
                </c:pt>
                <c:pt idx="237">
                  <c:v>11.45333449538396</c:v>
                </c:pt>
                <c:pt idx="238">
                  <c:v>11.2630874994815</c:v>
                </c:pt>
                <c:pt idx="239">
                  <c:v>11.072543010610055</c:v>
                </c:pt>
                <c:pt idx="240">
                  <c:v>10.881719019798382</c:v>
                </c:pt>
                <c:pt idx="241">
                  <c:v>10.690633084442652</c:v>
                </c:pt>
                <c:pt idx="242">
                  <c:v>10.499302351306026</c:v>
                </c:pt>
                <c:pt idx="243">
                  <c:v>10.307743579645512</c:v>
                </c:pt>
                <c:pt idx="244">
                  <c:v>10.115973164431953</c:v>
                </c:pt>
                <c:pt idx="245">
                  <c:v>9.924007159632998</c:v>
                </c:pt>
                <c:pt idx="246">
                  <c:v>9.7318613015335043</c:v>
                </c:pt>
                <c:pt idx="247">
                  <c:v>9.5395510320710901</c:v>
                </c:pt>
                <c:pt idx="248">
                  <c:v>9.3470915221699808</c:v>
                </c:pt>
                <c:pt idx="249">
                  <c:v>9.1544976950568611</c:v>
                </c:pt>
                <c:pt idx="250">
                  <c:v>8.9617842495489661</c:v>
                </c:pt>
                <c:pt idx="251">
                  <c:v>8.768965683303529</c:v>
                </c:pt>
                <c:pt idx="252">
                  <c:v>8.5760563160237506</c:v>
                </c:pt>
                <c:pt idx="253">
                  <c:v>8.3830703126154553</c:v>
                </c:pt>
                <c:pt idx="254">
                  <c:v>8.190021706292308</c:v>
                </c:pt>
                <c:pt idx="255">
                  <c:v>7.9969244216287363</c:v>
                </c:pt>
                <c:pt idx="256">
                  <c:v>7.8037922975596743</c:v>
                </c:pt>
                <c:pt idx="257">
                  <c:v>7.6106391103286413</c:v>
                </c:pt>
                <c:pt idx="258">
                  <c:v>7.4174785963860916</c:v>
                </c:pt>
                <c:pt idx="259">
                  <c:v>7.2243244752387561</c:v>
                </c:pt>
                <c:pt idx="260">
                  <c:v>7.0311904722536367</c:v>
                </c:pt>
                <c:pt idx="261">
                  <c:v>6.8380903414175718</c:v>
                </c:pt>
                <c:pt idx="262">
                  <c:v>6.6450378880541097</c:v>
                </c:pt>
                <c:pt idx="263">
                  <c:v>6.4520469914984444</c:v>
                </c:pt>
                <c:pt idx="264">
                  <c:v>6.2591316277307198</c:v>
                </c:pt>
                <c:pt idx="265">
                  <c:v>6.0663058919658583</c:v>
                </c:pt>
                <c:pt idx="266">
                  <c:v>5.8735840211967725</c:v>
                </c:pt>
                <c:pt idx="267">
                  <c:v>5.6809804166872171</c:v>
                </c:pt>
                <c:pt idx="268">
                  <c:v>5.4885096664060518</c:v>
                </c:pt>
                <c:pt idx="269">
                  <c:v>5.2961865673946811</c:v>
                </c:pt>
                <c:pt idx="270">
                  <c:v>5.1040261480555005</c:v>
                </c:pt>
                <c:pt idx="271">
                  <c:v>4.9120436903456168</c:v>
                </c:pt>
                <c:pt idx="272">
                  <c:v>4.7202547518590574</c:v>
                </c:pt>
                <c:pt idx="273">
                  <c:v>4.5286751877729134</c:v>
                </c:pt>
                <c:pt idx="274">
                  <c:v>4.3373211726343008</c:v>
                </c:pt>
                <c:pt idx="275">
                  <c:v>4.1462092219551367</c:v>
                </c:pt>
                <c:pt idx="276">
                  <c:v>3.9553562135808167</c:v>
                </c:pt>
                <c:pt idx="277">
                  <c:v>3.7647794087922533</c:v>
                </c:pt>
                <c:pt idx="278">
                  <c:v>3.5744964730960005</c:v>
                </c:pt>
                <c:pt idx="279">
                  <c:v>3.384525496649855</c:v>
                </c:pt>
                <c:pt idx="280">
                  <c:v>3.1948850142670882</c:v>
                </c:pt>
                <c:pt idx="281">
                  <c:v>3.0055940249347151</c:v>
                </c:pt>
                <c:pt idx="282">
                  <c:v>2.8166720107756364</c:v>
                </c:pt>
                <c:pt idx="283">
                  <c:v>2.6281389553742507</c:v>
                </c:pt>
                <c:pt idx="284">
                  <c:v>2.440015361382085</c:v>
                </c:pt>
                <c:pt idx="285">
                  <c:v>2.2523222673076986</c:v>
                </c:pt>
                <c:pt idx="286">
                  <c:v>2.0650812633908715</c:v>
                </c:pt>
                <c:pt idx="287">
                  <c:v>1.8783145064491447</c:v>
                </c:pt>
                <c:pt idx="288">
                  <c:v>1.6920447335791122</c:v>
                </c:pt>
                <c:pt idx="289">
                  <c:v>1.5062952745848737</c:v>
                </c:pt>
                <c:pt idx="290">
                  <c:v>1.3210900629967819</c:v>
                </c:pt>
                <c:pt idx="291">
                  <c:v>1.136453645537157</c:v>
                </c:pt>
                <c:pt idx="292">
                  <c:v>0.95241118987642981</c:v>
                </c:pt>
                <c:pt idx="293">
                  <c:v>0.76898849052076712</c:v>
                </c:pt>
                <c:pt idx="294">
                  <c:v>0.58621197265820901</c:v>
                </c:pt>
                <c:pt idx="295">
                  <c:v>0.4041086937859133</c:v>
                </c:pt>
                <c:pt idx="296">
                  <c:v>0.22270634293259045</c:v>
                </c:pt>
                <c:pt idx="297">
                  <c:v>4.2033237283653782E-2</c:v>
                </c:pt>
                <c:pt idx="298">
                  <c:v>-0.13788168398933387</c:v>
                </c:pt>
                <c:pt idx="299">
                  <c:v>-0.3170088688984346</c:v>
                </c:pt>
                <c:pt idx="300">
                  <c:v>-0.49531816501458908</c:v>
                </c:pt>
                <c:pt idx="301">
                  <c:v>-0.67277883525867443</c:v>
                </c:pt>
                <c:pt idx="302">
                  <c:v>-0.84935957731692924</c:v>
                </c:pt>
                <c:pt idx="303">
                  <c:v>-1.025028546892037</c:v>
                </c:pt>
                <c:pt idx="304">
                  <c:v>-1.1997533849932631</c:v>
                </c:pt>
                <c:pt idx="305">
                  <c:v>-1.3735012494685517</c:v>
                </c:pt>
                <c:pt idx="306">
                  <c:v>-1.5462388509707119</c:v>
                </c:pt>
                <c:pt idx="307">
                  <c:v>-1.7179324935400999</c:v>
                </c:pt>
                <c:pt idx="308">
                  <c:v>-1.8885481199751051</c:v>
                </c:pt>
                <c:pt idx="309">
                  <c:v>-2.0580513621413838</c:v>
                </c:pt>
                <c:pt idx="310">
                  <c:v>-2.226407596356184</c:v>
                </c:pt>
                <c:pt idx="311">
                  <c:v>-2.3935820039576137</c:v>
                </c:pt>
                <c:pt idx="312">
                  <c:v>-2.5595396371444981</c:v>
                </c:pt>
                <c:pt idx="313">
                  <c:v>-2.7242454901421103</c:v>
                </c:pt>
                <c:pt idx="314">
                  <c:v>-2.8876645757162316</c:v>
                </c:pt>
                <c:pt idx="315">
                  <c:v>-3.0497620070206217</c:v>
                </c:pt>
                <c:pt idx="316">
                  <c:v>-3.2105030847243921</c:v>
                </c:pt>
                <c:pt idx="317">
                  <c:v>-3.3698533893199354</c:v>
                </c:pt>
                <c:pt idx="318">
                  <c:v>-3.5277788784693338</c:v>
                </c:pt>
                <c:pt idx="319">
                  <c:v>-3.684245989194463</c:v>
                </c:pt>
                <c:pt idx="320">
                  <c:v>-3.8392217446687793</c:v>
                </c:pt>
                <c:pt idx="321">
                  <c:v>-3.9926738653112928</c:v>
                </c:pt>
                <c:pt idx="322">
                  <c:v>-4.1445708838340902</c:v>
                </c:pt>
                <c:pt idx="323">
                  <c:v>-4.2948822638352384</c:v>
                </c:pt>
                <c:pt idx="324">
                  <c:v>-4.443578521477999</c:v>
                </c:pt>
                <c:pt idx="325">
                  <c:v>-4.5906313497409732</c:v>
                </c:pt>
                <c:pt idx="326">
                  <c:v>-4.7360137446719168</c:v>
                </c:pt>
                <c:pt idx="327">
                  <c:v>-4.8797001330307603</c:v>
                </c:pt>
                <c:pt idx="328">
                  <c:v>-5.0216665006572807</c:v>
                </c:pt>
                <c:pt idx="329">
                  <c:v>-5.1618905208609416</c:v>
                </c:pt>
                <c:pt idx="330">
                  <c:v>-5.3003516820900574</c:v>
                </c:pt>
                <c:pt idx="331">
                  <c:v>-5.4370314141108187</c:v>
                </c:pt>
                <c:pt idx="332">
                  <c:v>-5.5719132118990533</c:v>
                </c:pt>
                <c:pt idx="333">
                  <c:v>-5.7049827564349878</c:v>
                </c:pt>
                <c:pt idx="334">
                  <c:v>-5.8362280315800543</c:v>
                </c:pt>
                <c:pt idx="335">
                  <c:v>-5.9656394362185807</c:v>
                </c:pt>
                <c:pt idx="336">
                  <c:v>-6.0932098908540846</c:v>
                </c:pt>
                <c:pt idx="337">
                  <c:v>-6.2189349378713725</c:v>
                </c:pt>
                <c:pt idx="338">
                  <c:v>-6.3428128347018262</c:v>
                </c:pt>
                <c:pt idx="339">
                  <c:v>-6.4648446391680423</c:v>
                </c:pt>
                <c:pt idx="340">
                  <c:v>-6.5850342863285061</c:v>
                </c:pt>
                <c:pt idx="341">
                  <c:v>-6.7033886561995137</c:v>
                </c:pt>
                <c:pt idx="342">
                  <c:v>-6.8199176317905819</c:v>
                </c:pt>
                <c:pt idx="343">
                  <c:v>-6.9346341469602955</c:v>
                </c:pt>
                <c:pt idx="344">
                  <c:v>-7.0475542236726838</c:v>
                </c:pt>
                <c:pt idx="345">
                  <c:v>-7.1586969983124193</c:v>
                </c:pt>
                <c:pt idx="346">
                  <c:v>-7.2680847368006551</c:v>
                </c:pt>
                <c:pt idx="347">
                  <c:v>-7.3757428383339683</c:v>
                </c:pt>
                <c:pt idx="348">
                  <c:v>-7.4816998276578852</c:v>
                </c:pt>
                <c:pt idx="349">
                  <c:v>-7.5859873358648811</c:v>
                </c:pt>
                <c:pt idx="350">
                  <c:v>-7.688640069792517</c:v>
                </c:pt>
                <c:pt idx="351">
                  <c:v>-7.7896957701732275</c:v>
                </c:pt>
                <c:pt idx="352">
                  <c:v>-7.8891951587612628</c:v>
                </c:pt>
                <c:pt idx="353">
                  <c:v>-7.9871818747302346</c:v>
                </c:pt>
                <c:pt idx="354">
                  <c:v>-8.0837024006977156</c:v>
                </c:pt>
                <c:pt idx="355">
                  <c:v>-8.1788059787840606</c:v>
                </c:pt>
                <c:pt idx="356">
                  <c:v>-8.2725445171631158</c:v>
                </c:pt>
                <c:pt idx="357">
                  <c:v>-8.364972487598104</c:v>
                </c:pt>
                <c:pt idx="358">
                  <c:v>-8.4561468144865231</c:v>
                </c:pt>
                <c:pt idx="359">
                  <c:v>-8.5461267559606586</c:v>
                </c:pt>
                <c:pt idx="360">
                  <c:v>-8.6349737776027471</c:v>
                </c:pt>
                <c:pt idx="361">
                  <c:v>-8.7227514193410691</c:v>
                </c:pt>
                <c:pt idx="362">
                  <c:v>-8.8095251560914907</c:v>
                </c:pt>
                <c:pt idx="363">
                  <c:v>-8.8953622527028635</c:v>
                </c:pt>
                <c:pt idx="364">
                  <c:v>-8.9803316137516465</c:v>
                </c:pt>
                <c:pt idx="365">
                  <c:v>-9.0645036287133518</c:v>
                </c:pt>
                <c:pt idx="366">
                  <c:v>-9.1479500130198801</c:v>
                </c:pt>
                <c:pt idx="367">
                  <c:v>-9.2307436454874239</c:v>
                </c:pt>
                <c:pt idx="368">
                  <c:v>-9.3129584025750631</c:v>
                </c:pt>
                <c:pt idx="369">
                  <c:v>-9.3946689899114819</c:v>
                </c:pt>
                <c:pt idx="370">
                  <c:v>-9.47595077150158</c:v>
                </c:pt>
                <c:pt idx="371">
                  <c:v>-9.5568795970034888</c:v>
                </c:pt>
                <c:pt idx="372">
                  <c:v>-9.6375316274463891</c:v>
                </c:pt>
                <c:pt idx="373">
                  <c:v>-9.7179831597444775</c:v>
                </c:pt>
                <c:pt idx="374">
                  <c:v>-9.7983104503467473</c:v>
                </c:pt>
                <c:pt idx="375">
                  <c:v>-9.8785895383578666</c:v>
                </c:pt>
                <c:pt idx="376">
                  <c:v>-9.9588960684595484</c:v>
                </c:pt>
                <c:pt idx="377">
                  <c:v>-10.03930511396325</c:v>
                </c:pt>
                <c:pt idx="378">
                  <c:v>-10.119891000331489</c:v>
                </c:pt>
                <c:pt idx="379">
                  <c:v>-10.20072712951761</c:v>
                </c:pt>
                <c:pt idx="380">
                  <c:v>-10.281885805485144</c:v>
                </c:pt>
                <c:pt idx="381">
                  <c:v>-10.363438061292662</c:v>
                </c:pt>
                <c:pt idx="382">
                  <c:v>-10.445453488146512</c:v>
                </c:pt>
                <c:pt idx="383">
                  <c:v>-10.528000066855039</c:v>
                </c:pt>
                <c:pt idx="384">
                  <c:v>-10.611144002140993</c:v>
                </c:pt>
                <c:pt idx="385">
                  <c:v>-10.694949560298642</c:v>
                </c:pt>
                <c:pt idx="386">
                  <c:v>-10.779478910708972</c:v>
                </c:pt>
                <c:pt idx="387">
                  <c:v>-10.86479197175527</c:v>
                </c:pt>
                <c:pt idx="388">
                  <c:v>-10.950946261703455</c:v>
                </c:pt>
                <c:pt idx="389">
                  <c:v>-11.037996755135417</c:v>
                </c:pt>
                <c:pt idx="390">
                  <c:v>-11.125995745538653</c:v>
                </c:pt>
                <c:pt idx="391">
                  <c:v>-11.214992714670807</c:v>
                </c:pt>
                <c:pt idx="392">
                  <c:v>-11.305034209319597</c:v>
                </c:pt>
                <c:pt idx="393">
                  <c:v>-11.396163726082911</c:v>
                </c:pt>
                <c:pt idx="394">
                  <c:v>-11.488421604782346</c:v>
                </c:pt>
                <c:pt idx="395">
                  <c:v>-11.581844931109408</c:v>
                </c:pt>
                <c:pt idx="396">
                  <c:v>-11.676467449080722</c:v>
                </c:pt>
                <c:pt idx="397">
                  <c:v>-11.772319483845184</c:v>
                </c:pt>
                <c:pt idx="398">
                  <c:v>-11.869427875348759</c:v>
                </c:pt>
                <c:pt idx="399">
                  <c:v>-11.967815923313426</c:v>
                </c:pt>
                <c:pt idx="400">
                  <c:v>-12.067503343934376</c:v>
                </c:pt>
                <c:pt idx="401">
                  <c:v>-12.16850623863769</c:v>
                </c:pt>
                <c:pt idx="402">
                  <c:v>-12.270837075175422</c:v>
                </c:pt>
                <c:pt idx="403">
                  <c:v>-12.374504681264444</c:v>
                </c:pt>
                <c:pt idx="404">
                  <c:v>-12.47951425090019</c:v>
                </c:pt>
                <c:pt idx="405">
                  <c:v>-12.585867363401622</c:v>
                </c:pt>
                <c:pt idx="406">
                  <c:v>-12.693562015166165</c:v>
                </c:pt>
                <c:pt idx="407">
                  <c:v>-12.802592664034405</c:v>
                </c:pt>
                <c:pt idx="408">
                  <c:v>-12.912950286092657</c:v>
                </c:pt>
                <c:pt idx="409">
                  <c:v>-13.024622444664317</c:v>
                </c:pt>
                <c:pt idx="410">
                  <c:v>-13.137593371175662</c:v>
                </c:pt>
                <c:pt idx="411">
                  <c:v>-13.251844057516077</c:v>
                </c:pt>
                <c:pt idx="412">
                  <c:v>-13.367352359454452</c:v>
                </c:pt>
                <c:pt idx="413">
                  <c:v>-13.484093110621442</c:v>
                </c:pt>
                <c:pt idx="414">
                  <c:v>-13.602038246524067</c:v>
                </c:pt>
                <c:pt idx="415">
                  <c:v>-13.721156938018943</c:v>
                </c:pt>
                <c:pt idx="416">
                  <c:v>-13.841415733642503</c:v>
                </c:pt>
                <c:pt idx="417">
                  <c:v>-13.962778710173289</c:v>
                </c:pt>
                <c:pt idx="418">
                  <c:v>-14.085207630784787</c:v>
                </c:pt>
                <c:pt idx="419">
                  <c:v>-14.208662110140246</c:v>
                </c:pt>
                <c:pt idx="420">
                  <c:v>-14.333099785777602</c:v>
                </c:pt>
                <c:pt idx="421">
                  <c:v>-14.458476495135189</c:v>
                </c:pt>
                <c:pt idx="422">
                  <c:v>-14.584746457576596</c:v>
                </c:pt>
                <c:pt idx="423">
                  <c:v>-14.711862460786154</c:v>
                </c:pt>
                <c:pt idx="424">
                  <c:v>-14.839776050918331</c:v>
                </c:pt>
                <c:pt idx="425">
                  <c:v>-14.968437725900607</c:v>
                </c:pt>
                <c:pt idx="426">
                  <c:v>-15.097797131309747</c:v>
                </c:pt>
                <c:pt idx="427">
                  <c:v>-15.227803258251072</c:v>
                </c:pt>
                <c:pt idx="428">
                  <c:v>-15.358404642693603</c:v>
                </c:pt>
                <c:pt idx="429">
                  <c:v>-15.489549565721765</c:v>
                </c:pt>
                <c:pt idx="430">
                  <c:v>-15.621186254176564</c:v>
                </c:pt>
                <c:pt idx="431">
                  <c:v>-15.753263081168845</c:v>
                </c:pt>
                <c:pt idx="432">
                  <c:v>-15.885728765946745</c:v>
                </c:pt>
                <c:pt idx="433">
                  <c:v>-16.018532572603398</c:v>
                </c:pt>
                <c:pt idx="434">
                  <c:v>-16.151624507101058</c:v>
                </c:pt>
                <c:pt idx="435">
                  <c:v>-16.284955512083556</c:v>
                </c:pt>
                <c:pt idx="436">
                  <c:v>-16.418477658931177</c:v>
                </c:pt>
                <c:pt idx="437">
                  <c:v>-16.552144336498081</c:v>
                </c:pt>
                <c:pt idx="438">
                  <c:v>-16.685910435949239</c:v>
                </c:pt>
                <c:pt idx="439">
                  <c:v>-16.819732531092527</c:v>
                </c:pt>
                <c:pt idx="440">
                  <c:v>-16.953569053574594</c:v>
                </c:pt>
                <c:pt idx="441">
                  <c:v>-17.087380462285765</c:v>
                </c:pt>
                <c:pt idx="442">
                  <c:v>-17.221129406289492</c:v>
                </c:pt>
                <c:pt idx="443">
                  <c:v>-17.354780880571244</c:v>
                </c:pt>
                <c:pt idx="444">
                  <c:v>-17.488302373877129</c:v>
                </c:pt>
                <c:pt idx="445">
                  <c:v>-17.621664007893763</c:v>
                </c:pt>
                <c:pt idx="446">
                  <c:v>-17.754838667009945</c:v>
                </c:pt>
                <c:pt idx="447">
                  <c:v>-17.887802117890036</c:v>
                </c:pt>
                <c:pt idx="448">
                  <c:v>-18.02053311809048</c:v>
                </c:pt>
                <c:pt idx="449">
                  <c:v>-18.153013512959429</c:v>
                </c:pt>
                <c:pt idx="450">
                  <c:v>-18.285228320075369</c:v>
                </c:pt>
                <c:pt idx="451">
                  <c:v>-18.417165800509618</c:v>
                </c:pt>
                <c:pt idx="452">
                  <c:v>-18.548817516232965</c:v>
                </c:pt>
                <c:pt idx="453">
                  <c:v>-18.68017837304032</c:v>
                </c:pt>
                <c:pt idx="454">
                  <c:v>-18.811246648421317</c:v>
                </c:pt>
                <c:pt idx="455">
                  <c:v>-18.942024003883638</c:v>
                </c:pt>
                <c:pt idx="456">
                  <c:v>-19.072515481309448</c:v>
                </c:pt>
                <c:pt idx="457">
                  <c:v>-19.202729483028925</c:v>
                </c:pt>
                <c:pt idx="458">
                  <c:v>-19.332677735385985</c:v>
                </c:pt>
                <c:pt idx="459">
                  <c:v>-19.462375235692704</c:v>
                </c:pt>
                <c:pt idx="460">
                  <c:v>-19.59184018258043</c:v>
                </c:pt>
                <c:pt idx="461">
                  <c:v>-19.721093889886049</c:v>
                </c:pt>
                <c:pt idx="462">
                  <c:v>-19.850160684337215</c:v>
                </c:pt>
                <c:pt idx="463">
                  <c:v>-19.979067787437003</c:v>
                </c:pt>
                <c:pt idx="464">
                  <c:v>-20.107845182080354</c:v>
                </c:pt>
                <c:pt idx="465">
                  <c:v>-20.236525464567272</c:v>
                </c:pt>
                <c:pt idx="466">
                  <c:v>-20.365143682811532</c:v>
                </c:pt>
                <c:pt idx="467">
                  <c:v>-20.493737161667966</c:v>
                </c:pt>
                <c:pt idx="468">
                  <c:v>-20.622345316420819</c:v>
                </c:pt>
                <c:pt idx="469">
                  <c:v>-20.751009455591326</c:v>
                </c:pt>
                <c:pt idx="470">
                  <c:v>-20.879772574320235</c:v>
                </c:pt>
                <c:pt idx="471">
                  <c:v>-21.008679139676136</c:v>
                </c:pt>
                <c:pt idx="472">
                  <c:v>-21.137774869316203</c:v>
                </c:pt>
                <c:pt idx="473">
                  <c:v>-21.267106504991666</c:v>
                </c:pt>
                <c:pt idx="474">
                  <c:v>-21.39672158243696</c:v>
                </c:pt>
                <c:pt idx="475">
                  <c:v>-21.52666819921949</c:v>
                </c:pt>
                <c:pt idx="476">
                  <c:v>-21.656994782138973</c:v>
                </c:pt>
                <c:pt idx="477">
                  <c:v>-21.787749855768169</c:v>
                </c:pt>
                <c:pt idx="478">
                  <c:v>-21.918981813710687</c:v>
                </c:pt>
                <c:pt idx="479">
                  <c:v>-22.050738694116166</c:v>
                </c:pt>
                <c:pt idx="480">
                  <c:v>-22.183067960945621</c:v>
                </c:pt>
                <c:pt idx="481">
                  <c:v>-22.316016292413735</c:v>
                </c:pt>
                <c:pt idx="482">
                  <c:v>-22.449629377954672</c:v>
                </c:pt>
                <c:pt idx="483">
                  <c:v>-22.583951724965793</c:v>
                </c:pt>
                <c:pt idx="484">
                  <c:v>-22.71902647647714</c:v>
                </c:pt>
                <c:pt idx="485">
                  <c:v>-22.854895240778053</c:v>
                </c:pt>
                <c:pt idx="486">
                  <c:v>-22.99159793390551</c:v>
                </c:pt>
                <c:pt idx="487">
                  <c:v>-23.129172635770246</c:v>
                </c:pt>
                <c:pt idx="488">
                  <c:v>-23.267655460549651</c:v>
                </c:pt>
                <c:pt idx="489">
                  <c:v>-23.407080441842893</c:v>
                </c:pt>
                <c:pt idx="490">
                  <c:v>-23.547479432933955</c:v>
                </c:pt>
                <c:pt idx="491">
                  <c:v>-23.688882022365291</c:v>
                </c:pt>
                <c:pt idx="492">
                  <c:v>-23.831315464885755</c:v>
                </c:pt>
                <c:pt idx="493">
                  <c:v>-23.974804627693697</c:v>
                </c:pt>
                <c:pt idx="494">
                  <c:v>-24.119371951769605</c:v>
                </c:pt>
                <c:pt idx="495">
                  <c:v>-24.265037427961282</c:v>
                </c:pt>
                <c:pt idx="496">
                  <c:v>-24.411818587374647</c:v>
                </c:pt>
                <c:pt idx="497">
                  <c:v>-24.559730505510217</c:v>
                </c:pt>
                <c:pt idx="498">
                  <c:v>-24.708785819494977</c:v>
                </c:pt>
                <c:pt idx="499">
                  <c:v>-24.858994757670871</c:v>
                </c:pt>
                <c:pt idx="500">
                  <c:v>-25.01036518073257</c:v>
                </c:pt>
                <c:pt idx="501">
                  <c:v>-25.162902633544771</c:v>
                </c:pt>
                <c:pt idx="502">
                  <c:v>-25.316610406725502</c:v>
                </c:pt>
                <c:pt idx="503">
                  <c:v>-25.471489607045893</c:v>
                </c:pt>
                <c:pt idx="504">
                  <c:v>-25.627539235675073</c:v>
                </c:pt>
                <c:pt idx="505">
                  <c:v>-25.784756273291226</c:v>
                </c:pt>
                <c:pt idx="506">
                  <c:v>-25.943135771078516</c:v>
                </c:pt>
                <c:pt idx="507">
                  <c:v>-26.102670946643457</c:v>
                </c:pt>
                <c:pt idx="508">
                  <c:v>-26.263353283905026</c:v>
                </c:pt>
                <c:pt idx="509">
                  <c:v>-26.425172636042888</c:v>
                </c:pt>
                <c:pt idx="510">
                  <c:v>-26.58811733062635</c:v>
                </c:pt>
                <c:pt idx="511">
                  <c:v>-26.752174276090184</c:v>
                </c:pt>
                <c:pt idx="512">
                  <c:v>-26.917329068774151</c:v>
                </c:pt>
                <c:pt idx="513">
                  <c:v>-27.083566099794972</c:v>
                </c:pt>
                <c:pt idx="514">
                  <c:v>-27.250868661079792</c:v>
                </c:pt>
                <c:pt idx="515">
                  <c:v>-27.419219049945696</c:v>
                </c:pt>
                <c:pt idx="516">
                  <c:v>-27.588598671674831</c:v>
                </c:pt>
                <c:pt idx="517">
                  <c:v>-27.758988139591683</c:v>
                </c:pt>
                <c:pt idx="518">
                  <c:v>-27.930367372212505</c:v>
                </c:pt>
                <c:pt idx="519">
                  <c:v>-28.10271568709565</c:v>
                </c:pt>
                <c:pt idx="520">
                  <c:v>-28.276011891078703</c:v>
                </c:pt>
                <c:pt idx="521">
                  <c:v>-28.450234366644271</c:v>
                </c:pt>
                <c:pt idx="522">
                  <c:v>-28.625361154209422</c:v>
                </c:pt>
                <c:pt idx="523">
                  <c:v>-28.801370030182074</c:v>
                </c:pt>
                <c:pt idx="524">
                  <c:v>-28.978238580676301</c:v>
                </c:pt>
                <c:pt idx="525">
                  <c:v>-29.155944270817695</c:v>
                </c:pt>
                <c:pt idx="526">
                  <c:v>-29.334464509612378</c:v>
                </c:pt>
                <c:pt idx="527">
                  <c:v>-29.513776710386654</c:v>
                </c:pt>
                <c:pt idx="528">
                  <c:v>-29.693858346835917</c:v>
                </c:pt>
                <c:pt idx="529">
                  <c:v>-29.874687004750847</c:v>
                </c:pt>
                <c:pt idx="530">
                  <c:v>-30.056240429510655</c:v>
                </c:pt>
                <c:pt idx="531">
                  <c:v>-30.238496569457077</c:v>
                </c:pt>
                <c:pt idx="532">
                  <c:v>-30.421433615277756</c:v>
                </c:pt>
                <c:pt idx="533">
                  <c:v>-30.60503003554512</c:v>
                </c:pt>
                <c:pt idx="534">
                  <c:v>-30.78926460856573</c:v>
                </c:pt>
                <c:pt idx="535">
                  <c:v>-30.974116450706148</c:v>
                </c:pt>
                <c:pt idx="536">
                  <c:v>-31.15956504136733</c:v>
                </c:pt>
                <c:pt idx="537">
                  <c:v>-31.345590244785168</c:v>
                </c:pt>
                <c:pt idx="538">
                  <c:v>-31.532172328835173</c:v>
                </c:pt>
                <c:pt idx="539">
                  <c:v>-31.719291981022049</c:v>
                </c:pt>
                <c:pt idx="540">
                  <c:v>-31.906930321833464</c:v>
                </c:pt>
                <c:pt idx="541">
                  <c:v>-32.095068915636141</c:v>
                </c:pt>
              </c:numCache>
            </c:numRef>
          </c:yVal>
          <c:smooth val="1"/>
          <c:extLst>
            <c:ext xmlns:c16="http://schemas.microsoft.com/office/drawing/2014/chart" uri="{C3380CC4-5D6E-409C-BE32-E72D297353CC}">
              <c16:uniqueId val="{00000000-B561-4C80-890B-643E0BF90D63}"/>
            </c:ext>
          </c:extLst>
        </c:ser>
        <c:dLbls>
          <c:showLegendKey val="0"/>
          <c:showVal val="0"/>
          <c:showCatName val="0"/>
          <c:showSerName val="0"/>
          <c:showPercent val="0"/>
          <c:showBubbleSize val="0"/>
        </c:dLbls>
        <c:axId val="162497664"/>
        <c:axId val="162499584"/>
      </c:scatterChart>
      <c:scatterChart>
        <c:scatterStyle val="smoothMarker"/>
        <c:varyColors val="0"/>
        <c:ser>
          <c:idx val="1"/>
          <c:order val="1"/>
          <c:tx>
            <c:v>Phase (deg)</c:v>
          </c:tx>
          <c:marker>
            <c:symbol val="none"/>
          </c:marker>
          <c:xVal>
            <c:numRef>
              <c:f>Loop_Modeling!$O$19:$O$560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Loop_Modeling!$AE$19:$AE$560</c:f>
              <c:numCache>
                <c:formatCode>General</c:formatCode>
                <c:ptCount val="542"/>
                <c:pt idx="0">
                  <c:v>-1.1811286580000424</c:v>
                </c:pt>
                <c:pt idx="1">
                  <c:v>-1.2086331232683962</c:v>
                </c:pt>
                <c:pt idx="2">
                  <c:v>-1.2367777096643544</c:v>
                </c:pt>
                <c:pt idx="3">
                  <c:v>-1.2655772889150976</c:v>
                </c:pt>
                <c:pt idx="4">
                  <c:v>-1.2950470763963331</c:v>
                </c:pt>
                <c:pt idx="5">
                  <c:v>-1.3252026389400311</c:v>
                </c:pt>
                <c:pt idx="6">
                  <c:v>-1.3560599028098317</c:v>
                </c:pt>
                <c:pt idx="7">
                  <c:v>-1.3876351618472726</c:v>
                </c:pt>
                <c:pt idx="8">
                  <c:v>-1.4199450857917162</c:v>
                </c:pt>
                <c:pt idx="9">
                  <c:v>-1.4530067287766391</c:v>
                </c:pt>
                <c:pt idx="10">
                  <c:v>-1.486837538005515</c:v>
                </c:pt>
                <c:pt idx="11">
                  <c:v>-1.5214553626098746</c:v>
                </c:pt>
                <c:pt idx="12">
                  <c:v>-1.5568784626925705</c:v>
                </c:pt>
                <c:pt idx="13">
                  <c:v>-1.5931255185588742</c:v>
                </c:pt>
                <c:pt idx="14">
                  <c:v>-1.6302156401383958</c:v>
                </c:pt>
                <c:pt idx="15">
                  <c:v>-1.6681683766002962</c:v>
                </c:pt>
                <c:pt idx="16">
                  <c:v>-1.7070037261646553</c:v>
                </c:pt>
                <c:pt idx="17">
                  <c:v>-1.7467421461124111</c:v>
                </c:pt>
                <c:pt idx="18">
                  <c:v>-1.7874045629965796</c:v>
                </c:pt>
                <c:pt idx="19">
                  <c:v>-1.8290123830569165</c:v>
                </c:pt>
                <c:pt idx="20">
                  <c:v>-1.8715875028405884</c:v>
                </c:pt>
                <c:pt idx="21">
                  <c:v>-1.9151523200308869</c:v>
                </c:pt>
                <c:pt idx="22">
                  <c:v>-1.9597297444860882</c:v>
                </c:pt>
                <c:pt idx="23">
                  <c:v>-2.0053432094904298</c:v>
                </c:pt>
                <c:pt idx="24">
                  <c:v>-2.0520166832188735</c:v>
                </c:pt>
                <c:pt idx="25">
                  <c:v>-2.0997746804173385</c:v>
                </c:pt>
                <c:pt idx="26">
                  <c:v>-2.1486422742995637</c:v>
                </c:pt>
                <c:pt idx="27">
                  <c:v>-2.198645108662082</c:v>
                </c:pt>
                <c:pt idx="28">
                  <c:v>-2.2498094102178747</c:v>
                </c:pt>
                <c:pt idx="29">
                  <c:v>-2.3021620011494375</c:v>
                </c:pt>
                <c:pt idx="30">
                  <c:v>-2.3557303118817687</c:v>
                </c:pt>
                <c:pt idx="31">
                  <c:v>-2.4105423940750441</c:v>
                </c:pt>
                <c:pt idx="32">
                  <c:v>-2.4666269338366327</c:v>
                </c:pt>
                <c:pt idx="33">
                  <c:v>-2.5240132651520586</c:v>
                </c:pt>
                <c:pt idx="34">
                  <c:v>-2.5827313835331611</c:v>
                </c:pt>
                <c:pt idx="35">
                  <c:v>-2.642811959882466</c:v>
                </c:pt>
                <c:pt idx="36">
                  <c:v>-2.7042863545711375</c:v>
                </c:pt>
                <c:pt idx="37">
                  <c:v>-2.7671866317280678</c:v>
                </c:pt>
                <c:pt idx="38">
                  <c:v>-2.8315455737369493</c:v>
                </c:pt>
                <c:pt idx="39">
                  <c:v>-2.8973966959371773</c:v>
                </c:pt>
                <c:pt idx="40">
                  <c:v>-2.9647742615241168</c:v>
                </c:pt>
                <c:pt idx="41">
                  <c:v>-3.033713296643572</c:v>
                </c:pt>
                <c:pt idx="42">
                  <c:v>-3.1042496056738655</c:v>
                </c:pt>
                <c:pt idx="43">
                  <c:v>-3.1764197866891344</c:v>
                </c:pt>
                <c:pt idx="44">
                  <c:v>-3.2502612470951751</c:v>
                </c:pt>
                <c:pt idx="45">
                  <c:v>-3.3258122194296993</c:v>
                </c:pt>
                <c:pt idx="46">
                  <c:v>-3.403111777315901</c:v>
                </c:pt>
                <c:pt idx="47">
                  <c:v>-3.4821998515593777</c:v>
                </c:pt>
                <c:pt idx="48">
                  <c:v>-3.5631172463745253</c:v>
                </c:pt>
                <c:pt idx="49">
                  <c:v>-3.6459056557278449</c:v>
                </c:pt>
                <c:pt idx="50">
                  <c:v>-3.7306076797818433</c:v>
                </c:pt>
                <c:pt idx="51">
                  <c:v>-3.8172668414234123</c:v>
                </c:pt>
                <c:pt idx="52">
                  <c:v>-3.9059276028575409</c:v>
                </c:pt>
                <c:pt idx="53">
                  <c:v>-3.9966353822465575</c:v>
                </c:pt>
                <c:pt idx="54">
                  <c:v>-4.0894365703723441</c:v>
                </c:pt>
                <c:pt idx="55">
                  <c:v>-4.1843785472970731</c:v>
                </c:pt>
                <c:pt idx="56">
                  <c:v>-4.2815096989965964</c:v>
                </c:pt>
                <c:pt idx="57">
                  <c:v>-4.3808794339369141</c:v>
                </c:pt>
                <c:pt idx="58">
                  <c:v>-4.4825381995627547</c:v>
                </c:pt>
                <c:pt idx="59">
                  <c:v>-4.5865374986642831</c:v>
                </c:pt>
                <c:pt idx="60">
                  <c:v>-4.6929299055848794</c:v>
                </c:pt>
                <c:pt idx="61">
                  <c:v>-4.8017690822303436</c:v>
                </c:pt>
                <c:pt idx="62">
                  <c:v>-4.9131097938356669</c:v>
                </c:pt>
                <c:pt idx="63">
                  <c:v>-5.0270079244442947</c:v>
                </c:pt>
                <c:pt idx="64">
                  <c:v>-5.1435204920477648</c:v>
                </c:pt>
                <c:pt idx="65">
                  <c:v>-5.2627056633331186</c:v>
                </c:pt>
                <c:pt idx="66">
                  <c:v>-5.3846227679790024</c:v>
                </c:pt>
                <c:pt idx="67">
                  <c:v>-5.5093323124381675</c:v>
                </c:pt>
                <c:pt idx="68">
                  <c:v>-5.6368959931393334</c:v>
                </c:pt>
                <c:pt idx="69">
                  <c:v>-5.767376709035573</c:v>
                </c:pt>
                <c:pt idx="70">
                  <c:v>-5.9008385734227424</c:v>
                </c:pt>
                <c:pt idx="71">
                  <c:v>-6.0373469249446021</c:v>
                </c:pt>
                <c:pt idx="72">
                  <c:v>-6.1769683376964313</c:v>
                </c:pt>
                <c:pt idx="73">
                  <c:v>-6.3197706303319654</c:v>
                </c:pt>
                <c:pt idx="74">
                  <c:v>-6.4658228740732682</c:v>
                </c:pt>
                <c:pt idx="75">
                  <c:v>-6.6151953995150707</c:v>
                </c:pt>
                <c:pt idx="76">
                  <c:v>-6.767959802109373</c:v>
                </c:pt>
                <c:pt idx="77">
                  <c:v>-6.9241889462072921</c:v>
                </c:pt>
                <c:pt idx="78">
                  <c:v>-7.083956967528577</c:v>
                </c:pt>
                <c:pt idx="79">
                  <c:v>-7.2473392739201916</c:v>
                </c:pt>
                <c:pt idx="80">
                  <c:v>-7.4144125442584459</c:v>
                </c:pt>
                <c:pt idx="81">
                  <c:v>-7.5852547253369957</c:v>
                </c:pt>
                <c:pt idx="82">
                  <c:v>-7.7599450265784586</c:v>
                </c:pt>
                <c:pt idx="83">
                  <c:v>-7.9385639123933736</c:v>
                </c:pt>
                <c:pt idx="84">
                  <c:v>-8.1211930920042548</c:v>
                </c:pt>
                <c:pt idx="85">
                  <c:v>-8.3079155065394819</c:v>
                </c:pt>
                <c:pt idx="86">
                  <c:v>-8.4988153131922921</c:v>
                </c:pt>
                <c:pt idx="87">
                  <c:v>-8.6939778662302185</c:v>
                </c:pt>
                <c:pt idx="88">
                  <c:v>-8.8934896946278776</c:v>
                </c:pt>
                <c:pt idx="89">
                  <c:v>-9.0974384760864506</c:v>
                </c:pt>
                <c:pt idx="90">
                  <c:v>-9.3059130071898135</c:v>
                </c:pt>
                <c:pt idx="91">
                  <c:v>-9.5190031694380615</c:v>
                </c:pt>
                <c:pt idx="92">
                  <c:v>-9.7367998908864024</c:v>
                </c:pt>
                <c:pt idx="93">
                  <c:v>-9.9593951031053187</c:v>
                </c:pt>
                <c:pt idx="94">
                  <c:v>-10.186881693168555</c:v>
                </c:pt>
                <c:pt idx="95">
                  <c:v>-10.419353450362932</c:v>
                </c:pt>
                <c:pt idx="96">
                  <c:v>-10.656905007302658</c:v>
                </c:pt>
                <c:pt idx="97">
                  <c:v>-10.899631775121584</c:v>
                </c:pt>
                <c:pt idx="98">
                  <c:v>-11.147629872407084</c:v>
                </c:pt>
                <c:pt idx="99">
                  <c:v>-11.400996047529153</c:v>
                </c:pt>
                <c:pt idx="100">
                  <c:v>-11.659827594010174</c:v>
                </c:pt>
                <c:pt idx="101">
                  <c:v>-11.924222258574879</c:v>
                </c:pt>
                <c:pt idx="102">
                  <c:v>-12.194278141512729</c:v>
                </c:pt>
                <c:pt idx="103">
                  <c:v>-12.47009358898188</c:v>
                </c:pt>
                <c:pt idx="104">
                  <c:v>-12.751767076880371</c:v>
                </c:pt>
                <c:pt idx="105">
                  <c:v>-13.039397085909282</c:v>
                </c:pt>
                <c:pt idx="106">
                  <c:v>-13.333081967456684</c:v>
                </c:pt>
                <c:pt idx="107">
                  <c:v>-13.63291979993271</c:v>
                </c:pt>
                <c:pt idx="108">
                  <c:v>-13.939008235194894</c:v>
                </c:pt>
                <c:pt idx="109">
                  <c:v>-14.251444334714625</c:v>
                </c:pt>
                <c:pt idx="110">
                  <c:v>-14.570324395147992</c:v>
                </c:pt>
                <c:pt idx="111">
                  <c:v>-14.895743762993247</c:v>
                </c:pt>
                <c:pt idx="112">
                  <c:v>-15.227796638042612</c:v>
                </c:pt>
                <c:pt idx="113">
                  <c:v>-15.566575865359782</c:v>
                </c:pt>
                <c:pt idx="114">
                  <c:v>-15.912172715551819</c:v>
                </c:pt>
                <c:pt idx="115">
                  <c:v>-16.264676653140238</c:v>
                </c:pt>
                <c:pt idx="116">
                  <c:v>-16.62417509288451</c:v>
                </c:pt>
                <c:pt idx="117">
                  <c:v>-16.990753143958372</c:v>
                </c:pt>
                <c:pt idx="118">
                  <c:v>-17.364493341944378</c:v>
                </c:pt>
                <c:pt idx="119">
                  <c:v>-17.745475368673347</c:v>
                </c:pt>
                <c:pt idx="120">
                  <c:v>-18.133775760012213</c:v>
                </c:pt>
                <c:pt idx="121">
                  <c:v>-18.529467601786855</c:v>
                </c:pt>
                <c:pt idx="122">
                  <c:v>-18.932620214113474</c:v>
                </c:pt>
                <c:pt idx="123">
                  <c:v>-19.343298824516317</c:v>
                </c:pt>
                <c:pt idx="124">
                  <c:v>-19.761564230313795</c:v>
                </c:pt>
                <c:pt idx="125">
                  <c:v>-20.187472450872157</c:v>
                </c:pt>
                <c:pt idx="126">
                  <c:v>-20.621074370452806</c:v>
                </c:pt>
                <c:pt idx="127">
                  <c:v>-21.062415372509175</c:v>
                </c:pt>
                <c:pt idx="128">
                  <c:v>-21.511534966433398</c:v>
                </c:pt>
                <c:pt idx="129">
                  <c:v>-21.968466407899331</c:v>
                </c:pt>
                <c:pt idx="130">
                  <c:v>-22.43323631410242</c:v>
                </c:pt>
                <c:pt idx="131">
                  <c:v>-22.905864275359498</c:v>
                </c:pt>
                <c:pt idx="132">
                  <c:v>-23.386362464692958</c:v>
                </c:pt>
                <c:pt idx="133">
                  <c:v>-23.874735247193456</c:v>
                </c:pt>
                <c:pt idx="134">
                  <c:v>-24.370978791119832</c:v>
                </c:pt>
                <c:pt idx="135">
                  <c:v>-24.875080682867502</c:v>
                </c:pt>
                <c:pt idx="136">
                  <c:v>-25.387019548094905</c:v>
                </c:pt>
                <c:pt idx="137">
                  <c:v>-25.906764681463617</c:v>
                </c:pt>
                <c:pt idx="138">
                  <c:v>-26.434275687588155</c:v>
                </c:pt>
                <c:pt idx="139">
                  <c:v>-26.969502135946566</c:v>
                </c:pt>
                <c:pt idx="140">
                  <c:v>-27.51238323261277</c:v>
                </c:pt>
                <c:pt idx="141">
                  <c:v>-28.062847511794484</c:v>
                </c:pt>
                <c:pt idx="142">
                  <c:v>-28.620812550239094</c:v>
                </c:pt>
                <c:pt idx="143">
                  <c:v>-29.18618470764126</c:v>
                </c:pt>
                <c:pt idx="144">
                  <c:v>-29.758858896222947</c:v>
                </c:pt>
                <c:pt idx="145">
                  <c:v>-30.338718382660353</c:v>
                </c:pt>
                <c:pt idx="146">
                  <c:v>-30.925634625512899</c:v>
                </c:pt>
                <c:pt idx="147">
                  <c:v>-31.519467151242797</c:v>
                </c:pt>
                <c:pt idx="148">
                  <c:v>-32.120063471815278</c:v>
                </c:pt>
                <c:pt idx="149">
                  <c:v>-32.72725904673019</c:v>
                </c:pt>
                <c:pt idx="150">
                  <c:v>-33.340877292149116</c:v>
                </c:pt>
                <c:pt idx="151">
                  <c:v>-33.96072963955914</c:v>
                </c:pt>
                <c:pt idx="152">
                  <c:v>-34.586615646139457</c:v>
                </c:pt>
                <c:pt idx="153">
                  <c:v>-35.218323158694893</c:v>
                </c:pt>
                <c:pt idx="154">
                  <c:v>-35.855628532650385</c:v>
                </c:pt>
                <c:pt idx="155">
                  <c:v>-36.498296907222247</c:v>
                </c:pt>
                <c:pt idx="156">
                  <c:v>-37.146082537443554</c:v>
                </c:pt>
                <c:pt idx="157">
                  <c:v>-37.798729183261919</c:v>
                </c:pt>
                <c:pt idx="158">
                  <c:v>-38.455970555437766</c:v>
                </c:pt>
                <c:pt idx="159">
                  <c:v>-39.117530817462338</c:v>
                </c:pt>
                <c:pt idx="160">
                  <c:v>-39.78312514219089</c:v>
                </c:pt>
                <c:pt idx="161">
                  <c:v>-40.452460321348532</c:v>
                </c:pt>
                <c:pt idx="162">
                  <c:v>-41.125235425541121</c:v>
                </c:pt>
                <c:pt idx="163">
                  <c:v>-41.801142511869934</c:v>
                </c:pt>
                <c:pt idx="164">
                  <c:v>-42.479867375754488</c:v>
                </c:pt>
                <c:pt idx="165">
                  <c:v>-43.161090343068743</c:v>
                </c:pt>
                <c:pt idx="166">
                  <c:v>-43.844487098263834</c:v>
                </c:pt>
                <c:pt idx="167">
                  <c:v>-44.5297295437299</c:v>
                </c:pt>
                <c:pt idx="168">
                  <c:v>-45.216486685296886</c:v>
                </c:pt>
                <c:pt idx="169">
                  <c:v>-45.904425538468821</c:v>
                </c:pt>
                <c:pt idx="170">
                  <c:v>-46.593212049743912</c:v>
                </c:pt>
                <c:pt idx="171">
                  <c:v>-47.282512027192595</c:v>
                </c:pt>
                <c:pt idx="172">
                  <c:v>-47.971992074358639</c:v>
                </c:pt>
                <c:pt idx="173">
                  <c:v>-48.661320521515563</c:v>
                </c:pt>
                <c:pt idx="174">
                  <c:v>-49.350168348331607</c:v>
                </c:pt>
                <c:pt idx="175">
                  <c:v>-50.038210092118135</c:v>
                </c:pt>
                <c:pt idx="176">
                  <c:v>-50.725124735995919</c:v>
                </c:pt>
                <c:pt idx="177">
                  <c:v>-51.410596571562188</c:v>
                </c:pt>
                <c:pt idx="178">
                  <c:v>-52.094316030938806</c:v>
                </c:pt>
                <c:pt idx="179">
                  <c:v>-52.775980483438502</c:v>
                </c:pt>
                <c:pt idx="180">
                  <c:v>-53.455294992491218</c:v>
                </c:pt>
                <c:pt idx="181">
                  <c:v>-54.131973028922992</c:v>
                </c:pt>
                <c:pt idx="182">
                  <c:v>-54.8057371371534</c:v>
                </c:pt>
                <c:pt idx="183">
                  <c:v>-55.476319551392379</c:v>
                </c:pt>
                <c:pt idx="184">
                  <c:v>-56.143462759434414</c:v>
                </c:pt>
                <c:pt idx="185">
                  <c:v>-56.806920012186609</c:v>
                </c:pt>
                <c:pt idx="186">
                  <c:v>-57.466455777591008</c:v>
                </c:pt>
                <c:pt idx="187">
                  <c:v>-58.121846138138125</c:v>
                </c:pt>
                <c:pt idx="188">
                  <c:v>-58.772879131671118</c:v>
                </c:pt>
                <c:pt idx="189">
                  <c:v>-59.419355035676247</c:v>
                </c:pt>
                <c:pt idx="190">
                  <c:v>-60.061086595713256</c:v>
                </c:pt>
                <c:pt idx="191">
                  <c:v>-60.697899199077284</c:v>
                </c:pt>
                <c:pt idx="192">
                  <c:v>-61.329630995171875</c:v>
                </c:pt>
                <c:pt idx="193">
                  <c:v>-61.956132964436634</c:v>
                </c:pt>
                <c:pt idx="194">
                  <c:v>-62.577268937982289</c:v>
                </c:pt>
                <c:pt idx="195">
                  <c:v>-63.192915570360867</c:v>
                </c:pt>
                <c:pt idx="196">
                  <c:v>-63.802962268125867</c:v>
                </c:pt>
                <c:pt idx="197">
                  <c:v>-64.407311077025753</c:v>
                </c:pt>
                <c:pt idx="198">
                  <c:v>-65.005876530811491</c:v>
                </c:pt>
                <c:pt idx="199">
                  <c:v>-65.598585464748851</c:v>
                </c:pt>
                <c:pt idx="200">
                  <c:v>-66.185376796982325</c:v>
                </c:pt>
                <c:pt idx="201">
                  <c:v>-66.766201280928897</c:v>
                </c:pt>
                <c:pt idx="202">
                  <c:v>-67.34102123187472</c:v>
                </c:pt>
                <c:pt idx="203">
                  <c:v>-67.909810230906672</c:v>
                </c:pt>
                <c:pt idx="204">
                  <c:v>-68.472552809250516</c:v>
                </c:pt>
                <c:pt idx="205">
                  <c:v>-69.029244115998424</c:v>
                </c:pt>
                <c:pt idx="206">
                  <c:v>-69.579889572100726</c:v>
                </c:pt>
                <c:pt idx="207">
                  <c:v>-70.124504513369388</c:v>
                </c:pt>
                <c:pt idx="208">
                  <c:v>-70.663113825103679</c:v>
                </c:pt>
                <c:pt idx="209">
                  <c:v>-71.195751570795565</c:v>
                </c:pt>
                <c:pt idx="210">
                  <c:v>-71.722460617214452</c:v>
                </c:pt>
                <c:pt idx="211">
                  <c:v>-72.243292258004743</c:v>
                </c:pt>
                <c:pt idx="212">
                  <c:v>-72.758305837765661</c:v>
                </c:pt>
                <c:pt idx="213">
                  <c:v>-73.267568378407987</c:v>
                </c:pt>
                <c:pt idx="214">
                  <c:v>-73.771154209421809</c:v>
                </c:pt>
                <c:pt idx="215">
                  <c:v>-74.269144603517347</c:v>
                </c:pt>
                <c:pt idx="216">
                  <c:v>-74.761627418945807</c:v>
                </c:pt>
                <c:pt idx="217">
                  <c:v>-75.248696749647294</c:v>
                </c:pt>
                <c:pt idx="218">
                  <c:v>-75.730452584225475</c:v>
                </c:pt>
                <c:pt idx="219">
                  <c:v>-76.207000474606446</c:v>
                </c:pt>
                <c:pt idx="220">
                  <c:v>-76.678451215103337</c:v>
                </c:pt>
                <c:pt idx="221">
                  <c:v>-77.144920532483113</c:v>
                </c:pt>
                <c:pt idx="222">
                  <c:v>-77.60652878751327</c:v>
                </c:pt>
                <c:pt idx="223">
                  <c:v>-78.063400688356097</c:v>
                </c:pt>
                <c:pt idx="224">
                  <c:v>-78.5156650160786</c:v>
                </c:pt>
                <c:pt idx="225">
                  <c:v>-78.963454362450804</c:v>
                </c:pt>
                <c:pt idx="226">
                  <c:v>-79.406904880125666</c:v>
                </c:pt>
                <c:pt idx="227">
                  <c:v>-79.846156045210364</c:v>
                </c:pt>
                <c:pt idx="228">
                  <c:v>-80.281350432176481</c:v>
                </c:pt>
                <c:pt idx="229">
                  <c:v>-80.712633500993746</c:v>
                </c:pt>
                <c:pt idx="230">
                  <c:v>-81.140153396312954</c:v>
                </c:pt>
                <c:pt idx="231">
                  <c:v>-81.564060758483791</c:v>
                </c:pt>
                <c:pt idx="232">
                  <c:v>-81.984508546142948</c:v>
                </c:pt>
                <c:pt idx="233">
                  <c:v>-82.401651870080357</c:v>
                </c:pt>
                <c:pt idx="234">
                  <c:v>-82.815647838051575</c:v>
                </c:pt>
                <c:pt idx="235">
                  <c:v>-83.226655410186154</c:v>
                </c:pt>
                <c:pt idx="236">
                  <c:v>-83.634835264614438</c:v>
                </c:pt>
                <c:pt idx="237">
                  <c:v>-84.040349672919376</c:v>
                </c:pt>
                <c:pt idx="238">
                  <c:v>-84.443362385006139</c:v>
                </c:pt>
                <c:pt idx="239">
                  <c:v>-84.844038522969711</c:v>
                </c:pt>
                <c:pt idx="240">
                  <c:v>-85.242544483531177</c:v>
                </c:pt>
                <c:pt idx="241">
                  <c:v>-85.639047848611568</c:v>
                </c:pt>
                <c:pt idx="242">
                  <c:v>-86.033717303601833</c:v>
                </c:pt>
                <c:pt idx="243">
                  <c:v>-86.426722562889495</c:v>
                </c:pt>
                <c:pt idx="244">
                  <c:v>-86.818234302201574</c:v>
                </c:pt>
                <c:pt idx="245">
                  <c:v>-87.208424097320858</c:v>
                </c:pt>
                <c:pt idx="246">
                  <c:v>-87.59746436873732</c:v>
                </c:pt>
                <c:pt idx="247">
                  <c:v>-87.985528331796061</c:v>
                </c:pt>
                <c:pt idx="248">
                  <c:v>-88.372789951907492</c:v>
                </c:pt>
                <c:pt idx="249">
                  <c:v>-88.759423904388782</c:v>
                </c:pt>
                <c:pt idx="250">
                  <c:v>-89.145605538506615</c:v>
                </c:pt>
                <c:pt idx="251">
                  <c:v>-89.531510845297845</c:v>
                </c:pt>
                <c:pt idx="252">
                  <c:v>-89.917316428746204</c:v>
                </c:pt>
                <c:pt idx="253">
                  <c:v>-90.303199479896548</c:v>
                </c:pt>
                <c:pt idx="254">
                  <c:v>-90.689337753492381</c:v>
                </c:pt>
                <c:pt idx="255">
                  <c:v>-91.075909546722471</c:v>
                </c:pt>
                <c:pt idx="256">
                  <c:v>-91.463093679668418</c:v>
                </c:pt>
                <c:pt idx="257">
                  <c:v>-91.851069477043069</c:v>
                </c:pt>
                <c:pt idx="258">
                  <c:v>-92.240016750813226</c:v>
                </c:pt>
                <c:pt idx="259">
                  <c:v>-92.630115783300624</c:v>
                </c:pt>
                <c:pt idx="260">
                  <c:v>-93.02154731035408</c:v>
                </c:pt>
                <c:pt idx="261">
                  <c:v>-93.414492504186143</c:v>
                </c:pt>
                <c:pt idx="262">
                  <c:v>-93.809132955467604</c:v>
                </c:pt>
                <c:pt idx="263">
                  <c:v>-94.205650654269888</c:v>
                </c:pt>
                <c:pt idx="264">
                  <c:v>-94.604227969443173</c:v>
                </c:pt>
                <c:pt idx="265">
                  <c:v>-95.005047626018268</c:v>
                </c:pt>
                <c:pt idx="266">
                  <c:v>-95.408292680213322</c:v>
                </c:pt>
                <c:pt idx="267">
                  <c:v>-95.814146491626076</c:v>
                </c:pt>
                <c:pt idx="268">
                  <c:v>-96.222792692187227</c:v>
                </c:pt>
                <c:pt idx="269">
                  <c:v>-96.634415151446561</c:v>
                </c:pt>
                <c:pt idx="270">
                  <c:v>-97.049197937759061</c:v>
                </c:pt>
                <c:pt idx="271">
                  <c:v>-97.467325274936314</c:v>
                </c:pt>
                <c:pt idx="272">
                  <c:v>-97.888981493919331</c:v>
                </c:pt>
                <c:pt idx="273">
                  <c:v>-98.314350979032909</c:v>
                </c:pt>
                <c:pt idx="274">
                  <c:v>-98.743618108369375</c:v>
                </c:pt>
                <c:pt idx="275">
                  <c:v>-99.176967187855283</c:v>
                </c:pt>
                <c:pt idx="276">
                  <c:v>-99.614582378546601</c:v>
                </c:pt>
                <c:pt idx="277">
                  <c:v>-100.05664761669956</c:v>
                </c:pt>
                <c:pt idx="278">
                  <c:v>-100.50334652616569</c:v>
                </c:pt>
                <c:pt idx="279">
                  <c:v>-100.95486232265966</c:v>
                </c:pt>
                <c:pt idx="280">
                  <c:v>-101.41137770945375</c:v>
                </c:pt>
                <c:pt idx="281">
                  <c:v>-101.87307476405749</c:v>
                </c:pt>
                <c:pt idx="282">
                  <c:v>-102.34013481545144</c:v>
                </c:pt>
                <c:pt idx="283">
                  <c:v>-102.81273831145457</c:v>
                </c:pt>
                <c:pt idx="284">
                  <c:v>-103.29106467581667</c:v>
                </c:pt>
                <c:pt idx="285">
                  <c:v>-103.77529215465154</c:v>
                </c:pt>
                <c:pt idx="286">
                  <c:v>-104.26559765184143</c:v>
                </c:pt>
                <c:pt idx="287">
                  <c:v>-104.76215655307618</c:v>
                </c:pt>
                <c:pt idx="288">
                  <c:v>-105.2651425382178</c:v>
                </c:pt>
                <c:pt idx="289">
                  <c:v>-105.77472738171906</c:v>
                </c:pt>
                <c:pt idx="290">
                  <c:v>-106.29108074086918</c:v>
                </c:pt>
                <c:pt idx="291">
                  <c:v>-106.81436993168347</c:v>
                </c:pt>
                <c:pt idx="292">
                  <c:v>-107.34475969231521</c:v>
                </c:pt>
                <c:pt idx="293">
                  <c:v>-107.88241193392416</c:v>
                </c:pt>
                <c:pt idx="294">
                  <c:v>-108.42748547900996</c:v>
                </c:pt>
                <c:pt idx="295">
                  <c:v>-108.98013578729281</c:v>
                </c:pt>
                <c:pt idx="296">
                  <c:v>-109.54051466931016</c:v>
                </c:pt>
                <c:pt idx="297">
                  <c:v>-110.10876998799279</c:v>
                </c:pt>
                <c:pt idx="298">
                  <c:v>-110.68504534858067</c:v>
                </c:pt>
                <c:pt idx="299">
                  <c:v>-111.26947977735433</c:v>
                </c:pt>
                <c:pt idx="300">
                  <c:v>-111.8622073897703</c:v>
                </c:pt>
                <c:pt idx="301">
                  <c:v>-112.46335704871896</c:v>
                </c:pt>
                <c:pt idx="302">
                  <c:v>-113.07305201375438</c:v>
                </c:pt>
                <c:pt idx="303">
                  <c:v>-113.69140958228806</c:v>
                </c:pt>
                <c:pt idx="304">
                  <c:v>-114.31854072388391</c:v>
                </c:pt>
                <c:pt idx="305">
                  <c:v>-114.95454970894563</c:v>
                </c:pt>
                <c:pt idx="306">
                  <c:v>-115.59953373324664</c:v>
                </c:pt>
                <c:pt idx="307">
                  <c:v>-116.25358253990696</c:v>
                </c:pt>
                <c:pt idx="308">
                  <c:v>-116.91677804059185</c:v>
                </c:pt>
                <c:pt idx="309">
                  <c:v>-117.58919393785889</c:v>
                </c:pt>
                <c:pt idx="310">
                  <c:v>-118.27089535074849</c:v>
                </c:pt>
                <c:pt idx="311">
                  <c:v>-118.96193844585882</c:v>
                </c:pt>
                <c:pt idx="312">
                  <c:v>-119.66237007630069</c:v>
                </c:pt>
                <c:pt idx="313">
                  <c:v>-120.37222743105828</c:v>
                </c:pt>
                <c:pt idx="314">
                  <c:v>-121.09153769741205</c:v>
                </c:pt>
                <c:pt idx="315">
                  <c:v>-121.8203177391829</c:v>
                </c:pt>
                <c:pt idx="316">
                  <c:v>-122.5585737936522</c:v>
                </c:pt>
                <c:pt idx="317">
                  <c:v>-123.30630119006972</c:v>
                </c:pt>
                <c:pt idx="318">
                  <c:v>-124.06348409271267</c:v>
                </c:pt>
                <c:pt idx="319">
                  <c:v>-124.83009527146054</c:v>
                </c:pt>
                <c:pt idx="320">
                  <c:v>-125.60609590283852</c:v>
                </c:pt>
                <c:pt idx="321">
                  <c:v>-126.39143540441961</c:v>
                </c:pt>
                <c:pt idx="322">
                  <c:v>-127.18605130538364</c:v>
                </c:pt>
                <c:pt idx="323">
                  <c:v>-127.98986915590238</c:v>
                </c:pt>
                <c:pt idx="324">
                  <c:v>-128.80280247783932</c:v>
                </c:pt>
                <c:pt idx="325">
                  <c:v>-129.62475275903398</c:v>
                </c:pt>
                <c:pt idx="326">
                  <c:v>-130.45560949318241</c:v>
                </c:pt>
                <c:pt idx="327">
                  <c:v>-131.29525026702507</c:v>
                </c:pt>
                <c:pt idx="328">
                  <c:v>-132.14354089619277</c:v>
                </c:pt>
                <c:pt idx="329">
                  <c:v>-133.0003356106931</c:v>
                </c:pt>
                <c:pt idx="330">
                  <c:v>-133.86547729057847</c:v>
                </c:pt>
                <c:pt idx="331">
                  <c:v>-134.73879775189769</c:v>
                </c:pt>
                <c:pt idx="332">
                  <c:v>-135.62011808252925</c:v>
                </c:pt>
                <c:pt idx="333">
                  <c:v>-136.50924902700285</c:v>
                </c:pt>
                <c:pt idx="334">
                  <c:v>-137.40599141887776</c:v>
                </c:pt>
                <c:pt idx="335">
                  <c:v>-138.31013665872203</c:v>
                </c:pt>
                <c:pt idx="336">
                  <c:v>-139.2214672351879</c:v>
                </c:pt>
                <c:pt idx="337">
                  <c:v>-140.13975728616654</c:v>
                </c:pt>
                <c:pt idx="338">
                  <c:v>-141.06477319647524</c:v>
                </c:pt>
                <c:pt idx="339">
                  <c:v>-141.99627422804491</c:v>
                </c:pt>
                <c:pt idx="340">
                  <c:v>-142.93401317812365</c:v>
                </c:pt>
                <c:pt idx="341">
                  <c:v>-143.87773706058738</c:v>
                </c:pt>
                <c:pt idx="342">
                  <c:v>-144.82718780508429</c:v>
                </c:pt>
                <c:pt idx="343">
                  <c:v>-145.7821029684261</c:v>
                </c:pt>
                <c:pt idx="344">
                  <c:v>-146.74221645240266</c:v>
                </c:pt>
                <c:pt idx="345">
                  <c:v>-147.7072592219902</c:v>
                </c:pt>
                <c:pt idx="346">
                  <c:v>-148.67696001785055</c:v>
                </c:pt>
                <c:pt idx="347">
                  <c:v>-149.65104605695421</c:v>
                </c:pt>
                <c:pt idx="348">
                  <c:v>-150.62924371523175</c:v>
                </c:pt>
                <c:pt idx="349">
                  <c:v>-151.61127918626795</c:v>
                </c:pt>
                <c:pt idx="350">
                  <c:v>-152.59687911025699</c:v>
                </c:pt>
                <c:pt idx="351">
                  <c:v>-153.58577116771767</c:v>
                </c:pt>
                <c:pt idx="352">
                  <c:v>-154.57768463280942</c:v>
                </c:pt>
                <c:pt idx="353">
                  <c:v>-155.57235088150529</c:v>
                </c:pt>
                <c:pt idx="354">
                  <c:v>-156.56950385035339</c:v>
                </c:pt>
                <c:pt idx="355">
                  <c:v>-157.56888044207929</c:v>
                </c:pt>
                <c:pt idx="356">
                  <c:v>-158.57022087486763</c:v>
                </c:pt>
                <c:pt idx="357">
                  <c:v>-159.5732689727574</c:v>
                </c:pt>
                <c:pt idx="358">
                  <c:v>-160.57777239524006</c:v>
                </c:pt>
                <c:pt idx="359">
                  <c:v>-161.58348280480362</c:v>
                </c:pt>
                <c:pt idx="360">
                  <c:v>-162.59015597184614</c:v>
                </c:pt>
                <c:pt idx="361">
                  <c:v>-163.5975518170525</c:v>
                </c:pt>
                <c:pt idx="362">
                  <c:v>-164.60543439201851</c:v>
                </c:pt>
                <c:pt idx="363">
                  <c:v>-165.61357179954848</c:v>
                </c:pt>
                <c:pt idx="364">
                  <c:v>-166.62173605571408</c:v>
                </c:pt>
                <c:pt idx="365">
                  <c:v>-167.62970289636911</c:v>
                </c:pt>
                <c:pt idx="366">
                  <c:v>-168.63725153140626</c:v>
                </c:pt>
                <c:pt idx="367">
                  <c:v>-169.64416435058095</c:v>
                </c:pt>
                <c:pt idx="368">
                  <c:v>-170.65022658525342</c:v>
                </c:pt>
                <c:pt idx="369">
                  <c:v>-171.65522593083313</c:v>
                </c:pt>
                <c:pt idx="370">
                  <c:v>-172.65895213514241</c:v>
                </c:pt>
                <c:pt idx="371">
                  <c:v>-173.66119655826952</c:v>
                </c:pt>
                <c:pt idx="372">
                  <c:v>-174.66175170977479</c:v>
                </c:pt>
                <c:pt idx="373">
                  <c:v>-175.66041076937248</c:v>
                </c:pt>
                <c:pt idx="374">
                  <c:v>-176.65696709739578</c:v>
                </c:pt>
                <c:pt idx="375">
                  <c:v>-177.65121374147972</c:v>
                </c:pt>
                <c:pt idx="376">
                  <c:v>-178.64294294596928</c:v>
                </c:pt>
                <c:pt idx="377">
                  <c:v>-179.63194567056931</c:v>
                </c:pt>
                <c:pt idx="378">
                  <c:v>179.38198887529458</c:v>
                </c:pt>
                <c:pt idx="379">
                  <c:v>178.39907367605363</c:v>
                </c:pt>
                <c:pt idx="380">
                  <c:v>177.41952432531846</c:v>
                </c:pt>
                <c:pt idx="381">
                  <c:v>176.44355940699748</c:v>
                </c:pt>
                <c:pt idx="382">
                  <c:v>175.4714008365265</c:v>
                </c:pt>
                <c:pt idx="383">
                  <c:v>174.50327415688622</c:v>
                </c:pt>
                <c:pt idx="384">
                  <c:v>173.53940878446463</c:v>
                </c:pt>
                <c:pt idx="385">
                  <c:v>172.58003820026994</c:v>
                </c:pt>
                <c:pt idx="386">
                  <c:v>171.62540008249036</c:v>
                </c:pt>
                <c:pt idx="387">
                  <c:v>170.67573637693411</c:v>
                </c:pt>
                <c:pt idx="388">
                  <c:v>169.73129330244853</c:v>
                </c:pt>
                <c:pt idx="389">
                  <c:v>168.79232128904061</c:v>
                </c:pt>
                <c:pt idx="390">
                  <c:v>167.85907484703372</c:v>
                </c:pt>
                <c:pt idx="391">
                  <c:v>166.93181236626944</c:v>
                </c:pt>
                <c:pt idx="392">
                  <c:v>166.01079584502907</c:v>
                </c:pt>
                <c:pt idx="393">
                  <c:v>165.09629054901927</c:v>
                </c:pt>
                <c:pt idx="394">
                  <c:v>164.18856460145454</c:v>
                </c:pt>
                <c:pt idx="395">
                  <c:v>163.28788850592747</c:v>
                </c:pt>
                <c:pt idx="396">
                  <c:v>162.39453460441015</c:v>
                </c:pt>
                <c:pt idx="397">
                  <c:v>161.50877647335545</c:v>
                </c:pt>
                <c:pt idx="398">
                  <c:v>160.63088826145358</c:v>
                </c:pt>
                <c:pt idx="399">
                  <c:v>159.76114397315177</c:v>
                </c:pt>
                <c:pt idx="400">
                  <c:v>158.89981670253823</c:v>
                </c:pt>
                <c:pt idx="401">
                  <c:v>158.04717782264345</c:v>
                </c:pt>
                <c:pt idx="402">
                  <c:v>157.20349613558798</c:v>
                </c:pt>
                <c:pt idx="403">
                  <c:v>156.36903698932878</c:v>
                </c:pt>
                <c:pt idx="404">
                  <c:v>155.54406136700658</c:v>
                </c:pt>
                <c:pt idx="405">
                  <c:v>154.72882495507093</c:v>
                </c:pt>
                <c:pt idx="406">
                  <c:v>153.92357719647219</c:v>
                </c:pt>
                <c:pt idx="407">
                  <c:v>153.12856033524852</c:v>
                </c:pt>
                <c:pt idx="408">
                  <c:v>152.3440084587989</c:v>
                </c:pt>
                <c:pt idx="409">
                  <c:v>151.57014654404415</c:v>
                </c:pt>
                <c:pt idx="410">
                  <c:v>150.80718951351773</c:v>
                </c:pt>
                <c:pt idx="411">
                  <c:v>150.05534130721909</c:v>
                </c:pt>
                <c:pt idx="412">
                  <c:v>149.31479397579955</c:v>
                </c:pt>
                <c:pt idx="413">
                  <c:v>148.58572680035331</c:v>
                </c:pt>
                <c:pt idx="414">
                  <c:v>147.86830544375317</c:v>
                </c:pt>
                <c:pt idx="415">
                  <c:v>147.16268113810676</c:v>
                </c:pt>
                <c:pt idx="416">
                  <c:v>146.46898991254196</c:v>
                </c:pt>
                <c:pt idx="417">
                  <c:v>145.7873518651399</c:v>
                </c:pt>
                <c:pt idx="418">
                  <c:v>145.11787048245034</c:v>
                </c:pt>
                <c:pt idx="419">
                  <c:v>144.4606320096604</c:v>
                </c:pt>
                <c:pt idx="420">
                  <c:v>143.81570487409772</c:v>
                </c:pt>
                <c:pt idx="421">
                  <c:v>143.18313916443739</c:v>
                </c:pt>
                <c:pt idx="422">
                  <c:v>142.56296616764072</c:v>
                </c:pt>
                <c:pt idx="423">
                  <c:v>141.95519796536598</c:v>
                </c:pt>
                <c:pt idx="424">
                  <c:v>141.35982709134609</c:v>
                </c:pt>
                <c:pt idx="425">
                  <c:v>140.77682625098006</c:v>
                </c:pt>
                <c:pt idx="426">
                  <c:v>140.20614810420346</c:v>
                </c:pt>
                <c:pt idx="427">
                  <c:v>139.64772511254168</c:v>
                </c:pt>
                <c:pt idx="428">
                  <c:v>139.10146945110463</c:v>
                </c:pt>
                <c:pt idx="429">
                  <c:v>138.56727298618415</c:v>
                </c:pt>
                <c:pt idx="430">
                  <c:v>138.04500731903607</c:v>
                </c:pt>
                <c:pt idx="431">
                  <c:v>137.53452389634802</c:v>
                </c:pt>
                <c:pt idx="432">
                  <c:v>137.03565418785743</c:v>
                </c:pt>
                <c:pt idx="433">
                  <c:v>136.54820993152583</c:v>
                </c:pt>
                <c:pt idx="434">
                  <c:v>136.07198344663925</c:v>
                </c:pt>
                <c:pt idx="435">
                  <c:v>135.60674801514395</c:v>
                </c:pt>
                <c:pt idx="436">
                  <c:v>135.15225833146428</c:v>
                </c:pt>
                <c:pt idx="437">
                  <c:v>134.70825102097513</c:v>
                </c:pt>
                <c:pt idx="438">
                  <c:v>134.27444522717414</c:v>
                </c:pt>
                <c:pt idx="439">
                  <c:v>133.85054326747746</c:v>
                </c:pt>
                <c:pt idx="440">
                  <c:v>133.43623135738045</c:v>
                </c:pt>
                <c:pt idx="441">
                  <c:v>133.0311804025159</c:v>
                </c:pt>
                <c:pt idx="442">
                  <c:v>132.6350468578795</c:v>
                </c:pt>
                <c:pt idx="443">
                  <c:v>132.24747365321087</c:v>
                </c:pt>
                <c:pt idx="444">
                  <c:v>131.86809118315512</c:v>
                </c:pt>
                <c:pt idx="445">
                  <c:v>131.49651836046564</c:v>
                </c:pt>
                <c:pt idx="446">
                  <c:v>131.13236373006384</c:v>
                </c:pt>
                <c:pt idx="447">
                  <c:v>130.7752266413199</c:v>
                </c:pt>
                <c:pt idx="448">
                  <c:v>130.42469847541022</c:v>
                </c:pt>
                <c:pt idx="449">
                  <c:v>130.08036392408567</c:v>
                </c:pt>
                <c:pt idx="450">
                  <c:v>129.74180231563687</c:v>
                </c:pt>
                <c:pt idx="451">
                  <c:v>129.40858898327966</c:v>
                </c:pt>
                <c:pt idx="452">
                  <c:v>129.08029667062303</c:v>
                </c:pt>
                <c:pt idx="453">
                  <c:v>128.75649696832141</c:v>
                </c:pt>
                <c:pt idx="454">
                  <c:v>128.43676177546982</c:v>
                </c:pt>
                <c:pt idx="455">
                  <c:v>128.12066477878898</c:v>
                </c:pt>
                <c:pt idx="456">
                  <c:v>127.80778294216321</c:v>
                </c:pt>
                <c:pt idx="457">
                  <c:v>127.49769799866739</c:v>
                </c:pt>
                <c:pt idx="458">
                  <c:v>127.18999793684148</c:v>
                </c:pt>
                <c:pt idx="459">
                  <c:v>126.88427847266897</c:v>
                </c:pt>
                <c:pt idx="460">
                  <c:v>126.5801444984821</c:v>
                </c:pt>
                <c:pt idx="461">
                  <c:v>126.27721149987015</c:v>
                </c:pt>
                <c:pt idx="462">
                  <c:v>125.97510693161193</c:v>
                </c:pt>
                <c:pt idx="463">
                  <c:v>125.67347154368339</c:v>
                </c:pt>
                <c:pt idx="464">
                  <c:v>125.37196064853669</c:v>
                </c:pt>
                <c:pt idx="465">
                  <c:v>125.07024532107489</c:v>
                </c:pt>
                <c:pt idx="466">
                  <c:v>124.76801352308395</c:v>
                </c:pt>
                <c:pt idx="467">
                  <c:v>124.46497114431715</c:v>
                </c:pt>
                <c:pt idx="468">
                  <c:v>124.16084295296123</c:v>
                </c:pt>
                <c:pt idx="469">
                  <c:v>123.85537344882505</c:v>
                </c:pt>
                <c:pt idx="470">
                  <c:v>123.54832761331089</c:v>
                </c:pt>
                <c:pt idx="471">
                  <c:v>123.23949155099315</c:v>
                </c:pt>
                <c:pt idx="472">
                  <c:v>122.92867301850038</c:v>
                </c:pt>
                <c:pt idx="473">
                  <c:v>122.61570183728263</c:v>
                </c:pt>
                <c:pt idx="474">
                  <c:v>122.3004301878232</c:v>
                </c:pt>
                <c:pt idx="475">
                  <c:v>121.98273278382048</c:v>
                </c:pt>
                <c:pt idx="476">
                  <c:v>121.66250692590033</c:v>
                </c:pt>
                <c:pt idx="477">
                  <c:v>121.33967243542222</c:v>
                </c:pt>
                <c:pt idx="478">
                  <c:v>121.01417146996614</c:v>
                </c:pt>
                <c:pt idx="479">
                  <c:v>120.68596822309281</c:v>
                </c:pt>
                <c:pt idx="480">
                  <c:v>120.35504851192738</c:v>
                </c:pt>
                <c:pt idx="481">
                  <c:v>120.02141925705691</c:v>
                </c:pt>
                <c:pt idx="482">
                  <c:v>119.68510786009625</c:v>
                </c:pt>
                <c:pt idx="483">
                  <c:v>119.34616148509269</c:v>
                </c:pt>
                <c:pt idx="484">
                  <c:v>119.00464625066351</c:v>
                </c:pt>
                <c:pt idx="485">
                  <c:v>118.66064634042439</c:v>
                </c:pt>
                <c:pt idx="486">
                  <c:v>118.31426303980658</c:v>
                </c:pt>
                <c:pt idx="487">
                  <c:v>117.96561370783837</c:v>
                </c:pt>
                <c:pt idx="488">
                  <c:v>117.61483069281583</c:v>
                </c:pt>
                <c:pt idx="489">
                  <c:v>117.26206020104053</c:v>
                </c:pt>
                <c:pt idx="490">
                  <c:v>116.90746112796002</c:v>
                </c:pt>
                <c:pt idx="491">
                  <c:v>116.55120386108123</c:v>
                </c:pt>
                <c:pt idx="492">
                  <c:v>116.19346906396653</c:v>
                </c:pt>
                <c:pt idx="493">
                  <c:v>115.83444645047379</c:v>
                </c:pt>
                <c:pt idx="494">
                  <c:v>115.47433355813004</c:v>
                </c:pt>
                <c:pt idx="495">
                  <c:v>115.11333452920533</c:v>
                </c:pt>
                <c:pt idx="496">
                  <c:v>114.75165890761507</c:v>
                </c:pt>
                <c:pt idx="497">
                  <c:v>114.38952045929763</c:v>
                </c:pt>
                <c:pt idx="498">
                  <c:v>114.02713602315238</c:v>
                </c:pt>
                <c:pt idx="499">
                  <c:v>113.66472439902019</c:v>
                </c:pt>
                <c:pt idx="500">
                  <c:v>113.30250527853518</c:v>
                </c:pt>
                <c:pt idx="501">
                  <c:v>112.94069822400913</c:v>
                </c:pt>
                <c:pt idx="502">
                  <c:v>112.5795216997969</c:v>
                </c:pt>
                <c:pt idx="503">
                  <c:v>112.21919215989939</c:v>
                </c:pt>
                <c:pt idx="504">
                  <c:v>111.85992319484504</c:v>
                </c:pt>
                <c:pt idx="505">
                  <c:v>111.50192474019481</c:v>
                </c:pt>
                <c:pt idx="506">
                  <c:v>111.14540234834942</c:v>
                </c:pt>
                <c:pt idx="507">
                  <c:v>110.79055652466744</c:v>
                </c:pt>
                <c:pt idx="508">
                  <c:v>110.4375821283101</c:v>
                </c:pt>
                <c:pt idx="509">
                  <c:v>110.0866678376257</c:v>
                </c:pt>
                <c:pt idx="510">
                  <c:v>109.73799567937455</c:v>
                </c:pt>
                <c:pt idx="511">
                  <c:v>109.39174062059344</c:v>
                </c:pt>
                <c:pt idx="512">
                  <c:v>109.04807022146933</c:v>
                </c:pt>
                <c:pt idx="513">
                  <c:v>108.70714434720442</c:v>
                </c:pt>
                <c:pt idx="514">
                  <c:v>108.36911493652374</c:v>
                </c:pt>
                <c:pt idx="515">
                  <c:v>108.03412582419534</c:v>
                </c:pt>
                <c:pt idx="516">
                  <c:v>107.70231261469991</c:v>
                </c:pt>
                <c:pt idx="517">
                  <c:v>107.37380260401137</c:v>
                </c:pt>
                <c:pt idx="518">
                  <c:v>107.04871474631265</c:v>
                </c:pt>
                <c:pt idx="519">
                  <c:v>106.72715966238161</c:v>
                </c:pt>
                <c:pt idx="520">
                  <c:v>106.40923968633344</c:v>
                </c:pt>
                <c:pt idx="521">
                  <c:v>106.09504894739452</c:v>
                </c:pt>
                <c:pt idx="522">
                  <c:v>105.78467348340313</c:v>
                </c:pt>
                <c:pt idx="523">
                  <c:v>105.47819138278925</c:v>
                </c:pt>
                <c:pt idx="524">
                  <c:v>105.17567295185636</c:v>
                </c:pt>
                <c:pt idx="525">
                  <c:v>104.87718090429635</c:v>
                </c:pt>
                <c:pt idx="526">
                  <c:v>104.58277056998475</c:v>
                </c:pt>
                <c:pt idx="527">
                  <c:v>104.29249012023686</c:v>
                </c:pt>
                <c:pt idx="528">
                  <c:v>104.00638080686011</c:v>
                </c:pt>
                <c:pt idx="529">
                  <c:v>103.72447721247957</c:v>
                </c:pt>
                <c:pt idx="530">
                  <c:v>103.44680750979619</c:v>
                </c:pt>
                <c:pt idx="531">
                  <c:v>103.17339372758391</c:v>
                </c:pt>
                <c:pt idx="532">
                  <c:v>102.90425202141374</c:v>
                </c:pt>
                <c:pt idx="533">
                  <c:v>102.63939294725094</c:v>
                </c:pt>
                <c:pt idx="534">
                  <c:v>102.37882173624293</c:v>
                </c:pt>
                <c:pt idx="535">
                  <c:v>102.12253856917123</c:v>
                </c:pt>
                <c:pt idx="536">
                  <c:v>101.87053884920256</c:v>
                </c:pt>
                <c:pt idx="537">
                  <c:v>101.62281347171638</c:v>
                </c:pt>
                <c:pt idx="538">
                  <c:v>101.37934909013978</c:v>
                </c:pt>
                <c:pt idx="539">
                  <c:v>101.14012837684572</c:v>
                </c:pt>
                <c:pt idx="540">
                  <c:v>100.90513027830711</c:v>
                </c:pt>
                <c:pt idx="541">
                  <c:v>100.67433026381283</c:v>
                </c:pt>
              </c:numCache>
            </c:numRef>
          </c:yVal>
          <c:smooth val="1"/>
          <c:extLst>
            <c:ext xmlns:c16="http://schemas.microsoft.com/office/drawing/2014/chart" uri="{C3380CC4-5D6E-409C-BE32-E72D297353CC}">
              <c16:uniqueId val="{00000001-B561-4C80-890B-643E0BF90D63}"/>
            </c:ext>
          </c:extLst>
        </c:ser>
        <c:dLbls>
          <c:showLegendKey val="0"/>
          <c:showVal val="0"/>
          <c:showCatName val="0"/>
          <c:showSerName val="0"/>
          <c:showPercent val="0"/>
          <c:showBubbleSize val="0"/>
        </c:dLbls>
        <c:axId val="162527872"/>
        <c:axId val="162526336"/>
      </c:scatterChart>
      <c:valAx>
        <c:axId val="162497664"/>
        <c:scaling>
          <c:logBase val="10"/>
          <c:orientation val="minMax"/>
          <c:max val="2200000"/>
          <c:min val="10"/>
        </c:scaling>
        <c:delete val="0"/>
        <c:axPos val="b"/>
        <c:minorGridlines/>
        <c:title>
          <c:tx>
            <c:rich>
              <a:bodyPr/>
              <a:lstStyle/>
              <a:p>
                <a:pPr>
                  <a:defRPr/>
                </a:pPr>
                <a:r>
                  <a:rPr lang="en-US"/>
                  <a:t>Frequency</a:t>
                </a:r>
                <a:r>
                  <a:rPr lang="en-US" baseline="0"/>
                  <a:t> (Hz)</a:t>
                </a:r>
                <a:endParaRPr lang="en-US"/>
              </a:p>
            </c:rich>
          </c:tx>
          <c:overlay val="0"/>
        </c:title>
        <c:numFmt formatCode="0" sourceLinked="0"/>
        <c:majorTickMark val="out"/>
        <c:minorTickMark val="none"/>
        <c:tickLblPos val="low"/>
        <c:crossAx val="162499584"/>
        <c:crosses val="autoZero"/>
        <c:crossBetween val="midCat"/>
      </c:valAx>
      <c:valAx>
        <c:axId val="162499584"/>
        <c:scaling>
          <c:orientation val="minMax"/>
          <c:max val="40"/>
          <c:min val="-40"/>
        </c:scaling>
        <c:delete val="0"/>
        <c:axPos val="l"/>
        <c:majorGridlines/>
        <c:minorGridlines/>
        <c:title>
          <c:tx>
            <c:rich>
              <a:bodyPr rot="-5400000" vert="horz"/>
              <a:lstStyle/>
              <a:p>
                <a:pPr>
                  <a:defRPr/>
                </a:pPr>
                <a:r>
                  <a:rPr lang="en-US"/>
                  <a:t>Gain</a:t>
                </a:r>
                <a:r>
                  <a:rPr lang="en-US" baseline="0"/>
                  <a:t> (dB)</a:t>
                </a:r>
                <a:endParaRPr lang="en-US"/>
              </a:p>
            </c:rich>
          </c:tx>
          <c:overlay val="0"/>
        </c:title>
        <c:numFmt formatCode="General" sourceLinked="0"/>
        <c:majorTickMark val="out"/>
        <c:minorTickMark val="none"/>
        <c:tickLblPos val="nextTo"/>
        <c:crossAx val="162497664"/>
        <c:crosses val="autoZero"/>
        <c:crossBetween val="midCat"/>
        <c:majorUnit val="20"/>
        <c:minorUnit val="10"/>
      </c:valAx>
      <c:valAx>
        <c:axId val="162526336"/>
        <c:scaling>
          <c:orientation val="minMax"/>
          <c:max val="180"/>
          <c:min val="-180"/>
        </c:scaling>
        <c:delete val="0"/>
        <c:axPos val="r"/>
        <c:numFmt formatCode="General" sourceLinked="1"/>
        <c:majorTickMark val="out"/>
        <c:minorTickMark val="none"/>
        <c:tickLblPos val="nextTo"/>
        <c:crossAx val="162527872"/>
        <c:crosses val="max"/>
        <c:crossBetween val="midCat"/>
        <c:majorUnit val="90"/>
        <c:minorUnit val="45"/>
      </c:valAx>
      <c:valAx>
        <c:axId val="162527872"/>
        <c:scaling>
          <c:logBase val="10"/>
          <c:orientation val="minMax"/>
        </c:scaling>
        <c:delete val="1"/>
        <c:axPos val="b"/>
        <c:numFmt formatCode="0.00" sourceLinked="1"/>
        <c:majorTickMark val="out"/>
        <c:minorTickMark val="none"/>
        <c:tickLblPos val="nextTo"/>
        <c:crossAx val="162526336"/>
        <c:crosses val="autoZero"/>
        <c:crossBetween val="midCat"/>
      </c:valAx>
    </c:plotArea>
    <c:legend>
      <c:legendPos val="r"/>
      <c:layout>
        <c:manualLayout>
          <c:xMode val="edge"/>
          <c:yMode val="edge"/>
          <c:x val="0.79880558209512509"/>
          <c:y val="0.14321997959862004"/>
          <c:w val="0.13459449276057311"/>
          <c:h val="0.10691609861199437"/>
        </c:manualLayout>
      </c:layout>
      <c:overlay val="1"/>
      <c:spPr>
        <a:solidFill>
          <a:schemeClr val="bg1"/>
        </a:solidFill>
      </c:spPr>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Error</a:t>
            </a:r>
            <a:r>
              <a:rPr lang="en-US" baseline="0"/>
              <a:t> Amplifier Transfer</a:t>
            </a:r>
          </a:p>
        </c:rich>
      </c:tx>
      <c:overlay val="0"/>
    </c:title>
    <c:autoTitleDeleted val="0"/>
    <c:plotArea>
      <c:layout/>
      <c:scatterChart>
        <c:scatterStyle val="smoothMarker"/>
        <c:varyColors val="0"/>
        <c:ser>
          <c:idx val="0"/>
          <c:order val="0"/>
          <c:marker>
            <c:symbol val="none"/>
          </c:marker>
          <c:xVal>
            <c:numRef>
              <c:f>Loop_Modeling!$O$19:$O$560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Loop_Modeling!$AQ$19:$AQ$560</c:f>
              <c:numCache>
                <c:formatCode>General</c:formatCode>
                <c:ptCount val="542"/>
                <c:pt idx="0">
                  <c:v>34.652548697783779</c:v>
                </c:pt>
                <c:pt idx="1">
                  <c:v>34.452559305394146</c:v>
                </c:pt>
                <c:pt idx="2">
                  <c:v>34.252570412897796</c:v>
                </c:pt>
                <c:pt idx="3">
                  <c:v>34.052582043851245</c:v>
                </c:pt>
                <c:pt idx="4">
                  <c:v>33.852594222921027</c:v>
                </c:pt>
                <c:pt idx="5">
                  <c:v>33.652606975935782</c:v>
                </c:pt>
                <c:pt idx="6">
                  <c:v>33.452620329941126</c:v>
                </c:pt>
                <c:pt idx="7">
                  <c:v>33.252634313256962</c:v>
                </c:pt>
                <c:pt idx="8">
                  <c:v>33.052648955537556</c:v>
                </c:pt>
                <c:pt idx="9">
                  <c:v>32.85266428783423</c:v>
                </c:pt>
                <c:pt idx="10">
                  <c:v>32.652680342661291</c:v>
                </c:pt>
                <c:pt idx="11">
                  <c:v>32.452697154064879</c:v>
                </c:pt>
                <c:pt idx="12">
                  <c:v>32.25271475769518</c:v>
                </c:pt>
                <c:pt idx="13">
                  <c:v>32.052733190881945</c:v>
                </c:pt>
                <c:pt idx="14">
                  <c:v>31.852752492713474</c:v>
                </c:pt>
                <c:pt idx="15">
                  <c:v>31.652772704119666</c:v>
                </c:pt>
                <c:pt idx="16">
                  <c:v>31.452793867958391</c:v>
                </c:pt>
                <c:pt idx="17">
                  <c:v>31.252816029106651</c:v>
                </c:pt>
                <c:pt idx="18">
                  <c:v>31.052839234555488</c:v>
                </c:pt>
                <c:pt idx="19">
                  <c:v>30.852863533509399</c:v>
                </c:pt>
                <c:pt idx="20">
                  <c:v>30.65288897749091</c:v>
                </c:pt>
                <c:pt idx="21">
                  <c:v>30.452915620449197</c:v>
                </c:pt>
                <c:pt idx="22">
                  <c:v>30.252943518874783</c:v>
                </c:pt>
                <c:pt idx="23">
                  <c:v>30.052972731919038</c:v>
                </c:pt>
                <c:pt idx="24">
                  <c:v>29.853003321519299</c:v>
                </c:pt>
                <c:pt idx="25">
                  <c:v>29.653035352530196</c:v>
                </c:pt>
                <c:pt idx="26">
                  <c:v>29.453068892860866</c:v>
                </c:pt>
                <c:pt idx="27">
                  <c:v>29.253104013618724</c:v>
                </c:pt>
                <c:pt idx="28">
                  <c:v>29.053140789259984</c:v>
                </c:pt>
                <c:pt idx="29">
                  <c:v>28.853179297747367</c:v>
                </c:pt>
                <c:pt idx="30">
                  <c:v>28.65321962071485</c:v>
                </c:pt>
                <c:pt idx="31">
                  <c:v>28.453261843640696</c:v>
                </c:pt>
                <c:pt idx="32">
                  <c:v>28.253306056028187</c:v>
                </c:pt>
                <c:pt idx="33">
                  <c:v>28.053352351594896</c:v>
                </c:pt>
                <c:pt idx="34">
                  <c:v>27.853400828471237</c:v>
                </c:pt>
                <c:pt idx="35">
                  <c:v>27.653451589407648</c:v>
                </c:pt>
                <c:pt idx="36">
                  <c:v>27.453504741992205</c:v>
                </c:pt>
                <c:pt idx="37">
                  <c:v>27.253560398877909</c:v>
                </c:pt>
                <c:pt idx="38">
                  <c:v>27.053618678021149</c:v>
                </c:pt>
                <c:pt idx="39">
                  <c:v>26.853679702930712</c:v>
                </c:pt>
                <c:pt idx="40">
                  <c:v>26.653743602929097</c:v>
                </c:pt>
                <c:pt idx="41">
                  <c:v>26.453810513425658</c:v>
                </c:pt>
                <c:pt idx="42">
                  <c:v>26.253880576202882</c:v>
                </c:pt>
                <c:pt idx="43">
                  <c:v>26.053953939715718</c:v>
                </c:pt>
                <c:pt idx="44">
                  <c:v>25.85403075940528</c:v>
                </c:pt>
                <c:pt idx="45">
                  <c:v>25.654111198026982</c:v>
                </c:pt>
                <c:pt idx="46">
                  <c:v>25.454195425994218</c:v>
                </c:pt>
                <c:pt idx="47">
                  <c:v>25.254283621738175</c:v>
                </c:pt>
                <c:pt idx="48">
                  <c:v>25.054375972084134</c:v>
                </c:pt>
                <c:pt idx="49">
                  <c:v>24.854472672645898</c:v>
                </c:pt>
                <c:pt idx="50">
                  <c:v>24.654573928238062</c:v>
                </c:pt>
                <c:pt idx="51">
                  <c:v>24.454679953308357</c:v>
                </c:pt>
                <c:pt idx="52">
                  <c:v>24.254790972389401</c:v>
                </c:pt>
                <c:pt idx="53">
                  <c:v>24.054907220571899</c:v>
                </c:pt>
                <c:pt idx="54">
                  <c:v>23.855028944000239</c:v>
                </c:pt>
                <c:pt idx="55">
                  <c:v>23.655156400390574</c:v>
                </c:pt>
                <c:pt idx="56">
                  <c:v>23.455289859573622</c:v>
                </c:pt>
                <c:pt idx="57">
                  <c:v>23.255429604062641</c:v>
                </c:pt>
                <c:pt idx="58">
                  <c:v>23.055575929647787</c:v>
                </c:pt>
                <c:pt idx="59">
                  <c:v>22.855729146018135</c:v>
                </c:pt>
                <c:pt idx="60">
                  <c:v>22.655889577412822</c:v>
                </c:pt>
                <c:pt idx="61">
                  <c:v>22.45605756330238</c:v>
                </c:pt>
                <c:pt idx="62">
                  <c:v>22.256233459101985</c:v>
                </c:pt>
                <c:pt idx="63">
                  <c:v>22.056417636917516</c:v>
                </c:pt>
                <c:pt idx="64">
                  <c:v>21.856610486326353</c:v>
                </c:pt>
                <c:pt idx="65">
                  <c:v>21.656812415194644</c:v>
                </c:pt>
                <c:pt idx="66">
                  <c:v>21.457023850532337</c:v>
                </c:pt>
                <c:pt idx="67">
                  <c:v>21.25724523938791</c:v>
                </c:pt>
                <c:pt idx="68">
                  <c:v>21.057477049784339</c:v>
                </c:pt>
                <c:pt idx="69">
                  <c:v>20.857719771698761</c:v>
                </c:pt>
                <c:pt idx="70">
                  <c:v>20.657973918086729</c:v>
                </c:pt>
                <c:pt idx="71">
                  <c:v>20.458240025955064</c:v>
                </c:pt>
                <c:pt idx="72">
                  <c:v>20.258518657482529</c:v>
                </c:pt>
                <c:pt idx="73">
                  <c:v>20.058810401193892</c:v>
                </c:pt>
                <c:pt idx="74">
                  <c:v>19.859115873186553</c:v>
                </c:pt>
                <c:pt idx="75">
                  <c:v>19.659435718414798</c:v>
                </c:pt>
                <c:pt idx="76">
                  <c:v>19.459770612032166</c:v>
                </c:pt>
                <c:pt idx="77">
                  <c:v>19.260121260796282</c:v>
                </c:pt>
                <c:pt idx="78">
                  <c:v>19.06048840453721</c:v>
                </c:pt>
                <c:pt idx="79">
                  <c:v>18.860872817693636</c:v>
                </c:pt>
                <c:pt idx="80">
                  <c:v>18.661275310919084</c:v>
                </c:pt>
                <c:pt idx="81">
                  <c:v>18.461696732761503</c:v>
                </c:pt>
                <c:pt idx="82">
                  <c:v>18.262137971419129</c:v>
                </c:pt>
                <c:pt idx="83">
                  <c:v>18.062599956576907</c:v>
                </c:pt>
                <c:pt idx="84">
                  <c:v>17.863083661325458</c:v>
                </c:pt>
                <c:pt idx="85">
                  <c:v>17.663590104167611</c:v>
                </c:pt>
                <c:pt idx="86">
                  <c:v>17.464120351115767</c:v>
                </c:pt>
                <c:pt idx="87">
                  <c:v>17.264675517883997</c:v>
                </c:pt>
                <c:pt idx="88">
                  <c:v>17.065256772178174</c:v>
                </c:pt>
                <c:pt idx="89">
                  <c:v>16.865865336090529</c:v>
                </c:pt>
                <c:pt idx="90">
                  <c:v>16.666502488600287</c:v>
                </c:pt>
                <c:pt idx="91">
                  <c:v>16.467169568187362</c:v>
                </c:pt>
                <c:pt idx="92">
                  <c:v>16.267867975561632</c:v>
                </c:pt>
                <c:pt idx="93">
                  <c:v>16.068599176514923</c:v>
                </c:pt>
                <c:pt idx="94">
                  <c:v>15.86936470489862</c:v>
                </c:pt>
                <c:pt idx="95">
                  <c:v>15.670166165733901</c:v>
                </c:pt>
                <c:pt idx="96">
                  <c:v>15.471005238458805</c:v>
                </c:pt>
                <c:pt idx="97">
                  <c:v>15.27188368031833</c:v>
                </c:pt>
                <c:pt idx="98">
                  <c:v>15.072803329902962</c:v>
                </c:pt>
                <c:pt idx="99">
                  <c:v>14.873766110842173</c:v>
                </c:pt>
                <c:pt idx="100">
                  <c:v>14.674774035658304</c:v>
                </c:pt>
                <c:pt idx="101">
                  <c:v>14.475829209787602</c:v>
                </c:pt>
                <c:pt idx="102">
                  <c:v>14.276933835774933</c:v>
                </c:pt>
                <c:pt idx="103">
                  <c:v>14.078090217648487</c:v>
                </c:pt>
                <c:pt idx="104">
                  <c:v>13.879300765481922</c:v>
                </c:pt>
                <c:pt idx="105">
                  <c:v>13.680568000149904</c:v>
                </c:pt>
                <c:pt idx="106">
                  <c:v>13.481894558286223</c:v>
                </c:pt>
                <c:pt idx="107">
                  <c:v>13.283283197449149</c:v>
                </c:pt>
                <c:pt idx="108">
                  <c:v>13.084736801504119</c:v>
                </c:pt>
                <c:pt idx="109">
                  <c:v>12.88625838622945</c:v>
                </c:pt>
                <c:pt idx="110">
                  <c:v>12.687851105154271</c:v>
                </c:pt>
                <c:pt idx="111">
                  <c:v>12.489518255635431</c:v>
                </c:pt>
                <c:pt idx="112">
                  <c:v>12.291263285182566</c:v>
                </c:pt>
                <c:pt idx="113">
                  <c:v>12.093089798037816</c:v>
                </c:pt>
                <c:pt idx="114">
                  <c:v>11.895001562020189</c:v>
                </c:pt>
                <c:pt idx="115">
                  <c:v>11.697002515641204</c:v>
                </c:pt>
                <c:pt idx="116">
                  <c:v>11.499096775500682</c:v>
                </c:pt>
                <c:pt idx="117">
                  <c:v>11.301288643970732</c:v>
                </c:pt>
                <c:pt idx="118">
                  <c:v>11.103582617176089</c:v>
                </c:pt>
                <c:pt idx="119">
                  <c:v>10.905983393278296</c:v>
                </c:pt>
                <c:pt idx="120">
                  <c:v>10.70849588107235</c:v>
                </c:pt>
                <c:pt idx="121">
                  <c:v>10.511125208902408</c:v>
                </c:pt>
                <c:pt idx="122">
                  <c:v>10.31387673390512</c:v>
                </c:pt>
                <c:pt idx="123">
                  <c:v>10.116756051586183</c:v>
                </c:pt>
                <c:pt idx="124">
                  <c:v>9.9197690057382708</c:v>
                </c:pt>
                <c:pt idx="125">
                  <c:v>9.7229216987051039</c:v>
                </c:pt>
                <c:pt idx="126">
                  <c:v>9.5262205019984769</c:v>
                </c:pt>
                <c:pt idx="127">
                  <c:v>9.329672067272277</c:v>
                </c:pt>
                <c:pt idx="128">
                  <c:v>9.1332833376583249</c:v>
                </c:pt>
                <c:pt idx="129">
                  <c:v>8.9370615594672422</c:v>
                </c:pt>
                <c:pt idx="130">
                  <c:v>8.7410142942566544</c:v>
                </c:pt>
                <c:pt idx="131">
                  <c:v>8.5451494312682801</c:v>
                </c:pt>
                <c:pt idx="132">
                  <c:v>8.349475200233746</c:v>
                </c:pt>
                <c:pt idx="133">
                  <c:v>8.154000184548023</c:v>
                </c:pt>
                <c:pt idx="134">
                  <c:v>7.9587333348076514</c:v>
                </c:pt>
                <c:pt idx="135">
                  <c:v>7.7636839827087609</c:v>
                </c:pt>
                <c:pt idx="136">
                  <c:v>7.5688618552990592</c:v>
                </c:pt>
                <c:pt idx="137">
                  <c:v>7.374277089574627</c:v>
                </c:pt>
                <c:pt idx="138">
                  <c:v>7.1799402474109275</c:v>
                </c:pt>
                <c:pt idx="139">
                  <c:v>6.9858623308143102</c:v>
                </c:pt>
                <c:pt idx="140">
                  <c:v>6.7920547974780119</c:v>
                </c:pt>
                <c:pt idx="141">
                  <c:v>6.5985295766227834</c:v>
                </c:pt>
                <c:pt idx="142">
                  <c:v>6.405299085100439</c:v>
                </c:pt>
                <c:pt idx="143">
                  <c:v>6.2123762437331429</c:v>
                </c:pt>
                <c:pt idx="144">
                  <c:v>6.0197744938586384</c:v>
                </c:pt>
                <c:pt idx="145">
                  <c:v>5.8275078140473475</c:v>
                </c:pt>
                <c:pt idx="146">
                  <c:v>5.6355907369521132</c:v>
                </c:pt>
                <c:pt idx="147">
                  <c:v>5.4440383662472165</c:v>
                </c:pt>
                <c:pt idx="148">
                  <c:v>5.2528663936073876</c:v>
                </c:pt>
                <c:pt idx="149">
                  <c:v>5.0620911156729509</c:v>
                </c:pt>
                <c:pt idx="150">
                  <c:v>4.8717294509405731</c:v>
                </c:pt>
                <c:pt idx="151">
                  <c:v>4.6817989565131715</c:v>
                </c:pt>
                <c:pt idx="152">
                  <c:v>4.4923178446360552</c:v>
                </c:pt>
                <c:pt idx="153">
                  <c:v>4.3033049989400727</c:v>
                </c:pt>
                <c:pt idx="154">
                  <c:v>4.1147799903032976</c:v>
                </c:pt>
                <c:pt idx="155">
                  <c:v>3.9267630922388506</c:v>
                </c:pt>
                <c:pt idx="156">
                  <c:v>3.7392752957047</c:v>
                </c:pt>
                <c:pt idx="157">
                  <c:v>3.5523383232266377</c:v>
                </c:pt>
                <c:pt idx="158">
                  <c:v>3.3659746422156402</c:v>
                </c:pt>
                <c:pt idx="159">
                  <c:v>3.1802074773518036</c:v>
                </c:pt>
                <c:pt idx="160">
                  <c:v>2.9950608219022912</c:v>
                </c:pt>
                <c:pt idx="161">
                  <c:v>2.8105594478266522</c:v>
                </c:pt>
                <c:pt idx="162">
                  <c:v>2.6267289145194619</c:v>
                </c:pt>
                <c:pt idx="163">
                  <c:v>2.4435955760292645</c:v>
                </c:pt>
                <c:pt idx="164">
                  <c:v>2.2611865865857266</c:v>
                </c:pt>
                <c:pt idx="165">
                  <c:v>2.079529904257766</c:v>
                </c:pt>
                <c:pt idx="166">
                  <c:v>1.8986542925618768</c:v>
                </c:pt>
                <c:pt idx="167">
                  <c:v>1.7185893198272841</c:v>
                </c:pt>
                <c:pt idx="168">
                  <c:v>1.5393653561258884</c:v>
                </c:pt>
                <c:pt idx="169">
                  <c:v>1.3610135675626891</c:v>
                </c:pt>
                <c:pt idx="170">
                  <c:v>1.1835659077262304</c:v>
                </c:pt>
                <c:pt idx="171">
                  <c:v>1.0070551060884747</c:v>
                </c:pt>
                <c:pt idx="172">
                  <c:v>0.83151465314853867</c:v>
                </c:pt>
                <c:pt idx="173">
                  <c:v>0.65697878211315208</c:v>
                </c:pt>
                <c:pt idx="174">
                  <c:v>0.48348244690825376</c:v>
                </c:pt>
                <c:pt idx="175">
                  <c:v>0.31106129632275592</c:v>
                </c:pt>
                <c:pt idx="176">
                  <c:v>0.13975164409231899</c:v>
                </c:pt>
                <c:pt idx="177">
                  <c:v>-3.0409565260220203E-2</c:v>
                </c:pt>
                <c:pt idx="178">
                  <c:v>-0.19938479499820458</c:v>
                </c:pt>
                <c:pt idx="179">
                  <c:v>-0.36713595931272042</c:v>
                </c:pt>
                <c:pt idx="180">
                  <c:v>-0.53362447116938116</c:v>
                </c:pt>
                <c:pt idx="181">
                  <c:v>-0.69881129497500138</c:v>
                </c:pt>
                <c:pt idx="182">
                  <c:v>-0.86265700415376467</c:v>
                </c:pt>
                <c:pt idx="183">
                  <c:v>-1.0251218436944529</c:v>
                </c:pt>
                <c:pt idx="184">
                  <c:v>-1.1861657976974418</c:v>
                </c:pt>
                <c:pt idx="185">
                  <c:v>-1.3457486619167072</c:v>
                </c:pt>
                <c:pt idx="186">
                  <c:v>-1.5038301212507639</c:v>
                </c:pt>
                <c:pt idx="187">
                  <c:v>-1.6603698320974076</c:v>
                </c:pt>
                <c:pt idx="188">
                  <c:v>-1.8153275094418202</c:v>
                </c:pt>
                <c:pt idx="189">
                  <c:v>-1.9686630184976655</c:v>
                </c:pt>
                <c:pt idx="190">
                  <c:v>-2.1203364706765</c:v>
                </c:pt>
                <c:pt idx="191">
                  <c:v>-2.2703083236042847</c:v>
                </c:pt>
                <c:pt idx="192">
                  <c:v>-2.4185394848558275</c:v>
                </c:pt>
                <c:pt idx="193">
                  <c:v>-2.5649914190214029</c:v>
                </c:pt>
                <c:pt idx="194">
                  <c:v>-2.7096262576701688</c:v>
                </c:pt>
                <c:pt idx="195">
                  <c:v>-2.8524069117201019</c:v>
                </c:pt>
                <c:pt idx="196">
                  <c:v>-2.9932971856774038</c:v>
                </c:pt>
                <c:pt idx="197">
                  <c:v>-3.1322618931566248</c:v>
                </c:pt>
                <c:pt idx="198">
                  <c:v>-3.2692669730532113</c:v>
                </c:pt>
                <c:pt idx="199">
                  <c:v>-3.4042796056961611</c:v>
                </c:pt>
                <c:pt idx="200">
                  <c:v>-3.5372683282775763</c:v>
                </c:pt>
                <c:pt idx="201">
                  <c:v>-3.6682031488255173</c:v>
                </c:pt>
                <c:pt idx="202">
                  <c:v>-3.7970556579662262</c:v>
                </c:pt>
                <c:pt idx="203">
                  <c:v>-3.9237991377081229</c:v>
                </c:pt>
                <c:pt idx="204">
                  <c:v>-4.048408666474824</c:v>
                </c:pt>
                <c:pt idx="205">
                  <c:v>-4.1708612196183195</c:v>
                </c:pt>
                <c:pt idx="206">
                  <c:v>-4.2911357646565857</c:v>
                </c:pt>
                <c:pt idx="207">
                  <c:v>-4.4092133505021707</c:v>
                </c:pt>
                <c:pt idx="208">
                  <c:v>-4.525077189981225</c:v>
                </c:pt>
                <c:pt idx="209">
                  <c:v>-4.6387127349838888</c:v>
                </c:pt>
                <c:pt idx="210">
                  <c:v>-4.7501077436372077</c:v>
                </c:pt>
                <c:pt idx="211">
                  <c:v>-4.8592523389527607</c:v>
                </c:pt>
                <c:pt idx="212">
                  <c:v>-4.9661390584672604</c:v>
                </c:pt>
                <c:pt idx="213">
                  <c:v>-5.0707628944707048</c:v>
                </c:pt>
                <c:pt idx="214">
                  <c:v>-5.1731213244958916</c:v>
                </c:pt>
                <c:pt idx="215">
                  <c:v>-5.2732143318306948</c:v>
                </c:pt>
                <c:pt idx="216">
                  <c:v>-5.3710444159030573</c:v>
                </c:pt>
                <c:pt idx="217">
                  <c:v>-5.4666165924809231</c:v>
                </c:pt>
                <c:pt idx="218">
                  <c:v>-5.5599383837230762</c:v>
                </c:pt>
                <c:pt idx="219">
                  <c:v>-5.6510197982077504</c:v>
                </c:pt>
                <c:pt idx="220">
                  <c:v>-5.739873301158859</c:v>
                </c:pt>
                <c:pt idx="221">
                  <c:v>-5.8265137751753322</c:v>
                </c:pt>
                <c:pt idx="222">
                  <c:v>-5.9109584718521413</c:v>
                </c:pt>
                <c:pt idx="223">
                  <c:v>-5.9932269547602406</c:v>
                </c:pt>
                <c:pt idx="224">
                  <c:v>-6.0733410343205696</c:v>
                </c:pt>
                <c:pt idx="225">
                  <c:v>-6.1513246951727485</c:v>
                </c:pt>
                <c:pt idx="226">
                  <c:v>-6.2272040166901288</c:v>
                </c:pt>
                <c:pt idx="227">
                  <c:v>-6.3010070873411541</c:v>
                </c:pt>
                <c:pt idx="228">
                  <c:v>-6.3727639136304752</c:v>
                </c:pt>
                <c:pt idx="229">
                  <c:v>-6.4425063243794414</c:v>
                </c:pt>
                <c:pt idx="230">
                  <c:v>-6.5102678711246007</c:v>
                </c:pt>
                <c:pt idx="231">
                  <c:v>-6.5760837254163302</c:v>
                </c:pt>
                <c:pt idx="232">
                  <c:v>-6.6399905738015548</c:v>
                </c:pt>
                <c:pt idx="233">
                  <c:v>-6.7020265112597288</c:v>
                </c:pt>
                <c:pt idx="234">
                  <c:v>-6.7622309338475652</c:v>
                </c:pt>
                <c:pt idx="235">
                  <c:v>-6.8206444312776862</c:v>
                </c:pt>
                <c:pt idx="236">
                  <c:v>-6.8773086801263741</c:v>
                </c:pt>
                <c:pt idx="237">
                  <c:v>-6.9322663383282643</c:v>
                </c:pt>
                <c:pt idx="238">
                  <c:v>-6.9855609415697835</c:v>
                </c:pt>
                <c:pt idx="239">
                  <c:v>-7.0372368021505043</c:v>
                </c:pt>
                <c:pt idx="240">
                  <c:v>-7.0873389108293283</c:v>
                </c:pt>
                <c:pt idx="241">
                  <c:v>-7.135912842121046</c:v>
                </c:pt>
                <c:pt idx="242">
                  <c:v>-7.1830046634573952</c:v>
                </c:pt>
                <c:pt idx="243">
                  <c:v>-7.2286608485710673</c:v>
                </c:pt>
                <c:pt idx="244">
                  <c:v>-7.2729281954100919</c:v>
                </c:pt>
                <c:pt idx="245">
                  <c:v>-7.3158537488357833</c:v>
                </c:pt>
                <c:pt idx="246">
                  <c:v>-7.3574847283087959</c:v>
                </c:pt>
                <c:pt idx="247">
                  <c:v>-7.3978684607166221</c:v>
                </c:pt>
                <c:pt idx="248">
                  <c:v>-7.4370523184511548</c:v>
                </c:pt>
                <c:pt idx="249">
                  <c:v>-7.4750836628005368</c:v>
                </c:pt>
                <c:pt idx="250">
                  <c:v>-7.5120097926782181</c:v>
                </c:pt>
                <c:pt idx="251">
                  <c:v>-7.547877898675516</c:v>
                </c:pt>
                <c:pt idx="252">
                  <c:v>-7.582735022388027</c:v>
                </c:pt>
                <c:pt idx="253">
                  <c:v>-7.6166280209359529</c:v>
                </c:pt>
                <c:pt idx="254">
                  <c:v>-7.6496035365703685</c:v>
                </c:pt>
                <c:pt idx="255">
                  <c:v>-7.6817079712326342</c:v>
                </c:pt>
                <c:pt idx="256">
                  <c:v>-7.7129874659112403</c:v>
                </c:pt>
                <c:pt idx="257">
                  <c:v>-7.7434878846243524</c:v>
                </c:pt>
                <c:pt idx="258">
                  <c:v>-7.7732548028366288</c:v>
                </c:pt>
                <c:pt idx="259">
                  <c:v>-7.8023335001095226</c:v>
                </c:pt>
                <c:pt idx="260">
                  <c:v>-7.8307689567695418</c:v>
                </c:pt>
                <c:pt idx="261">
                  <c:v>-7.858605854373085</c:v>
                </c:pt>
                <c:pt idx="262">
                  <c:v>-7.8858885797375509</c:v>
                </c:pt>
                <c:pt idx="263">
                  <c:v>-7.9126612323043313</c:v>
                </c:pt>
                <c:pt idx="264">
                  <c:v>-7.9389676345950466</c:v>
                </c:pt>
                <c:pt idx="265">
                  <c:v>-7.964851345520346</c:v>
                </c:pt>
                <c:pt idx="266">
                  <c:v>-7.9903556762989432</c:v>
                </c:pt>
                <c:pt idx="267">
                  <c:v>-8.0155237087439613</c:v>
                </c:pt>
                <c:pt idx="268">
                  <c:v>-8.0403983156740804</c:v>
                </c:pt>
                <c:pt idx="269">
                  <c:v>-8.0650221832076401</c:v>
                </c:pt>
                <c:pt idx="270">
                  <c:v>-8.0894378346981526</c:v>
                </c:pt>
                <c:pt idx="271">
                  <c:v>-8.1136876560717468</c:v>
                </c:pt>
                <c:pt idx="272">
                  <c:v>-8.1378139223280943</c:v>
                </c:pt>
                <c:pt idx="273">
                  <c:v>-8.1618588249663677</c:v>
                </c:pt>
                <c:pt idx="274">
                  <c:v>-8.1858645001012427</c:v>
                </c:pt>
                <c:pt idx="275">
                  <c:v>-8.2098730570317731</c:v>
                </c:pt>
                <c:pt idx="276">
                  <c:v>-8.2339266070295931</c:v>
                </c:pt>
                <c:pt idx="277">
                  <c:v>-8.2580672921106544</c:v>
                </c:pt>
                <c:pt idx="278">
                  <c:v>-8.2823373135561837</c:v>
                </c:pt>
                <c:pt idx="279">
                  <c:v>-8.3067789599480406</c:v>
                </c:pt>
                <c:pt idx="280">
                  <c:v>-8.3314346344821377</c:v>
                </c:pt>
                <c:pt idx="281">
                  <c:v>-8.3563468813241553</c:v>
                </c:pt>
                <c:pt idx="282">
                  <c:v>-8.3815584107690402</c:v>
                </c:pt>
                <c:pt idx="283">
                  <c:v>-8.4071121229663426</c:v>
                </c:pt>
                <c:pt idx="284">
                  <c:v>-8.4330511299705453</c:v>
                </c:pt>
                <c:pt idx="285">
                  <c:v>-8.4594187758758643</c:v>
                </c:pt>
                <c:pt idx="286">
                  <c:v>-8.4862586547927918</c:v>
                </c:pt>
                <c:pt idx="287">
                  <c:v>-8.5136146264241717</c:v>
                </c:pt>
                <c:pt idx="288">
                  <c:v>-8.5415308289978213</c:v>
                </c:pt>
                <c:pt idx="289">
                  <c:v>-8.5700516893134964</c:v>
                </c:pt>
                <c:pt idx="290">
                  <c:v>-8.5992219296640702</c:v>
                </c:pt>
                <c:pt idx="291">
                  <c:v>-8.6290865713918379</c:v>
                </c:pt>
                <c:pt idx="292">
                  <c:v>-8.6596909348473403</c:v>
                </c:pt>
                <c:pt idx="293">
                  <c:v>-8.6910806355206063</c:v>
                </c:pt>
                <c:pt idx="294">
                  <c:v>-8.7233015761243067</c:v>
                </c:pt>
                <c:pt idx="295">
                  <c:v>-8.7563999344151604</c:v>
                </c:pt>
                <c:pt idx="296">
                  <c:v>-8.7904221465544783</c:v>
                </c:pt>
                <c:pt idx="297">
                  <c:v>-8.8254148858178425</c:v>
                </c:pt>
                <c:pt idx="298">
                  <c:v>-8.8614250364854197</c:v>
                </c:pt>
                <c:pt idx="299">
                  <c:v>-8.898499662759118</c:v>
                </c:pt>
                <c:pt idx="300">
                  <c:v>-8.9366859725779939</c:v>
                </c:pt>
                <c:pt idx="301">
                  <c:v>-8.9760312762268484</c:v>
                </c:pt>
                <c:pt idx="302">
                  <c:v>-9.0165829396619852</c:v>
                </c:pt>
                <c:pt idx="303">
                  <c:v>-9.0583883325098302</c:v>
                </c:pt>
                <c:pt idx="304">
                  <c:v>-9.1014947707291896</c:v>
                </c:pt>
                <c:pt idx="305">
                  <c:v>-9.1459494539651782</c:v>
                </c:pt>
                <c:pt idx="306">
                  <c:v>-9.1917993976659513</c:v>
                </c:pt>
                <c:pt idx="307">
                  <c:v>-9.2390913600753155</c:v>
                </c:pt>
                <c:pt idx="308">
                  <c:v>-9.2878717642628796</c:v>
                </c:pt>
                <c:pt idx="309">
                  <c:v>-9.3381866154023019</c:v>
                </c:pt>
                <c:pt idx="310">
                  <c:v>-9.3900814135578816</c:v>
                </c:pt>
                <c:pt idx="311">
                  <c:v>-9.4436010622939328</c:v>
                </c:pt>
                <c:pt idx="312">
                  <c:v>-9.4987897734738027</c:v>
                </c:pt>
                <c:pt idx="313">
                  <c:v>-9.5556909686686673</c:v>
                </c:pt>
                <c:pt idx="314">
                  <c:v>-9.6143471776491154</c:v>
                </c:pt>
                <c:pt idx="315">
                  <c:v>-9.6747999344845717</c:v>
                </c:pt>
                <c:pt idx="316">
                  <c:v>-9.7370896718239148</c:v>
                </c:pt>
                <c:pt idx="317">
                  <c:v>-9.8012556139778937</c:v>
                </c:pt>
                <c:pt idx="318">
                  <c:v>-9.8673356694652643</c:v>
                </c:pt>
                <c:pt idx="319">
                  <c:v>-9.9353663237211247</c:v>
                </c:pt>
                <c:pt idx="320">
                  <c:v>-10.005382532700809</c:v>
                </c:pt>
                <c:pt idx="321">
                  <c:v>-10.077417618133293</c:v>
                </c:pt>
                <c:pt idx="322">
                  <c:v>-10.151503165197614</c:v>
                </c:pt>
                <c:pt idx="323">
                  <c:v>-10.227668923406764</c:v>
                </c:pt>
                <c:pt idx="324">
                  <c:v>-10.305942711480364</c:v>
                </c:pt>
                <c:pt idx="325">
                  <c:v>-10.386350326983484</c:v>
                </c:pt>
                <c:pt idx="326">
                  <c:v>-10.468915461487544</c:v>
                </c:pt>
                <c:pt idx="327">
                  <c:v>-10.553659621983126</c:v>
                </c:pt>
                <c:pt idx="328">
                  <c:v>-10.640602059238748</c:v>
                </c:pt>
                <c:pt idx="329">
                  <c:v>-10.729759703750251</c:v>
                </c:pt>
                <c:pt idx="330">
                  <c:v>-10.821147109873365</c:v>
                </c:pt>
                <c:pt idx="331">
                  <c:v>-10.914776408665661</c:v>
                </c:pt>
                <c:pt idx="332">
                  <c:v>-11.010657269894818</c:v>
                </c:pt>
                <c:pt idx="333">
                  <c:v>-11.108796873590043</c:v>
                </c:pt>
                <c:pt idx="334">
                  <c:v>-11.209199891432462</c:v>
                </c:pt>
                <c:pt idx="335">
                  <c:v>-11.311868478188821</c:v>
                </c:pt>
                <c:pt idx="336">
                  <c:v>-11.416802273306168</c:v>
                </c:pt>
                <c:pt idx="337">
                  <c:v>-11.523998412688513</c:v>
                </c:pt>
                <c:pt idx="338">
                  <c:v>-11.633451550585534</c:v>
                </c:pt>
                <c:pt idx="339">
                  <c:v>-11.745153891431494</c:v>
                </c:pt>
                <c:pt idx="340">
                  <c:v>-11.859095231382572</c:v>
                </c:pt>
                <c:pt idx="341">
                  <c:v>-11.975263009216572</c:v>
                </c:pt>
                <c:pt idx="342">
                  <c:v>-12.093642366177189</c:v>
                </c:pt>
                <c:pt idx="343">
                  <c:v>-12.214216214272833</c:v>
                </c:pt>
                <c:pt idx="344">
                  <c:v>-12.336965312473074</c:v>
                </c:pt>
                <c:pt idx="345">
                  <c:v>-12.461868350185538</c:v>
                </c:pt>
                <c:pt idx="346">
                  <c:v>-12.588902037349827</c:v>
                </c:pt>
                <c:pt idx="347">
                  <c:v>-12.718041200440959</c:v>
                </c:pt>
                <c:pt idx="348">
                  <c:v>-12.849258883646259</c:v>
                </c:pt>
                <c:pt idx="349">
                  <c:v>-12.98252645445733</c:v>
                </c:pt>
                <c:pt idx="350">
                  <c:v>-13.117813712907809</c:v>
                </c:pt>
                <c:pt idx="351">
                  <c:v>-13.25508900368259</c:v>
                </c:pt>
                <c:pt idx="352">
                  <c:v>-13.3943193303349</c:v>
                </c:pt>
                <c:pt idx="353">
                  <c:v>-13.535470470857105</c:v>
                </c:pt>
                <c:pt idx="354">
                  <c:v>-13.678507093877293</c:v>
                </c:pt>
                <c:pt idx="355">
                  <c:v>-13.823392874781215</c:v>
                </c:pt>
                <c:pt idx="356">
                  <c:v>-13.970090611093248</c:v>
                </c:pt>
                <c:pt idx="357">
                  <c:v>-14.11856233649376</c:v>
                </c:pt>
                <c:pt idx="358">
                  <c:v>-14.268769432890023</c:v>
                </c:pt>
                <c:pt idx="359">
                  <c:v>-14.420672740011305</c:v>
                </c:pt>
                <c:pt idx="360">
                  <c:v>-14.574232662043618</c:v>
                </c:pt>
                <c:pt idx="361">
                  <c:v>-14.729409270876616</c:v>
                </c:pt>
                <c:pt idx="362">
                  <c:v>-14.886162405585209</c:v>
                </c:pt>
                <c:pt idx="363">
                  <c:v>-15.044451767820808</c:v>
                </c:pt>
                <c:pt idx="364">
                  <c:v>-15.204237012842439</c:v>
                </c:pt>
                <c:pt idx="365">
                  <c:v>-15.365477835965734</c:v>
                </c:pt>
                <c:pt idx="366">
                  <c:v>-15.528134054258603</c:v>
                </c:pt>
                <c:pt idx="367">
                  <c:v>-15.692165683359573</c:v>
                </c:pt>
                <c:pt idx="368">
                  <c:v>-15.857533009336834</c:v>
                </c:pt>
                <c:pt idx="369">
                  <c:v>-16.024196655551041</c:v>
                </c:pt>
                <c:pt idx="370">
                  <c:v>-16.192117644519193</c:v>
                </c:pt>
                <c:pt idx="371">
                  <c:v>-16.361257454814925</c:v>
                </c:pt>
                <c:pt idx="372">
                  <c:v>-16.531578073068996</c:v>
                </c:pt>
                <c:pt idx="373">
                  <c:v>-16.70304204116492</c:v>
                </c:pt>
                <c:pt idx="374">
                  <c:v>-16.875612498747184</c:v>
                </c:pt>
                <c:pt idx="375">
                  <c:v>-17.049253221179711</c:v>
                </c:pt>
                <c:pt idx="376">
                  <c:v>-17.223928653115369</c:v>
                </c:pt>
                <c:pt idx="377">
                  <c:v>-17.399603937845079</c:v>
                </c:pt>
                <c:pt idx="378">
                  <c:v>-17.576244942612632</c:v>
                </c:pt>
                <c:pt idx="379">
                  <c:v>-17.753818280089344</c:v>
                </c:pt>
                <c:pt idx="380">
                  <c:v>-17.932291326207309</c:v>
                </c:pt>
                <c:pt idx="381">
                  <c:v>-18.11163223455776</c:v>
                </c:pt>
                <c:pt idx="382">
                  <c:v>-18.29180994756106</c:v>
                </c:pt>
                <c:pt idx="383">
                  <c:v>-18.472794204615553</c:v>
                </c:pt>
                <c:pt idx="384">
                  <c:v>-18.654555547433787</c:v>
                </c:pt>
                <c:pt idx="385">
                  <c:v>-18.837065322767639</c:v>
                </c:pt>
                <c:pt idx="386">
                  <c:v>-19.020295682724214</c:v>
                </c:pt>
                <c:pt idx="387">
                  <c:v>-19.204219582866287</c:v>
                </c:pt>
                <c:pt idx="388">
                  <c:v>-19.388810778287507</c:v>
                </c:pt>
                <c:pt idx="389">
                  <c:v>-19.574043817843318</c:v>
                </c:pt>
                <c:pt idx="390">
                  <c:v>-19.759894036714133</c:v>
                </c:pt>
                <c:pt idx="391">
                  <c:v>-19.946337547466143</c:v>
                </c:pt>
                <c:pt idx="392">
                  <c:v>-20.133351229771527</c:v>
                </c:pt>
                <c:pt idx="393">
                  <c:v>-20.320912718936736</c:v>
                </c:pt>
                <c:pt idx="394">
                  <c:v>-20.509000393382564</c:v>
                </c:pt>
                <c:pt idx="395">
                  <c:v>-20.697593361209051</c:v>
                </c:pt>
                <c:pt idx="396">
                  <c:v>-20.886671445972013</c:v>
                </c:pt>
                <c:pt idx="397">
                  <c:v>-21.076215171787606</c:v>
                </c:pt>
                <c:pt idx="398">
                  <c:v>-21.266205747874075</c:v>
                </c:pt>
                <c:pt idx="399">
                  <c:v>-21.456625052632006</c:v>
                </c:pt>
                <c:pt idx="400">
                  <c:v>-21.647455617356385</c:v>
                </c:pt>
                <c:pt idx="401">
                  <c:v>-21.838680609666522</c:v>
                </c:pt>
                <c:pt idx="402">
                  <c:v>-22.030283816732783</c:v>
                </c:pt>
                <c:pt idx="403">
                  <c:v>-22.222249628371792</c:v>
                </c:pt>
                <c:pt idx="404">
                  <c:v>-22.414563020076073</c:v>
                </c:pt>
                <c:pt idx="405">
                  <c:v>-22.60720953603731</c:v>
                </c:pt>
                <c:pt idx="406">
                  <c:v>-22.800175272216947</c:v>
                </c:pt>
                <c:pt idx="407">
                  <c:v>-22.993446859511906</c:v>
                </c:pt>
                <c:pt idx="408">
                  <c:v>-23.187011447058993</c:v>
                </c:pt>
                <c:pt idx="409">
                  <c:v>-23.380856685715901</c:v>
                </c:pt>
                <c:pt idx="410">
                  <c:v>-23.57497071175246</c:v>
                </c:pt>
                <c:pt idx="411">
                  <c:v>-23.769342130781581</c:v>
                </c:pt>
                <c:pt idx="412">
                  <c:v>-23.963960001956469</c:v>
                </c:pt>
                <c:pt idx="413">
                  <c:v>-24.15881382245507</c:v>
                </c:pt>
                <c:pt idx="414">
                  <c:v>-24.353893512271778</c:v>
                </c:pt>
                <c:pt idx="415">
                  <c:v>-24.549189399330956</c:v>
                </c:pt>
                <c:pt idx="416">
                  <c:v>-24.744692204937383</c:v>
                </c:pt>
                <c:pt idx="417">
                  <c:v>-24.940393029571784</c:v>
                </c:pt>
                <c:pt idx="418">
                  <c:v>-25.136283339042006</c:v>
                </c:pt>
                <c:pt idx="419">
                  <c:v>-25.332354950994286</c:v>
                </c:pt>
                <c:pt idx="420">
                  <c:v>-25.528600021789885</c:v>
                </c:pt>
                <c:pt idx="421">
                  <c:v>-25.725011033750341</c:v>
                </c:pt>
                <c:pt idx="422">
                  <c:v>-25.921580782770146</c:v>
                </c:pt>
                <c:pt idx="423">
                  <c:v>-26.118302366299467</c:v>
                </c:pt>
                <c:pt idx="424">
                  <c:v>-26.315169171693007</c:v>
                </c:pt>
                <c:pt idx="425">
                  <c:v>-26.512174864924209</c:v>
                </c:pt>
                <c:pt idx="426">
                  <c:v>-26.709313379660294</c:v>
                </c:pt>
                <c:pt idx="427">
                  <c:v>-26.906578906693884</c:v>
                </c:pt>
                <c:pt idx="428">
                  <c:v>-27.103965883726406</c:v>
                </c:pt>
                <c:pt idx="429">
                  <c:v>-27.301468985497756</c:v>
                </c:pt>
                <c:pt idx="430">
                  <c:v>-27.499083114255175</c:v>
                </c:pt>
                <c:pt idx="431">
                  <c:v>-27.696803390555775</c:v>
                </c:pt>
                <c:pt idx="432">
                  <c:v>-27.894625144394457</c:v>
                </c:pt>
                <c:pt idx="433">
                  <c:v>-28.09254390665075</c:v>
                </c:pt>
                <c:pt idx="434">
                  <c:v>-28.290555400846653</c:v>
                </c:pt>
                <c:pt idx="435">
                  <c:v>-28.488655535207357</c:v>
                </c:pt>
                <c:pt idx="436">
                  <c:v>-28.686840395017036</c:v>
                </c:pt>
                <c:pt idx="437">
                  <c:v>-28.885106235261979</c:v>
                </c:pt>
                <c:pt idx="438">
                  <c:v>-29.083449473552644</c:v>
                </c:pt>
                <c:pt idx="439">
                  <c:v>-29.281866683316093</c:v>
                </c:pt>
                <c:pt idx="440">
                  <c:v>-29.480354587251153</c:v>
                </c:pt>
                <c:pt idx="441">
                  <c:v>-29.678910051038301</c:v>
                </c:pt>
                <c:pt idx="442">
                  <c:v>-29.877530077295646</c:v>
                </c:pt>
                <c:pt idx="443">
                  <c:v>-30.076211799773304</c:v>
                </c:pt>
                <c:pt idx="444">
                  <c:v>-30.274952477778747</c:v>
                </c:pt>
                <c:pt idx="445">
                  <c:v>-30.473749490824439</c:v>
                </c:pt>
                <c:pt idx="446">
                  <c:v>-30.672600333490692</c:v>
                </c:pt>
                <c:pt idx="447">
                  <c:v>-30.87150261049657</c:v>
                </c:pt>
                <c:pt idx="448">
                  <c:v>-31.070454031970559</c:v>
                </c:pt>
                <c:pt idx="449">
                  <c:v>-31.269452408914837</c:v>
                </c:pt>
                <c:pt idx="450">
                  <c:v>-31.468495648855477</c:v>
                </c:pt>
                <c:pt idx="451">
                  <c:v>-31.667581751671989</c:v>
                </c:pt>
                <c:pt idx="452">
                  <c:v>-31.866708805599391</c:v>
                </c:pt>
                <c:pt idx="453">
                  <c:v>-32.065874983396839</c:v>
                </c:pt>
                <c:pt idx="454">
                  <c:v>-32.265078538675539</c:v>
                </c:pt>
                <c:pt idx="455">
                  <c:v>-32.464317802380982</c:v>
                </c:pt>
                <c:pt idx="456">
                  <c:v>-32.663591179422774</c:v>
                </c:pt>
                <c:pt idx="457">
                  <c:v>-32.862897145446539</c:v>
                </c:pt>
                <c:pt idx="458">
                  <c:v>-33.062234243742246</c:v>
                </c:pt>
                <c:pt idx="459">
                  <c:v>-33.261601082283917</c:v>
                </c:pt>
                <c:pt idx="460">
                  <c:v>-33.460996330895185</c:v>
                </c:pt>
                <c:pt idx="461">
                  <c:v>-33.660418718535311</c:v>
                </c:pt>
                <c:pt idx="462">
                  <c:v>-33.859867030702333</c:v>
                </c:pt>
                <c:pt idx="463">
                  <c:v>-34.059340106946017</c:v>
                </c:pt>
                <c:pt idx="464">
                  <c:v>-34.258836838489046</c:v>
                </c:pt>
                <c:pt idx="465">
                  <c:v>-34.458356165949517</c:v>
                </c:pt>
                <c:pt idx="466">
                  <c:v>-34.657897077162723</c:v>
                </c:pt>
                <c:pt idx="467">
                  <c:v>-34.857458605096014</c:v>
                </c:pt>
                <c:pt idx="468">
                  <c:v>-35.057039825854979</c:v>
                </c:pt>
                <c:pt idx="469">
                  <c:v>-35.256639856775593</c:v>
                </c:pt>
                <c:pt idx="470">
                  <c:v>-35.456257854598775</c:v>
                </c:pt>
                <c:pt idx="471">
                  <c:v>-35.655893013726136</c:v>
                </c:pt>
                <c:pt idx="472">
                  <c:v>-35.855544564549511</c:v>
                </c:pt>
                <c:pt idx="473">
                  <c:v>-36.055211771855014</c:v>
                </c:pt>
                <c:pt idx="474">
                  <c:v>-36.254893933296678</c:v>
                </c:pt>
                <c:pt idx="475">
                  <c:v>-36.454590377936221</c:v>
                </c:pt>
                <c:pt idx="476">
                  <c:v>-36.65430046484741</c:v>
                </c:pt>
                <c:pt idx="477">
                  <c:v>-36.854023581781654</c:v>
                </c:pt>
                <c:pt idx="478">
                  <c:v>-37.053759143891796</c:v>
                </c:pt>
                <c:pt idx="479">
                  <c:v>-37.253506592512878</c:v>
                </c:pt>
                <c:pt idx="480">
                  <c:v>-37.453265393995572</c:v>
                </c:pt>
                <c:pt idx="481">
                  <c:v>-37.653035038591746</c:v>
                </c:pt>
                <c:pt idx="482">
                  <c:v>-37.85281503938905</c:v>
                </c:pt>
                <c:pt idx="483">
                  <c:v>-38.052604931292521</c:v>
                </c:pt>
                <c:pt idx="484">
                  <c:v>-38.252404270050874</c:v>
                </c:pt>
                <c:pt idx="485">
                  <c:v>-38.452212631326887</c:v>
                </c:pt>
                <c:pt idx="486">
                  <c:v>-38.652029609807165</c:v>
                </c:pt>
                <c:pt idx="487">
                  <c:v>-38.851854818353416</c:v>
                </c:pt>
                <c:pt idx="488">
                  <c:v>-39.051687887189971</c:v>
                </c:pt>
                <c:pt idx="489">
                  <c:v>-39.251528463127535</c:v>
                </c:pt>
                <c:pt idx="490">
                  <c:v>-39.451376208821799</c:v>
                </c:pt>
                <c:pt idx="491">
                  <c:v>-39.651230802064902</c:v>
                </c:pt>
                <c:pt idx="492">
                  <c:v>-39.851091935108158</c:v>
                </c:pt>
                <c:pt idx="493">
                  <c:v>-40.050959314014818</c:v>
                </c:pt>
                <c:pt idx="494">
                  <c:v>-40.250832658042427</c:v>
                </c:pt>
                <c:pt idx="495">
                  <c:v>-40.45071169905124</c:v>
                </c:pt>
                <c:pt idx="496">
                  <c:v>-40.650596180940781</c:v>
                </c:pt>
                <c:pt idx="497">
                  <c:v>-40.850485859109796</c:v>
                </c:pt>
                <c:pt idx="498">
                  <c:v>-41.050380499941596</c:v>
                </c:pt>
                <c:pt idx="499">
                  <c:v>-41.250279880311453</c:v>
                </c:pt>
                <c:pt idx="500">
                  <c:v>-41.450183787116579</c:v>
                </c:pt>
                <c:pt idx="501">
                  <c:v>-41.650092016826889</c:v>
                </c:pt>
                <c:pt idx="502">
                  <c:v>-41.850004375055548</c:v>
                </c:pt>
                <c:pt idx="503">
                  <c:v>-42.049920676149085</c:v>
                </c:pt>
                <c:pt idx="504">
                  <c:v>-42.24984074279579</c:v>
                </c:pt>
                <c:pt idx="505">
                  <c:v>-42.449764405651358</c:v>
                </c:pt>
                <c:pt idx="506">
                  <c:v>-42.649691502981554</c:v>
                </c:pt>
                <c:pt idx="507">
                  <c:v>-42.849621880320655</c:v>
                </c:pt>
                <c:pt idx="508">
                  <c:v>-43.04955539014518</c:v>
                </c:pt>
                <c:pt idx="509">
                  <c:v>-43.249491891562485</c:v>
                </c:pt>
                <c:pt idx="510">
                  <c:v>-43.44943125001307</c:v>
                </c:pt>
                <c:pt idx="511">
                  <c:v>-43.649373336985974</c:v>
                </c:pt>
                <c:pt idx="512">
                  <c:v>-43.8493180297477</c:v>
                </c:pt>
                <c:pt idx="513">
                  <c:v>-44.049265211082258</c:v>
                </c:pt>
                <c:pt idx="514">
                  <c:v>-44.249214769043803</c:v>
                </c:pt>
                <c:pt idx="515">
                  <c:v>-44.449166596719678</c:v>
                </c:pt>
                <c:pt idx="516">
                  <c:v>-44.649120592004373</c:v>
                </c:pt>
                <c:pt idx="517">
                  <c:v>-44.849076657383698</c:v>
                </c:pt>
                <c:pt idx="518">
                  <c:v>-45.049034699728395</c:v>
                </c:pt>
                <c:pt idx="519">
                  <c:v>-45.248994630097179</c:v>
                </c:pt>
                <c:pt idx="520">
                  <c:v>-45.448956363548383</c:v>
                </c:pt>
                <c:pt idx="521">
                  <c:v>-45.648919818960785</c:v>
                </c:pt>
                <c:pt idx="522">
                  <c:v>-45.848884918861103</c:v>
                </c:pt>
                <c:pt idx="523">
                  <c:v>-46.048851589260735</c:v>
                </c:pt>
                <c:pt idx="524">
                  <c:v>-46.248819759498694</c:v>
                </c:pt>
                <c:pt idx="525">
                  <c:v>-46.448789362092441</c:v>
                </c:pt>
                <c:pt idx="526">
                  <c:v>-46.64876033259457</c:v>
                </c:pt>
                <c:pt idx="527">
                  <c:v>-46.84873260945669</c:v>
                </c:pt>
                <c:pt idx="528">
                  <c:v>-47.048706133898989</c:v>
                </c:pt>
                <c:pt idx="529">
                  <c:v>-47.248680849785778</c:v>
                </c:pt>
                <c:pt idx="530">
                  <c:v>-47.448656703506671</c:v>
                </c:pt>
                <c:pt idx="531">
                  <c:v>-47.648633643862688</c:v>
                </c:pt>
                <c:pt idx="532">
                  <c:v>-47.848611621958462</c:v>
                </c:pt>
                <c:pt idx="533">
                  <c:v>-48.048590591098083</c:v>
                </c:pt>
                <c:pt idx="534">
                  <c:v>-48.24857050668647</c:v>
                </c:pt>
                <c:pt idx="535">
                  <c:v>-48.448551326134933</c:v>
                </c:pt>
                <c:pt idx="536">
                  <c:v>-48.64853300877067</c:v>
                </c:pt>
                <c:pt idx="537">
                  <c:v>-48.848515515750883</c:v>
                </c:pt>
                <c:pt idx="538">
                  <c:v>-49.048498809980352</c:v>
                </c:pt>
                <c:pt idx="539">
                  <c:v>-49.248482856032879</c:v>
                </c:pt>
                <c:pt idx="540">
                  <c:v>-49.448467620076158</c:v>
                </c:pt>
                <c:pt idx="541">
                  <c:v>-49.648453069800169</c:v>
                </c:pt>
              </c:numCache>
            </c:numRef>
          </c:yVal>
          <c:smooth val="1"/>
          <c:extLst>
            <c:ext xmlns:c16="http://schemas.microsoft.com/office/drawing/2014/chart" uri="{C3380CC4-5D6E-409C-BE32-E72D297353CC}">
              <c16:uniqueId val="{00000000-C95D-4273-8D1D-E8C586949522}"/>
            </c:ext>
          </c:extLst>
        </c:ser>
        <c:dLbls>
          <c:showLegendKey val="0"/>
          <c:showVal val="0"/>
          <c:showCatName val="0"/>
          <c:showSerName val="0"/>
          <c:showPercent val="0"/>
          <c:showBubbleSize val="0"/>
        </c:dLbls>
        <c:axId val="160531200"/>
        <c:axId val="160533120"/>
      </c:scatterChart>
      <c:scatterChart>
        <c:scatterStyle val="smoothMarker"/>
        <c:varyColors val="0"/>
        <c:ser>
          <c:idx val="1"/>
          <c:order val="1"/>
          <c:marker>
            <c:symbol val="none"/>
          </c:marker>
          <c:xVal>
            <c:numRef>
              <c:f>Loop_Modeling!$O$19:$O$560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Loop_Modeling!$AR$19:$AR$560</c:f>
              <c:numCache>
                <c:formatCode>General</c:formatCode>
                <c:ptCount val="542"/>
                <c:pt idx="0">
                  <c:v>90.386938666963829</c:v>
                </c:pt>
                <c:pt idx="1">
                  <c:v>90.39595128067559</c:v>
                </c:pt>
                <c:pt idx="2">
                  <c:v>90.405173800407937</c:v>
                </c:pt>
                <c:pt idx="3">
                  <c:v>90.414611113732292</c:v>
                </c:pt>
                <c:pt idx="4">
                  <c:v>90.424268221939812</c:v>
                </c:pt>
                <c:pt idx="5">
                  <c:v>90.434150242681255</c:v>
                </c:pt>
                <c:pt idx="6">
                  <c:v>90.444262412667598</c:v>
                </c:pt>
                <c:pt idx="7">
                  <c:v>90.454610090432979</c:v>
                </c:pt>
                <c:pt idx="8">
                  <c:v>90.465198759161169</c:v>
                </c:pt>
                <c:pt idx="9">
                  <c:v>90.476034029577164</c:v>
                </c:pt>
                <c:pt idx="10">
                  <c:v>90.487121642905166</c:v>
                </c:pt>
                <c:pt idx="11">
                  <c:v>90.498467473894706</c:v>
                </c:pt>
                <c:pt idx="12">
                  <c:v>90.510077533916103</c:v>
                </c:pt>
                <c:pt idx="13">
                  <c:v>90.521957974127147</c:v>
                </c:pt>
                <c:pt idx="14">
                  <c:v>90.534115088712269</c:v>
                </c:pt>
                <c:pt idx="15">
                  <c:v>90.546555318196042</c:v>
                </c:pt>
                <c:pt idx="16">
                  <c:v>90.559285252832666</c:v>
                </c:pt>
                <c:pt idx="17">
                  <c:v>90.57231163607274</c:v>
                </c:pt>
                <c:pt idx="18">
                  <c:v>90.585641368109606</c:v>
                </c:pt>
                <c:pt idx="19">
                  <c:v>90.599281509506596</c:v>
                </c:pt>
                <c:pt idx="20">
                  <c:v>90.61323928490701</c:v>
                </c:pt>
                <c:pt idx="21">
                  <c:v>90.627522086828748</c:v>
                </c:pt>
                <c:pt idx="22">
                  <c:v>90.64213747954544</c:v>
                </c:pt>
                <c:pt idx="23">
                  <c:v>90.657093203055751</c:v>
                </c:pt>
                <c:pt idx="24">
                  <c:v>90.672397177143054</c:v>
                </c:pt>
                <c:pt idx="25">
                  <c:v>90.688057505527127</c:v>
                </c:pt>
                <c:pt idx="26">
                  <c:v>90.704082480110145</c:v>
                </c:pt>
                <c:pt idx="27">
                  <c:v>90.720480585318626</c:v>
                </c:pt>
                <c:pt idx="28">
                  <c:v>90.737260502543776</c:v>
                </c:pt>
                <c:pt idx="29">
                  <c:v>90.754431114681879</c:v>
                </c:pt>
                <c:pt idx="30">
                  <c:v>90.772001510777287</c:v>
                </c:pt>
                <c:pt idx="31">
                  <c:v>90.789980990769791</c:v>
                </c:pt>
                <c:pt idx="32">
                  <c:v>90.808379070348664</c:v>
                </c:pt>
                <c:pt idx="33">
                  <c:v>90.827205485915783</c:v>
                </c:pt>
                <c:pt idx="34">
                  <c:v>90.846470199659635</c:v>
                </c:pt>
                <c:pt idx="35">
                  <c:v>90.866183404742955</c:v>
                </c:pt>
                <c:pt idx="36">
                  <c:v>90.886355530606025</c:v>
                </c:pt>
                <c:pt idx="37">
                  <c:v>90.906997248387924</c:v>
                </c:pt>
                <c:pt idx="38">
                  <c:v>90.928119476468282</c:v>
                </c:pt>
                <c:pt idx="39">
                  <c:v>90.949733386131825</c:v>
                </c:pt>
                <c:pt idx="40">
                  <c:v>90.971850407357991</c:v>
                </c:pt>
                <c:pt idx="41">
                  <c:v>90.994482234738371</c:v>
                </c:pt>
                <c:pt idx="42">
                  <c:v>91.017640833524098</c:v>
                </c:pt>
                <c:pt idx="43">
                  <c:v>91.041338445805906</c:v>
                </c:pt>
                <c:pt idx="44">
                  <c:v>91.065587596829104</c:v>
                </c:pt>
                <c:pt idx="45">
                  <c:v>91.090401101446361</c:v>
                </c:pt>
                <c:pt idx="46">
                  <c:v>91.115792070710441</c:v>
                </c:pt>
                <c:pt idx="47">
                  <c:v>91.141773918609545</c:v>
                </c:pt>
                <c:pt idx="48">
                  <c:v>91.168360368948044</c:v>
                </c:pt>
                <c:pt idx="49">
                  <c:v>91.195565462374731</c:v>
                </c:pt>
                <c:pt idx="50">
                  <c:v>91.223403563561547</c:v>
                </c:pt>
                <c:pt idx="51">
                  <c:v>91.251889368535018</c:v>
                </c:pt>
                <c:pt idx="52">
                  <c:v>91.281037912163086</c:v>
                </c:pt>
                <c:pt idx="53">
                  <c:v>91.310864575799911</c:v>
                </c:pt>
                <c:pt idx="54">
                  <c:v>91.341385095091013</c:v>
                </c:pt>
                <c:pt idx="55">
                  <c:v>91.372615567941324</c:v>
                </c:pt>
                <c:pt idx="56">
                  <c:v>91.404572462648503</c:v>
                </c:pt>
                <c:pt idx="57">
                  <c:v>91.43727262620412</c:v>
                </c:pt>
                <c:pt idx="58">
                  <c:v>91.470733292764834</c:v>
                </c:pt>
                <c:pt idx="59">
                  <c:v>91.5049720922961</c:v>
                </c:pt>
                <c:pt idx="60">
                  <c:v>91.540007059390405</c:v>
                </c:pt>
                <c:pt idx="61">
                  <c:v>91.57585664226248</c:v>
                </c:pt>
                <c:pt idx="62">
                  <c:v>91.612539711923347</c:v>
                </c:pt>
                <c:pt idx="63">
                  <c:v>91.650075571535481</c:v>
                </c:pt>
                <c:pt idx="64">
                  <c:v>91.688483965950496</c:v>
                </c:pt>
                <c:pt idx="65">
                  <c:v>91.727785091431812</c:v>
                </c:pt>
                <c:pt idx="66">
                  <c:v>91.767999605563233</c:v>
                </c:pt>
                <c:pt idx="67">
                  <c:v>91.809148637345459</c:v>
                </c:pt>
                <c:pt idx="68">
                  <c:v>91.851253797481633</c:v>
                </c:pt>
                <c:pt idx="69">
                  <c:v>91.894337188853029</c:v>
                </c:pt>
                <c:pt idx="70">
                  <c:v>91.938421417186007</c:v>
                </c:pt>
                <c:pt idx="71">
                  <c:v>91.983529601910689</c:v>
                </c:pt>
                <c:pt idx="72">
                  <c:v>92.029685387212083</c:v>
                </c:pt>
                <c:pt idx="73">
                  <c:v>92.076912953273691</c:v>
                </c:pt>
                <c:pt idx="74">
                  <c:v>92.125237027713681</c:v>
                </c:pt>
                <c:pt idx="75">
                  <c:v>92.174682897213003</c:v>
                </c:pt>
                <c:pt idx="76">
                  <c:v>92.22527641933489</c:v>
                </c:pt>
                <c:pt idx="77">
                  <c:v>92.277044034534313</c:v>
                </c:pt>
                <c:pt idx="78">
                  <c:v>92.330012778356362</c:v>
                </c:pt>
                <c:pt idx="79">
                  <c:v>92.384210293820985</c:v>
                </c:pt>
                <c:pt idx="80">
                  <c:v>92.439664843991835</c:v>
                </c:pt>
                <c:pt idx="81">
                  <c:v>92.49640532472624</c:v>
                </c:pt>
                <c:pt idx="82">
                  <c:v>92.554461277602698</c:v>
                </c:pt>
                <c:pt idx="83">
                  <c:v>92.613862903021285</c:v>
                </c:pt>
                <c:pt idx="84">
                  <c:v>92.674641073472898</c:v>
                </c:pt>
                <c:pt idx="85">
                  <c:v>92.736827346970784</c:v>
                </c:pt>
                <c:pt idx="86">
                  <c:v>92.800453980638409</c:v>
                </c:pt>
                <c:pt idx="87">
                  <c:v>92.865553944446503</c:v>
                </c:pt>
                <c:pt idx="88">
                  <c:v>92.932160935090891</c:v>
                </c:pt>
                <c:pt idx="89">
                  <c:v>93.000309390001775</c:v>
                </c:pt>
                <c:pt idx="90">
                  <c:v>93.070034501474765</c:v>
                </c:pt>
                <c:pt idx="91">
                  <c:v>93.14137223091187</c:v>
                </c:pt>
                <c:pt idx="92">
                  <c:v>93.214359323159911</c:v>
                </c:pt>
                <c:pt idx="93">
                  <c:v>93.289033320932674</c:v>
                </c:pt>
                <c:pt idx="94">
                  <c:v>93.36543257930127</c:v>
                </c:pt>
                <c:pt idx="95">
                  <c:v>93.443596280235994</c:v>
                </c:pt>
                <c:pt idx="96">
                  <c:v>93.523564447181229</c:v>
                </c:pt>
                <c:pt idx="97">
                  <c:v>93.605377959643121</c:v>
                </c:pt>
                <c:pt idx="98">
                  <c:v>93.689078567768206</c:v>
                </c:pt>
                <c:pt idx="99">
                  <c:v>93.774708906888591</c:v>
                </c:pt>
                <c:pt idx="100">
                  <c:v>93.862312512007989</c:v>
                </c:pt>
                <c:pt idx="101">
                  <c:v>93.951933832199813</c:v>
                </c:pt>
                <c:pt idx="102">
                  <c:v>94.043618244886602</c:v>
                </c:pt>
                <c:pt idx="103">
                  <c:v>94.137412069967468</c:v>
                </c:pt>
                <c:pt idx="104">
                  <c:v>94.233362583757014</c:v>
                </c:pt>
                <c:pt idx="105">
                  <c:v>94.33151803269719</c:v>
                </c:pt>
                <c:pt idx="106">
                  <c:v>94.431927646798997</c:v>
                </c:pt>
                <c:pt idx="107">
                  <c:v>94.534641652769253</c:v>
                </c:pt>
                <c:pt idx="108">
                  <c:v>94.639711286772595</c:v>
                </c:pt>
                <c:pt idx="109">
                  <c:v>94.747188806776464</c:v>
                </c:pt>
                <c:pt idx="110">
                  <c:v>94.857127504421499</c:v>
                </c:pt>
                <c:pt idx="111">
                  <c:v>94.969581716356757</c:v>
                </c:pt>
                <c:pt idx="112">
                  <c:v>95.084606834973783</c:v>
                </c:pt>
                <c:pt idx="113">
                  <c:v>95.202259318469487</c:v>
                </c:pt>
                <c:pt idx="114">
                  <c:v>95.322596700161753</c:v>
                </c:pt>
                <c:pt idx="115">
                  <c:v>95.445677596978157</c:v>
                </c:pt>
                <c:pt idx="116">
                  <c:v>95.571561717030178</c:v>
                </c:pt>
                <c:pt idx="117">
                  <c:v>95.700309866181797</c:v>
                </c:pt>
                <c:pt idx="118">
                  <c:v>95.831983953512847</c:v>
                </c:pt>
                <c:pt idx="119">
                  <c:v>95.966646995573626</c:v>
                </c:pt>
                <c:pt idx="120">
                  <c:v>96.104363119317014</c:v>
                </c:pt>
                <c:pt idx="121">
                  <c:v>96.245197563589912</c:v>
                </c:pt>
                <c:pt idx="122">
                  <c:v>96.389216679057967</c:v>
                </c:pt>
                <c:pt idx="123">
                  <c:v>96.536487926426915</c:v>
                </c:pt>
                <c:pt idx="124">
                  <c:v>96.687079872819552</c:v>
                </c:pt>
                <c:pt idx="125">
                  <c:v>96.841062186155554</c:v>
                </c:pt>
                <c:pt idx="126">
                  <c:v>96.998505627373987</c:v>
                </c:pt>
                <c:pt idx="127">
                  <c:v>97.159482040328612</c:v>
                </c:pt>
                <c:pt idx="128">
                  <c:v>97.324064339175621</c:v>
                </c:pt>
                <c:pt idx="129">
                  <c:v>97.492326493066116</c:v>
                </c:pt>
                <c:pt idx="130">
                  <c:v>97.664343507940771</c:v>
                </c:pt>
                <c:pt idx="131">
                  <c:v>97.840191405218462</c:v>
                </c:pt>
                <c:pt idx="132">
                  <c:v>98.019947197155901</c:v>
                </c:pt>
                <c:pt idx="133">
                  <c:v>98.203688858647197</c:v>
                </c:pt>
                <c:pt idx="134">
                  <c:v>98.391495295217723</c:v>
                </c:pt>
                <c:pt idx="135">
                  <c:v>98.58344630695953</c:v>
                </c:pt>
                <c:pt idx="136">
                  <c:v>98.779622548139173</c:v>
                </c:pt>
                <c:pt idx="137">
                  <c:v>98.980105482201481</c:v>
                </c:pt>
                <c:pt idx="138">
                  <c:v>99.184977331878372</c:v>
                </c:pt>
                <c:pt idx="139">
                  <c:v>99.394321024102823</c:v>
                </c:pt>
                <c:pt idx="140">
                  <c:v>99.608220129414406</c:v>
                </c:pt>
                <c:pt idx="141">
                  <c:v>99.826758795534928</c:v>
                </c:pt>
                <c:pt idx="142">
                  <c:v>100.05002167477957</c:v>
                </c:pt>
                <c:pt idx="143">
                  <c:v>100.2780938449619</c:v>
                </c:pt>
                <c:pt idx="144">
                  <c:v>100.51106072344012</c:v>
                </c:pt>
                <c:pt idx="145">
                  <c:v>100.74900797394571</c:v>
                </c:pt>
                <c:pt idx="146">
                  <c:v>100.99202140582692</c:v>
                </c:pt>
                <c:pt idx="147">
                  <c:v>101.24018686533657</c:v>
                </c:pt>
                <c:pt idx="148">
                  <c:v>101.49359011858766</c:v>
                </c:pt>
                <c:pt idx="149">
                  <c:v>101.75231672579935</c:v>
                </c:pt>
                <c:pt idx="150">
                  <c:v>102.01645190645571</c:v>
                </c:pt>
                <c:pt idx="151">
                  <c:v>102.28608039500372</c:v>
                </c:pt>
                <c:pt idx="152">
                  <c:v>102.56128628671857</c:v>
                </c:pt>
                <c:pt idx="153">
                  <c:v>102.84215287337769</c:v>
                </c:pt>
                <c:pt idx="154">
                  <c:v>103.12876246839308</c:v>
                </c:pt>
                <c:pt idx="155">
                  <c:v>103.42119622106908</c:v>
                </c:pt>
                <c:pt idx="156">
                  <c:v>103.71953391967132</c:v>
                </c:pt>
                <c:pt idx="157">
                  <c:v>104.02385378301956</c:v>
                </c:pt>
                <c:pt idx="158">
                  <c:v>104.33423224034335</c:v>
                </c:pt>
                <c:pt idx="159">
                  <c:v>104.65074369917905</c:v>
                </c:pt>
                <c:pt idx="160">
                  <c:v>104.9734603011221</c:v>
                </c:pt>
                <c:pt idx="161">
                  <c:v>105.30245166530244</c:v>
                </c:pt>
                <c:pt idx="162">
                  <c:v>105.63778461949984</c:v>
                </c:pt>
                <c:pt idx="163">
                  <c:v>105.97952291888083</c:v>
                </c:pt>
                <c:pt idx="164">
                  <c:v>106.32772695240504</c:v>
                </c:pt>
                <c:pt idx="165">
                  <c:v>106.68245343703066</c:v>
                </c:pt>
                <c:pt idx="166">
                  <c:v>107.04375509992489</c:v>
                </c:pt>
                <c:pt idx="167">
                  <c:v>107.41168034899201</c:v>
                </c:pt>
                <c:pt idx="168">
                  <c:v>107.78627293211876</c:v>
                </c:pt>
                <c:pt idx="169">
                  <c:v>108.16757158566176</c:v>
                </c:pt>
                <c:pt idx="170">
                  <c:v>108.55560967280897</c:v>
                </c:pt>
                <c:pt idx="171">
                  <c:v>108.95041481258443</c:v>
                </c:pt>
                <c:pt idx="172">
                  <c:v>109.35200850039573</c:v>
                </c:pt>
                <c:pt idx="173">
                  <c:v>109.76040572116892</c:v>
                </c:pt>
                <c:pt idx="174">
                  <c:v>110.17561455626532</c:v>
                </c:pt>
                <c:pt idx="175">
                  <c:v>110.59763578553464</c:v>
                </c:pt>
                <c:pt idx="176">
                  <c:v>111.02646248601413</c:v>
                </c:pt>
                <c:pt idx="177">
                  <c:v>111.4620796289545</c:v>
                </c:pt>
                <c:pt idx="178">
                  <c:v>111.90446367701915</c:v>
                </c:pt>
                <c:pt idx="179">
                  <c:v>112.3535821836697</c:v>
                </c:pt>
                <c:pt idx="180">
                  <c:v>112.80939339692023</c:v>
                </c:pt>
                <c:pt idx="181">
                  <c:v>113.27184586980292</c:v>
                </c:pt>
                <c:pt idx="182">
                  <c:v>113.74087808004653</c:v>
                </c:pt>
                <c:pt idx="183">
                  <c:v>114.21641806161533</c:v>
                </c:pt>
                <c:pt idx="184">
                  <c:v>114.69838305089068</c:v>
                </c:pt>
                <c:pt idx="185">
                  <c:v>115.18667915040307</c:v>
                </c:pt>
                <c:pt idx="186">
                  <c:v>115.68120101311786</c:v>
                </c:pt>
                <c:pt idx="187">
                  <c:v>116.18183155036513</c:v>
                </c:pt>
                <c:pt idx="188">
                  <c:v>116.68844166655738</c:v>
                </c:pt>
                <c:pt idx="189">
                  <c:v>117.20089002386646</c:v>
                </c:pt>
                <c:pt idx="190">
                  <c:v>117.71902284003102</c:v>
                </c:pt>
                <c:pt idx="191">
                  <c:v>118.2426737224241</c:v>
                </c:pt>
                <c:pt idx="192">
                  <c:v>118.77166354143979</c:v>
                </c:pt>
                <c:pt idx="193">
                  <c:v>119.30580034614057</c:v>
                </c:pt>
                <c:pt idx="194">
                  <c:v>119.84487932495657</c:v>
                </c:pt>
                <c:pt idx="195">
                  <c:v>120.38868281402335</c:v>
                </c:pt>
                <c:pt idx="196">
                  <c:v>120.93698035551186</c:v>
                </c:pt>
                <c:pt idx="197">
                  <c:v>121.48952880801217</c:v>
                </c:pt>
                <c:pt idx="198">
                  <c:v>122.04607251071172</c:v>
                </c:pt>
                <c:pt idx="199">
                  <c:v>122.60634350273844</c:v>
                </c:pt>
                <c:pt idx="200">
                  <c:v>123.17006179863259</c:v>
                </c:pt>
                <c:pt idx="201">
                  <c:v>123.73693572047192</c:v>
                </c:pt>
                <c:pt idx="202">
                  <c:v>124.30666228670478</c:v>
                </c:pt>
                <c:pt idx="203">
                  <c:v>124.8789276572447</c:v>
                </c:pt>
                <c:pt idx="204">
                  <c:v>125.45340763387019</c:v>
                </c:pt>
                <c:pt idx="205">
                  <c:v>126.02976821444207</c:v>
                </c:pt>
                <c:pt idx="206">
                  <c:v>126.60766619891804</c:v>
                </c:pt>
                <c:pt idx="207">
                  <c:v>127.18674984461698</c:v>
                </c:pt>
                <c:pt idx="208">
                  <c:v>127.76665956766223</c:v>
                </c:pt>
                <c:pt idx="209">
                  <c:v>128.34702868704053</c:v>
                </c:pt>
                <c:pt idx="210">
                  <c:v>128.92748420723566</c:v>
                </c:pt>
                <c:pt idx="211">
                  <c:v>129.50764763496775</c:v>
                </c:pt>
                <c:pt idx="212">
                  <c:v>130.087135825172</c:v>
                </c:pt>
                <c:pt idx="213">
                  <c:v>130.66556185101894</c:v>
                </c:pt>
                <c:pt idx="214">
                  <c:v>131.24253589248781</c:v>
                </c:pt>
                <c:pt idx="215">
                  <c:v>131.81766613779143</c:v>
                </c:pt>
                <c:pt idx="216">
                  <c:v>132.39055969179702</c:v>
                </c:pt>
                <c:pt idx="217">
                  <c:v>132.96082348550149</c:v>
                </c:pt>
                <c:pt idx="218">
                  <c:v>133.52806518061251</c:v>
                </c:pt>
                <c:pt idx="219">
                  <c:v>134.09189406334761</c:v>
                </c:pt>
                <c:pt idx="220">
                  <c:v>134.65192192168965</c:v>
                </c:pt>
                <c:pt idx="221">
                  <c:v>135.20776390053942</c:v>
                </c:pt>
                <c:pt idx="222">
                  <c:v>135.75903932947514</c:v>
                </c:pt>
                <c:pt idx="223">
                  <c:v>136.30537251813922</c:v>
                </c:pt>
                <c:pt idx="224">
                  <c:v>136.84639351466294</c:v>
                </c:pt>
                <c:pt idx="225">
                  <c:v>137.38173882295428</c:v>
                </c:pt>
                <c:pt idx="226">
                  <c:v>137.91105207514056</c:v>
                </c:pt>
                <c:pt idx="227">
                  <c:v>138.43398465595143</c:v>
                </c:pt>
                <c:pt idx="228">
                  <c:v>138.95019627634213</c:v>
                </c:pt>
                <c:pt idx="229">
                  <c:v>139.45935549419514</c:v>
                </c:pt>
                <c:pt idx="230">
                  <c:v>139.96114018046455</c:v>
                </c:pt>
                <c:pt idx="231">
                  <c:v>140.45523792967566</c:v>
                </c:pt>
                <c:pt idx="232">
                  <c:v>140.94134641420766</c:v>
                </c:pt>
                <c:pt idx="233">
                  <c:v>141.41917368230767</c:v>
                </c:pt>
                <c:pt idx="234">
                  <c:v>141.88843840025774</c:v>
                </c:pt>
                <c:pt idx="235">
                  <c:v>142.34887003958957</c:v>
                </c:pt>
                <c:pt idx="236">
                  <c:v>142.80020901065612</c:v>
                </c:pt>
                <c:pt idx="237">
                  <c:v>143.24220674425996</c:v>
                </c:pt>
                <c:pt idx="238">
                  <c:v>143.67462572339358</c:v>
                </c:pt>
                <c:pt idx="239">
                  <c:v>144.09723946744396</c:v>
                </c:pt>
                <c:pt idx="240">
                  <c:v>144.50983247148483</c:v>
                </c:pt>
                <c:pt idx="241">
                  <c:v>144.91220010350142</c:v>
                </c:pt>
                <c:pt idx="242">
                  <c:v>145.30414846256321</c:v>
                </c:pt>
                <c:pt idx="243">
                  <c:v>145.68549420111148</c:v>
                </c:pt>
                <c:pt idx="244">
                  <c:v>146.05606431460848</c:v>
                </c:pt>
                <c:pt idx="245">
                  <c:v>146.41569590187183</c:v>
                </c:pt>
                <c:pt idx="246">
                  <c:v>146.76423589942735</c:v>
                </c:pt>
                <c:pt idx="247">
                  <c:v>147.10154079321984</c:v>
                </c:pt>
                <c:pt idx="248">
                  <c:v>147.42747631097123</c:v>
                </c:pt>
                <c:pt idx="249">
                  <c:v>147.74191709842674</c:v>
                </c:pt>
                <c:pt idx="250">
                  <c:v>148.04474638263474</c:v>
                </c:pt>
                <c:pt idx="251">
                  <c:v>148.33585562530885</c:v>
                </c:pt>
                <c:pt idx="252">
                  <c:v>148.61514416919636</c:v>
                </c:pt>
                <c:pt idx="253">
                  <c:v>148.8825188802511</c:v>
                </c:pt>
                <c:pt idx="254">
                  <c:v>149.13789378825967</c:v>
                </c:pt>
                <c:pt idx="255">
                  <c:v>149.38118972842329</c:v>
                </c:pt>
                <c:pt idx="256">
                  <c:v>149.61233398624935</c:v>
                </c:pt>
                <c:pt idx="257">
                  <c:v>149.83125994793738</c:v>
                </c:pt>
                <c:pt idx="258">
                  <c:v>150.03790675830339</c:v>
                </c:pt>
                <c:pt idx="259">
                  <c:v>150.2322189881173</c:v>
                </c:pt>
                <c:pt idx="260">
                  <c:v>150.41414631258613</c:v>
                </c:pt>
                <c:pt idx="261">
                  <c:v>150.58364320256035</c:v>
                </c:pt>
                <c:pt idx="262">
                  <c:v>150.740668629906</c:v>
                </c:pt>
                <c:pt idx="263">
                  <c:v>150.88518578833592</c:v>
                </c:pt>
                <c:pt idx="264">
                  <c:v>151.01716183088004</c:v>
                </c:pt>
                <c:pt idx="265">
                  <c:v>151.13656762503288</c:v>
                </c:pt>
                <c:pt idx="266">
                  <c:v>151.24337752651527</c:v>
                </c:pt>
                <c:pt idx="267">
                  <c:v>151.33756917246953</c:v>
                </c:pt>
                <c:pt idx="268">
                  <c:v>151.41912329480567</c:v>
                </c:pt>
                <c:pt idx="269">
                  <c:v>151.48802355432383</c:v>
                </c:pt>
                <c:pt idx="270">
                  <c:v>151.54425639614584</c:v>
                </c:pt>
                <c:pt idx="271">
                  <c:v>151.58781092690427</c:v>
                </c:pt>
                <c:pt idx="272">
                  <c:v>151.61867881406124</c:v>
                </c:pt>
                <c:pt idx="273">
                  <c:v>151.63685420765188</c:v>
                </c:pt>
                <c:pt idx="274">
                  <c:v>151.64233368468004</c:v>
                </c:pt>
                <c:pt idx="275">
                  <c:v>151.63511621632119</c:v>
                </c:pt>
                <c:pt idx="276">
                  <c:v>151.61520315802773</c:v>
                </c:pt>
                <c:pt idx="277">
                  <c:v>151.58259826256136</c:v>
                </c:pt>
                <c:pt idx="278">
                  <c:v>151.53730771591933</c:v>
                </c:pt>
                <c:pt idx="279">
                  <c:v>151.47934019605083</c:v>
                </c:pt>
                <c:pt idx="280">
                  <c:v>151.40870695419662</c:v>
                </c:pt>
                <c:pt idx="281">
                  <c:v>151.32542191862055</c:v>
                </c:pt>
                <c:pt idx="282">
                  <c:v>151.22950182041959</c:v>
                </c:pt>
                <c:pt idx="283">
                  <c:v>151.12096634104086</c:v>
                </c:pt>
                <c:pt idx="284">
                  <c:v>150.9998382810337</c:v>
                </c:pt>
                <c:pt idx="285">
                  <c:v>150.86614374950287</c:v>
                </c:pt>
                <c:pt idx="286">
                  <c:v>150.71991237361675</c:v>
                </c:pt>
                <c:pt idx="287">
                  <c:v>150.56117752744518</c:v>
                </c:pt>
                <c:pt idx="288">
                  <c:v>150.38997657928914</c:v>
                </c:pt>
                <c:pt idx="289">
                  <c:v>150.20635115655281</c:v>
                </c:pt>
                <c:pt idx="290">
                  <c:v>150.01034742709976</c:v>
                </c:pt>
                <c:pt idx="291">
                  <c:v>149.80201639590047</c:v>
                </c:pt>
                <c:pt idx="292">
                  <c:v>149.58141421565546</c:v>
                </c:pt>
                <c:pt idx="293">
                  <c:v>149.34860250993458</c:v>
                </c:pt>
                <c:pt idx="294">
                  <c:v>149.10364870723302</c:v>
                </c:pt>
                <c:pt idx="295">
                  <c:v>148.84662638419408</c:v>
                </c:pt>
                <c:pt idx="296">
                  <c:v>148.57761561609863</c:v>
                </c:pt>
                <c:pt idx="297">
                  <c:v>148.29670333255996</c:v>
                </c:pt>
                <c:pt idx="298">
                  <c:v>148.00398367621435</c:v>
                </c:pt>
                <c:pt idx="299">
                  <c:v>147.69955836203508</c:v>
                </c:pt>
                <c:pt idx="300">
                  <c:v>147.38353703474542</c:v>
                </c:pt>
                <c:pt idx="301">
                  <c:v>147.05603762165995</c:v>
                </c:pt>
                <c:pt idx="302">
                  <c:v>146.71718667814159</c:v>
                </c:pt>
                <c:pt idx="303">
                  <c:v>146.3671197227284</c:v>
                </c:pt>
                <c:pt idx="304">
                  <c:v>146.00598155887138</c:v>
                </c:pt>
                <c:pt idx="305">
                  <c:v>145.63392658011841</c:v>
                </c:pt>
                <c:pt idx="306">
                  <c:v>145.25111905550128</c:v>
                </c:pt>
                <c:pt idx="307">
                  <c:v>144.85773339182248</c:v>
                </c:pt>
                <c:pt idx="308">
                  <c:v>144.45395436950682</c:v>
                </c:pt>
                <c:pt idx="309">
                  <c:v>144.03997734867775</c:v>
                </c:pt>
                <c:pt idx="310">
                  <c:v>143.61600844214945</c:v>
                </c:pt>
                <c:pt idx="311">
                  <c:v>143.18226465209185</c:v>
                </c:pt>
                <c:pt idx="312">
                  <c:v>142.73897396722182</c:v>
                </c:pt>
                <c:pt idx="313">
                  <c:v>142.28637541752849</c:v>
                </c:pt>
                <c:pt idx="314">
                  <c:v>141.82471908370871</c:v>
                </c:pt>
                <c:pt idx="315">
                  <c:v>141.35426605873224</c:v>
                </c:pt>
                <c:pt idx="316">
                  <c:v>140.87528835921657</c:v>
                </c:pt>
                <c:pt idx="317">
                  <c:v>140.38806878460395</c:v>
                </c:pt>
                <c:pt idx="318">
                  <c:v>139.89290072249446</c:v>
                </c:pt>
                <c:pt idx="319">
                  <c:v>139.39008789887467</c:v>
                </c:pt>
                <c:pt idx="320">
                  <c:v>138.87994407241854</c:v>
                </c:pt>
                <c:pt idx="321">
                  <c:v>138.36279267249213</c:v>
                </c:pt>
                <c:pt idx="322">
                  <c:v>137.838966380995</c:v>
                </c:pt>
                <c:pt idx="323">
                  <c:v>137.30880665866863</c:v>
                </c:pt>
                <c:pt idx="324">
                  <c:v>136.77266321704366</c:v>
                </c:pt>
                <c:pt idx="325">
                  <c:v>136.23089343772799</c:v>
                </c:pt>
                <c:pt idx="326">
                  <c:v>135.68386174127437</c:v>
                </c:pt>
                <c:pt idx="327">
                  <c:v>135.13193890839739</c:v>
                </c:pt>
                <c:pt idx="328">
                  <c:v>134.57550135682558</c:v>
                </c:pt>
                <c:pt idx="329">
                  <c:v>134.0149303775602</c:v>
                </c:pt>
                <c:pt idx="330">
                  <c:v>133.45061133477603</c:v>
                </c:pt>
                <c:pt idx="331">
                  <c:v>132.88293283401222</c:v>
                </c:pt>
                <c:pt idx="332">
                  <c:v>132.31228586367436</c:v>
                </c:pt>
                <c:pt idx="333">
                  <c:v>131.73906291517943</c:v>
                </c:pt>
                <c:pt idx="334">
                  <c:v>131.16365708733912</c:v>
                </c:pt>
                <c:pt idx="335">
                  <c:v>130.58646118075694</c:v>
                </c:pt>
                <c:pt idx="336">
                  <c:v>130.00786678814646</c:v>
                </c:pt>
                <c:pt idx="337">
                  <c:v>129.42826338651852</c:v>
                </c:pt>
                <c:pt idx="338">
                  <c:v>128.84803743717103</c:v>
                </c:pt>
                <c:pt idx="339">
                  <c:v>128.26757149932325</c:v>
                </c:pt>
                <c:pt idx="340">
                  <c:v>127.68724336306865</c:v>
                </c:pt>
                <c:pt idx="341">
                  <c:v>127.10742520709798</c:v>
                </c:pt>
                <c:pt idx="342">
                  <c:v>126.5284827863486</c:v>
                </c:pt>
                <c:pt idx="343">
                  <c:v>125.95077465439817</c:v>
                </c:pt>
                <c:pt idx="344">
                  <c:v>125.37465142500875</c:v>
                </c:pt>
                <c:pt idx="345">
                  <c:v>124.80045507680589</c:v>
                </c:pt>
                <c:pt idx="346">
                  <c:v>124.22851830458636</c:v>
                </c:pt>
                <c:pt idx="347">
                  <c:v>123.65916392025484</c:v>
                </c:pt>
                <c:pt idx="348">
                  <c:v>123.0927043058653</c:v>
                </c:pt>
                <c:pt idx="349">
                  <c:v>122.52944092071733</c:v>
                </c:pt>
                <c:pt idx="350">
                  <c:v>121.9696638639153</c:v>
                </c:pt>
                <c:pt idx="351">
                  <c:v>121.41365149328585</c:v>
                </c:pt>
                <c:pt idx="352">
                  <c:v>120.8616701010194</c:v>
                </c:pt>
                <c:pt idx="353">
                  <c:v>120.31397364592435</c:v>
                </c:pt>
                <c:pt idx="354">
                  <c:v>119.77080354170019</c:v>
                </c:pt>
                <c:pt idx="355">
                  <c:v>119.2323885002131</c:v>
                </c:pt>
                <c:pt idx="356">
                  <c:v>118.69894442834868</c:v>
                </c:pt>
                <c:pt idx="357">
                  <c:v>118.17067437665273</c:v>
                </c:pt>
                <c:pt idx="358">
                  <c:v>117.64776853765989</c:v>
                </c:pt>
                <c:pt idx="359">
                  <c:v>117.13040429151975</c:v>
                </c:pt>
                <c:pt idx="360">
                  <c:v>116.61874629630069</c:v>
                </c:pt>
                <c:pt idx="361">
                  <c:v>116.11294662016587</c:v>
                </c:pt>
                <c:pt idx="362">
                  <c:v>115.61314491244811</c:v>
                </c:pt>
                <c:pt idx="363">
                  <c:v>115.1194686105664</c:v>
                </c:pt>
                <c:pt idx="364">
                  <c:v>114.63203317963561</c:v>
                </c:pt>
                <c:pt idx="365">
                  <c:v>114.15094238160468</c:v>
                </c:pt>
                <c:pt idx="366">
                  <c:v>113.67628857074627</c:v>
                </c:pt>
                <c:pt idx="367">
                  <c:v>113.20815301236647</c:v>
                </c:pt>
                <c:pt idx="368">
                  <c:v>112.74660622164997</c:v>
                </c:pt>
                <c:pt idx="369">
                  <c:v>112.29170831965256</c:v>
                </c:pt>
                <c:pt idx="370">
                  <c:v>111.84350940354669</c:v>
                </c:pt>
                <c:pt idx="371">
                  <c:v>111.40204992835804</c:v>
                </c:pt>
                <c:pt idx="372">
                  <c:v>110.96736109756182</c:v>
                </c:pt>
                <c:pt idx="373">
                  <c:v>110.53946526006217</c:v>
                </c:pt>
                <c:pt idx="374">
                  <c:v>110.11837631123105</c:v>
                </c:pt>
                <c:pt idx="375">
                  <c:v>109.70410009584748</c:v>
                </c:pt>
                <c:pt idx="376">
                  <c:v>109.29663481094845</c:v>
                </c:pt>
                <c:pt idx="377">
                  <c:v>108.89597140676547</c:v>
                </c:pt>
                <c:pt idx="378">
                  <c:v>108.5020939840921</c:v>
                </c:pt>
                <c:pt idx="379">
                  <c:v>108.11498018659172</c:v>
                </c:pt>
                <c:pt idx="380">
                  <c:v>107.73460158671516</c:v>
                </c:pt>
                <c:pt idx="381">
                  <c:v>107.36092406405436</c:v>
                </c:pt>
                <c:pt idx="382">
                  <c:v>106.99390817510726</c:v>
                </c:pt>
                <c:pt idx="383">
                  <c:v>106.63350951357103</c:v>
                </c:pt>
                <c:pt idx="384">
                  <c:v>106.27967906041843</c:v>
                </c:pt>
                <c:pt idx="385">
                  <c:v>105.93236352313502</c:v>
                </c:pt>
                <c:pt idx="386">
                  <c:v>105.59150566361501</c:v>
                </c:pt>
                <c:pt idx="387">
                  <c:v>105.25704461432322</c:v>
                </c:pt>
                <c:pt idx="388">
                  <c:v>104.92891618243061</c:v>
                </c:pt>
                <c:pt idx="389">
                  <c:v>104.60705314172567</c:v>
                </c:pt>
                <c:pt idx="390">
                  <c:v>104.29138551218513</c:v>
                </c:pt>
                <c:pt idx="391">
                  <c:v>103.98184082716254</c:v>
                </c:pt>
                <c:pt idx="392">
                  <c:v>103.67834438822774</c:v>
                </c:pt>
                <c:pt idx="393">
                  <c:v>103.380819507742</c:v>
                </c:pt>
                <c:pt idx="394">
                  <c:v>103.0891877393132</c:v>
                </c:pt>
                <c:pt idx="395">
                  <c:v>102.80336909631841</c:v>
                </c:pt>
                <c:pt idx="396">
                  <c:v>102.52328225872505</c:v>
                </c:pt>
                <c:pt idx="397">
                  <c:v>102.2488447684721</c:v>
                </c:pt>
                <c:pt idx="398">
                  <c:v>101.97997321370504</c:v>
                </c:pt>
                <c:pt idx="399">
                  <c:v>101.71658340218038</c:v>
                </c:pt>
                <c:pt idx="400">
                  <c:v>101.45859052417559</c:v>
                </c:pt>
                <c:pt idx="401">
                  <c:v>101.20590930525631</c:v>
                </c:pt>
                <c:pt idx="402">
                  <c:v>100.95845414926156</c:v>
                </c:pt>
                <c:pt idx="403">
                  <c:v>100.7161392718786</c:v>
                </c:pt>
                <c:pt idx="404">
                  <c:v>100.47887882518245</c:v>
                </c:pt>
                <c:pt idx="405">
                  <c:v>100.24658701351761</c:v>
                </c:pt>
                <c:pt idx="406">
                  <c:v>100.01917820109877</c:v>
                </c:pt>
                <c:pt idx="407">
                  <c:v>99.79656701170785</c:v>
                </c:pt>
                <c:pt idx="408">
                  <c:v>99.57866842085501</c:v>
                </c:pt>
                <c:pt idx="409">
                  <c:v>99.365397840772985</c:v>
                </c:pt>
                <c:pt idx="410">
                  <c:v>99.156671198601074</c:v>
                </c:pt>
                <c:pt idx="411">
                  <c:v>98.95240500810948</c:v>
                </c:pt>
                <c:pt idx="412">
                  <c:v>98.752516435306873</c:v>
                </c:pt>
                <c:pt idx="413">
                  <c:v>98.556923358261315</c:v>
                </c:pt>
                <c:pt idx="414">
                  <c:v>98.365544421457528</c:v>
                </c:pt>
                <c:pt idx="415">
                  <c:v>98.178299085000418</c:v>
                </c:pt>
                <c:pt idx="416">
                  <c:v>97.99510766896428</c:v>
                </c:pt>
                <c:pt idx="417">
                  <c:v>97.815891393175761</c:v>
                </c:pt>
                <c:pt idx="418">
                  <c:v>97.640572412708366</c:v>
                </c:pt>
                <c:pt idx="419">
                  <c:v>97.469073849352142</c:v>
                </c:pt>
                <c:pt idx="420">
                  <c:v>97.301319819313164</c:v>
                </c:pt>
                <c:pt idx="421">
                  <c:v>97.137235457384037</c:v>
                </c:pt>
                <c:pt idx="422">
                  <c:v>96.97674693781822</c:v>
                </c:pt>
                <c:pt idx="423">
                  <c:v>96.819781492125315</c:v>
                </c:pt>
                <c:pt idx="424">
                  <c:v>96.666267423999287</c:v>
                </c:pt>
                <c:pt idx="425">
                  <c:v>96.516134121575817</c:v>
                </c:pt>
                <c:pt idx="426">
                  <c:v>96.369312067207971</c:v>
                </c:pt>
                <c:pt idx="427">
                  <c:v>96.225732844938861</c:v>
                </c:pt>
                <c:pt idx="428">
                  <c:v>96.085329145839211</c:v>
                </c:pt>
                <c:pt idx="429">
                  <c:v>95.948034771368881</c:v>
                </c:pt>
                <c:pt idx="430">
                  <c:v>95.8137846349142</c:v>
                </c:pt>
                <c:pt idx="431">
                  <c:v>95.68251476164113</c:v>
                </c:pt>
                <c:pt idx="432">
                  <c:v>95.554162286799311</c:v>
                </c:pt>
                <c:pt idx="433">
                  <c:v>95.428665452601678</c:v>
                </c:pt>
                <c:pt idx="434">
                  <c:v>95.30596360379846</c:v>
                </c:pt>
                <c:pt idx="435">
                  <c:v>95.185997182056113</c:v>
                </c:pt>
                <c:pt idx="436">
                  <c:v>95.068707719245481</c:v>
                </c:pt>
                <c:pt idx="437">
                  <c:v>94.954037829737288</c:v>
                </c:pt>
                <c:pt idx="438">
                  <c:v>94.841931201794907</c:v>
                </c:pt>
                <c:pt idx="439">
                  <c:v>94.732332588152019</c:v>
                </c:pt>
                <c:pt idx="440">
                  <c:v>94.625187795853606</c:v>
                </c:pt>
                <c:pt idx="441">
                  <c:v>94.520443675435303</c:v>
                </c:pt>
                <c:pt idx="442">
                  <c:v>94.418048109511361</c:v>
                </c:pt>
                <c:pt idx="443">
                  <c:v>94.317950000835708</c:v>
                </c:pt>
                <c:pt idx="444">
                  <c:v>94.220099259896557</c:v>
                </c:pt>
                <c:pt idx="445">
                  <c:v>94.124446792101452</c:v>
                </c:pt>
                <c:pt idx="446">
                  <c:v>94.030944484604717</c:v>
                </c:pt>
                <c:pt idx="447">
                  <c:v>93.939545192825832</c:v>
                </c:pt>
                <c:pt idx="448">
                  <c:v>93.850202726704453</c:v>
                </c:pt>
                <c:pt idx="449">
                  <c:v>93.762871836733169</c:v>
                </c:pt>
                <c:pt idx="450">
                  <c:v>93.677508199807306</c:v>
                </c:pt>
                <c:pt idx="451">
                  <c:v>93.594068404927242</c:v>
                </c:pt>
                <c:pt idx="452">
                  <c:v>93.51250993878665</c:v>
                </c:pt>
                <c:pt idx="453">
                  <c:v>93.432791171276619</c:v>
                </c:pt>
                <c:pt idx="454">
                  <c:v>93.354871340934451</c:v>
                </c:pt>
                <c:pt idx="455">
                  <c:v>93.278710540362383</c:v>
                </c:pt>
                <c:pt idx="456">
                  <c:v>93.20426970164047</c:v>
                </c:pt>
                <c:pt idx="457">
                  <c:v>93.131510581754938</c:v>
                </c:pt>
                <c:pt idx="458">
                  <c:v>93.060395748062533</c:v>
                </c:pt>
                <c:pt idx="459">
                  <c:v>92.990888563808241</c:v>
                </c:pt>
                <c:pt idx="460">
                  <c:v>92.922953173713978</c:v>
                </c:pt>
                <c:pt idx="461">
                  <c:v>92.85655448965268</c:v>
                </c:pt>
                <c:pt idx="462">
                  <c:v>92.79165817642145</c:v>
                </c:pt>
                <c:pt idx="463">
                  <c:v>92.728230637626808</c:v>
                </c:pt>
                <c:pt idx="464">
                  <c:v>92.666239001692659</c:v>
                </c:pt>
                <c:pt idx="465">
                  <c:v>92.605651108001339</c:v>
                </c:pt>
                <c:pt idx="466">
                  <c:v>92.546435493176361</c:v>
                </c:pt>
                <c:pt idx="467">
                  <c:v>92.488561377515751</c:v>
                </c:pt>
                <c:pt idx="468">
                  <c:v>92.431998651582077</c:v>
                </c:pt>
                <c:pt idx="469">
                  <c:v>92.376717862956312</c:v>
                </c:pt>
                <c:pt idx="470">
                  <c:v>92.322690203160732</c:v>
                </c:pt>
                <c:pt idx="471">
                  <c:v>92.269887494755309</c:v>
                </c:pt>
                <c:pt idx="472">
                  <c:v>92.218282178612554</c:v>
                </c:pt>
                <c:pt idx="473">
                  <c:v>92.167847301373584</c:v>
                </c:pt>
                <c:pt idx="474">
                  <c:v>92.118556503088769</c:v>
                </c:pt>
                <c:pt idx="475">
                  <c:v>92.07038400504517</c:v>
                </c:pt>
                <c:pt idx="476">
                  <c:v>92.023304597782982</c:v>
                </c:pt>
                <c:pt idx="477">
                  <c:v>91.977293629302082</c:v>
                </c:pt>
                <c:pt idx="478">
                  <c:v>91.932326993460208</c:v>
                </c:pt>
                <c:pt idx="479">
                  <c:v>91.888381118563217</c:v>
                </c:pt>
                <c:pt idx="480">
                  <c:v>91.845432956147704</c:v>
                </c:pt>
                <c:pt idx="481">
                  <c:v>91.803459969956293</c:v>
                </c:pt>
                <c:pt idx="482">
                  <c:v>91.762440125105243</c:v>
                </c:pt>
                <c:pt idx="483">
                  <c:v>91.722351877443671</c:v>
                </c:pt>
                <c:pt idx="484">
                  <c:v>91.683174163103999</c:v>
                </c:pt>
                <c:pt idx="485">
                  <c:v>91.644886388242355</c:v>
                </c:pt>
                <c:pt idx="486">
                  <c:v>91.607468418967912</c:v>
                </c:pt>
                <c:pt idx="487">
                  <c:v>91.570900571459688</c:v>
                </c:pt>
                <c:pt idx="488">
                  <c:v>91.53516360226952</c:v>
                </c:pt>
                <c:pt idx="489">
                  <c:v>91.500238698809284</c:v>
                </c:pt>
                <c:pt idx="490">
                  <c:v>91.466107470020745</c:v>
                </c:pt>
                <c:pt idx="491">
                  <c:v>91.432751937226044</c:v>
                </c:pt>
                <c:pt idx="492">
                  <c:v>91.400154525156978</c:v>
                </c:pt>
                <c:pt idx="493">
                  <c:v>91.36829805316053</c:v>
                </c:pt>
                <c:pt idx="494">
                  <c:v>91.337165726579201</c:v>
                </c:pt>
                <c:pt idx="495">
                  <c:v>91.306741128302988</c:v>
                </c:pt>
                <c:pt idx="496">
                  <c:v>91.277008210491488</c:v>
                </c:pt>
                <c:pt idx="497">
                  <c:v>91.247951286463334</c:v>
                </c:pt>
                <c:pt idx="498">
                  <c:v>91.219555022750484</c:v>
                </c:pt>
                <c:pt idx="499">
                  <c:v>91.191804431315205</c:v>
                </c:pt>
                <c:pt idx="500">
                  <c:v>91.164684861927171</c:v>
                </c:pt>
                <c:pt idx="501">
                  <c:v>91.138181994697945</c:v>
                </c:pt>
                <c:pt idx="502">
                  <c:v>91.112281832770535</c:v>
                </c:pt>
                <c:pt idx="503">
                  <c:v>91.08697069516154</c:v>
                </c:pt>
                <c:pt idx="504">
                  <c:v>91.06223520975314</c:v>
                </c:pt>
                <c:pt idx="505">
                  <c:v>91.038062306432565</c:v>
                </c:pt>
                <c:pt idx="506">
                  <c:v>91.014439210376253</c:v>
                </c:pt>
                <c:pt idx="507">
                  <c:v>90.991353435476512</c:v>
                </c:pt>
                <c:pt idx="508">
                  <c:v>90.968792777907709</c:v>
                </c:pt>
                <c:pt idx="509">
                  <c:v>90.946745309829964</c:v>
                </c:pt>
                <c:pt idx="510">
                  <c:v>90.925199373227386</c:v>
                </c:pt>
                <c:pt idx="511">
                  <c:v>90.9041435738785</c:v>
                </c:pt>
                <c:pt idx="512">
                  <c:v>90.883566775456671</c:v>
                </c:pt>
                <c:pt idx="513">
                  <c:v>90.863458093757586</c:v>
                </c:pt>
                <c:pt idx="514">
                  <c:v>90.843806891051656</c:v>
                </c:pt>
                <c:pt idx="515">
                  <c:v>90.824602770558982</c:v>
                </c:pt>
                <c:pt idx="516">
                  <c:v>90.805835571044383</c:v>
                </c:pt>
                <c:pt idx="517">
                  <c:v>90.787495361529935</c:v>
                </c:pt>
                <c:pt idx="518">
                  <c:v>90.769572436123241</c:v>
                </c:pt>
                <c:pt idx="519">
                  <c:v>90.752057308958527</c:v>
                </c:pt>
                <c:pt idx="520">
                  <c:v>90.734940709248733</c:v>
                </c:pt>
                <c:pt idx="521">
                  <c:v>90.718213576446104</c:v>
                </c:pt>
                <c:pt idx="522">
                  <c:v>90.70186705550924</c:v>
                </c:pt>
                <c:pt idx="523">
                  <c:v>90.685892492274405</c:v>
                </c:pt>
                <c:pt idx="524">
                  <c:v>90.670281428928803</c:v>
                </c:pt>
                <c:pt idx="525">
                  <c:v>90.655025599583865</c:v>
                </c:pt>
                <c:pt idx="526">
                  <c:v>90.6401169259466</c:v>
                </c:pt>
                <c:pt idx="527">
                  <c:v>90.625547513086602</c:v>
                </c:pt>
                <c:pt idx="528">
                  <c:v>90.611309645297027</c:v>
                </c:pt>
                <c:pt idx="529">
                  <c:v>90.597395782047499</c:v>
                </c:pt>
                <c:pt idx="530">
                  <c:v>90.583798554026885</c:v>
                </c:pt>
                <c:pt idx="531">
                  <c:v>90.570510759274185</c:v>
                </c:pt>
                <c:pt idx="532">
                  <c:v>90.557525359395569</c:v>
                </c:pt>
                <c:pt idx="533">
                  <c:v>90.544835475865838</c:v>
                </c:pt>
                <c:pt idx="534">
                  <c:v>90.532434386412291</c:v>
                </c:pt>
                <c:pt idx="535">
                  <c:v>90.520315521479532</c:v>
                </c:pt>
                <c:pt idx="536">
                  <c:v>90.508472460773191</c:v>
                </c:pt>
                <c:pt idx="537">
                  <c:v>90.496898929881098</c:v>
                </c:pt>
                <c:pt idx="538">
                  <c:v>90.485588796969893</c:v>
                </c:pt>
                <c:pt idx="539">
                  <c:v>90.474536069556038</c:v>
                </c:pt>
                <c:pt idx="540">
                  <c:v>90.463734891348906</c:v>
                </c:pt>
                <c:pt idx="541">
                  <c:v>90.453179539164807</c:v>
                </c:pt>
              </c:numCache>
            </c:numRef>
          </c:yVal>
          <c:smooth val="1"/>
          <c:extLst>
            <c:ext xmlns:c16="http://schemas.microsoft.com/office/drawing/2014/chart" uri="{C3380CC4-5D6E-409C-BE32-E72D297353CC}">
              <c16:uniqueId val="{00000001-C95D-4273-8D1D-E8C586949522}"/>
            </c:ext>
          </c:extLst>
        </c:ser>
        <c:dLbls>
          <c:showLegendKey val="0"/>
          <c:showVal val="0"/>
          <c:showCatName val="0"/>
          <c:showSerName val="0"/>
          <c:showPercent val="0"/>
          <c:showBubbleSize val="0"/>
        </c:dLbls>
        <c:axId val="160545024"/>
        <c:axId val="160543488"/>
      </c:scatterChart>
      <c:valAx>
        <c:axId val="160531200"/>
        <c:scaling>
          <c:logBase val="10"/>
          <c:orientation val="minMax"/>
          <c:max val="2200000"/>
          <c:min val="10"/>
        </c:scaling>
        <c:delete val="0"/>
        <c:axPos val="b"/>
        <c:minorGridlines/>
        <c:title>
          <c:tx>
            <c:rich>
              <a:bodyPr/>
              <a:lstStyle/>
              <a:p>
                <a:pPr>
                  <a:defRPr/>
                </a:pPr>
                <a:r>
                  <a:rPr lang="en-US"/>
                  <a:t>Frequency</a:t>
                </a:r>
                <a:r>
                  <a:rPr lang="en-US" baseline="0"/>
                  <a:t> (Hz)</a:t>
                </a:r>
                <a:endParaRPr lang="en-US"/>
              </a:p>
            </c:rich>
          </c:tx>
          <c:overlay val="0"/>
        </c:title>
        <c:numFmt formatCode="0" sourceLinked="0"/>
        <c:majorTickMark val="out"/>
        <c:minorTickMark val="none"/>
        <c:tickLblPos val="low"/>
        <c:crossAx val="160533120"/>
        <c:crosses val="autoZero"/>
        <c:crossBetween val="midCat"/>
      </c:valAx>
      <c:valAx>
        <c:axId val="160533120"/>
        <c:scaling>
          <c:orientation val="minMax"/>
          <c:max val="40"/>
          <c:min val="-40"/>
        </c:scaling>
        <c:delete val="0"/>
        <c:axPos val="l"/>
        <c:majorGridlines/>
        <c:minorGridlines/>
        <c:title>
          <c:tx>
            <c:rich>
              <a:bodyPr rot="-5400000" vert="horz"/>
              <a:lstStyle/>
              <a:p>
                <a:pPr>
                  <a:defRPr/>
                </a:pPr>
                <a:r>
                  <a:rPr lang="en-US"/>
                  <a:t>Gain</a:t>
                </a:r>
                <a:r>
                  <a:rPr lang="en-US" baseline="0"/>
                  <a:t> (dB)</a:t>
                </a:r>
                <a:endParaRPr lang="en-US"/>
              </a:p>
            </c:rich>
          </c:tx>
          <c:overlay val="0"/>
        </c:title>
        <c:numFmt formatCode="General" sourceLinked="0"/>
        <c:majorTickMark val="out"/>
        <c:minorTickMark val="none"/>
        <c:tickLblPos val="nextTo"/>
        <c:crossAx val="160531200"/>
        <c:crosses val="autoZero"/>
        <c:crossBetween val="midCat"/>
        <c:majorUnit val="20"/>
        <c:minorUnit val="10"/>
      </c:valAx>
      <c:valAx>
        <c:axId val="160543488"/>
        <c:scaling>
          <c:orientation val="minMax"/>
          <c:max val="180"/>
          <c:min val="-180"/>
        </c:scaling>
        <c:delete val="0"/>
        <c:axPos val="r"/>
        <c:numFmt formatCode="General" sourceLinked="1"/>
        <c:majorTickMark val="out"/>
        <c:minorTickMark val="none"/>
        <c:tickLblPos val="nextTo"/>
        <c:crossAx val="160545024"/>
        <c:crosses val="max"/>
        <c:crossBetween val="midCat"/>
        <c:majorUnit val="90"/>
        <c:minorUnit val="45"/>
      </c:valAx>
      <c:valAx>
        <c:axId val="160545024"/>
        <c:scaling>
          <c:logBase val="10"/>
          <c:orientation val="minMax"/>
        </c:scaling>
        <c:delete val="1"/>
        <c:axPos val="b"/>
        <c:numFmt formatCode="0.00" sourceLinked="1"/>
        <c:majorTickMark val="out"/>
        <c:minorTickMark val="none"/>
        <c:tickLblPos val="nextTo"/>
        <c:crossAx val="160543488"/>
        <c:crosses val="autoZero"/>
        <c:crossBetween val="midCat"/>
      </c:valAx>
    </c:plotArea>
    <c:legend>
      <c:legendPos val="r"/>
      <c:layout>
        <c:manualLayout>
          <c:xMode val="edge"/>
          <c:yMode val="edge"/>
          <c:x val="0.79880558209512509"/>
          <c:y val="0.14321997959862004"/>
          <c:w val="0.13485048155591431"/>
          <c:h val="0.10528624969913696"/>
        </c:manualLayout>
      </c:layout>
      <c:overlay val="1"/>
      <c:spPr>
        <a:solidFill>
          <a:schemeClr val="bg1"/>
        </a:solidFill>
      </c:spPr>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baseline="0"/>
              <a:t>Control Loop Transfer Function</a:t>
            </a:r>
          </a:p>
        </c:rich>
      </c:tx>
      <c:overlay val="0"/>
    </c:title>
    <c:autoTitleDeleted val="0"/>
    <c:plotArea>
      <c:layout/>
      <c:scatterChart>
        <c:scatterStyle val="smoothMarker"/>
        <c:varyColors val="0"/>
        <c:ser>
          <c:idx val="0"/>
          <c:order val="0"/>
          <c:tx>
            <c:v>Gain (dB)</c:v>
          </c:tx>
          <c:spPr>
            <a:ln w="38100">
              <a:solidFill>
                <a:srgbClr val="FF0000"/>
              </a:solidFill>
            </a:ln>
          </c:spPr>
          <c:marker>
            <c:symbol val="none"/>
          </c:marker>
          <c:xVal>
            <c:numRef>
              <c:f>Loop_Modeling!$O$19:$O$560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Loop_Modeling!$AT$19:$AT$560</c:f>
              <c:numCache>
                <c:formatCode>0.000</c:formatCode>
                <c:ptCount val="542"/>
                <c:pt idx="0">
                  <c:v>59.759386011598686</c:v>
                </c:pt>
                <c:pt idx="1">
                  <c:v>59.559313401627641</c:v>
                </c:pt>
                <c:pt idx="2">
                  <c:v>59.35923737133615</c:v>
                </c:pt>
                <c:pt idx="3">
                  <c:v>59.159157759691681</c:v>
                </c:pt>
                <c:pt idx="4">
                  <c:v>58.959074398088219</c:v>
                </c:pt>
                <c:pt idx="5">
                  <c:v>58.758987109990521</c:v>
                </c:pt>
                <c:pt idx="6">
                  <c:v>58.558895710562396</c:v>
                </c:pt>
                <c:pt idx="7">
                  <c:v>58.358800006277306</c:v>
                </c:pt>
                <c:pt idx="8">
                  <c:v>58.158699794510504</c:v>
                </c:pt>
                <c:pt idx="9">
                  <c:v>57.958594863112729</c:v>
                </c:pt>
                <c:pt idx="10">
                  <c:v>57.758484989963577</c:v>
                </c:pt>
                <c:pt idx="11">
                  <c:v>57.5583699425041</c:v>
                </c:pt>
                <c:pt idx="12">
                  <c:v>57.358249477247981</c:v>
                </c:pt>
                <c:pt idx="13">
                  <c:v>57.158123339269466</c:v>
                </c:pt>
                <c:pt idx="14">
                  <c:v>56.957991261667715</c:v>
                </c:pt>
                <c:pt idx="15">
                  <c:v>56.757852965006357</c:v>
                </c:pt>
                <c:pt idx="16">
                  <c:v>56.557708156726605</c:v>
                </c:pt>
                <c:pt idx="17">
                  <c:v>56.357556530533593</c:v>
                </c:pt>
                <c:pt idx="18">
                  <c:v>56.15739776575392</c:v>
                </c:pt>
                <c:pt idx="19">
                  <c:v>55.957231526663335</c:v>
                </c:pt>
                <c:pt idx="20">
                  <c:v>55.757057461783717</c:v>
                </c:pt>
                <c:pt idx="21">
                  <c:v>55.556875203146703</c:v>
                </c:pt>
                <c:pt idx="22">
                  <c:v>55.356684365524067</c:v>
                </c:pt>
                <c:pt idx="23">
                  <c:v>55.156484545622206</c:v>
                </c:pt>
                <c:pt idx="24">
                  <c:v>54.956275321238948</c:v>
                </c:pt>
                <c:pt idx="25">
                  <c:v>54.756056250382549</c:v>
                </c:pt>
                <c:pt idx="26">
                  <c:v>54.555826870348767</c:v>
                </c:pt>
                <c:pt idx="27">
                  <c:v>54.355586696756511</c:v>
                </c:pt>
                <c:pt idx="28">
                  <c:v>54.155335222538326</c:v>
                </c:pt>
                <c:pt idx="29">
                  <c:v>53.955071916885416</c:v>
                </c:pt>
                <c:pt idx="30">
                  <c:v>53.754796224143163</c:v>
                </c:pt>
                <c:pt idx="31">
                  <c:v>53.554507562656894</c:v>
                </c:pt>
                <c:pt idx="32">
                  <c:v>53.354205323564585</c:v>
                </c:pt>
                <c:pt idx="33">
                  <c:v>53.153888869533894</c:v>
                </c:pt>
                <c:pt idx="34">
                  <c:v>52.953557533442641</c:v>
                </c:pt>
                <c:pt idx="35">
                  <c:v>52.753210616997876</c:v>
                </c:pt>
                <c:pt idx="36">
                  <c:v>52.552847389293127</c:v>
                </c:pt>
                <c:pt idx="37">
                  <c:v>52.352467085299836</c:v>
                </c:pt>
                <c:pt idx="38">
                  <c:v>52.152068904290218</c:v>
                </c:pt>
                <c:pt idx="39">
                  <c:v>51.951652008188873</c:v>
                </c:pt>
                <c:pt idx="40">
                  <c:v>51.751215519850319</c:v>
                </c:pt>
                <c:pt idx="41">
                  <c:v>51.550758521258196</c:v>
                </c:pt>
                <c:pt idx="42">
                  <c:v>51.350280051644489</c:v>
                </c:pt>
                <c:pt idx="43">
                  <c:v>51.149779105523336</c:v>
                </c:pt>
                <c:pt idx="44">
                  <c:v>50.949254630637981</c:v>
                </c:pt>
                <c:pt idx="45">
                  <c:v>50.74870552581487</c:v>
                </c:pt>
                <c:pt idx="46">
                  <c:v>50.548130638723507</c:v>
                </c:pt>
                <c:pt idx="47">
                  <c:v>50.347528763536047</c:v>
                </c:pt>
                <c:pt idx="48">
                  <c:v>50.146898638483549</c:v>
                </c:pt>
                <c:pt idx="49">
                  <c:v>49.946238943304849</c:v>
                </c:pt>
                <c:pt idx="50">
                  <c:v>49.745548296582207</c:v>
                </c:pt>
                <c:pt idx="51">
                  <c:v>49.544825252962099</c:v>
                </c:pt>
                <c:pt idx="52">
                  <c:v>49.344068300252545</c:v>
                </c:pt>
                <c:pt idx="53">
                  <c:v>49.143275856396109</c:v>
                </c:pt>
                <c:pt idx="54">
                  <c:v>48.942446266310512</c:v>
                </c:pt>
                <c:pt idx="55">
                  <c:v>48.741577798593909</c:v>
                </c:pt>
                <c:pt idx="56">
                  <c:v>48.540668642088349</c:v>
                </c:pt>
                <c:pt idx="57">
                  <c:v>48.339716902296857</c:v>
                </c:pt>
                <c:pt idx="58">
                  <c:v>48.138720597647769</c:v>
                </c:pt>
                <c:pt idx="59">
                  <c:v>47.937677655601433</c:v>
                </c:pt>
                <c:pt idx="60">
                  <c:v>47.736585908593803</c:v>
                </c:pt>
                <c:pt idx="61">
                  <c:v>47.535443089809647</c:v>
                </c:pt>
                <c:pt idx="62">
                  <c:v>47.334246828781346</c:v>
                </c:pt>
                <c:pt idx="63">
                  <c:v>47.132994646805571</c:v>
                </c:pt>
                <c:pt idx="64">
                  <c:v>46.931683952172605</c:v>
                </c:pt>
                <c:pt idx="65">
                  <c:v>46.73031203520199</c:v>
                </c:pt>
                <c:pt idx="66">
                  <c:v>46.52887606307786</c:v>
                </c:pt>
                <c:pt idx="67">
                  <c:v>46.327373074478551</c:v>
                </c:pt>
                <c:pt idx="68">
                  <c:v>46.125799973992969</c:v>
                </c:pt>
                <c:pt idx="69">
                  <c:v>45.924153526318186</c:v>
                </c:pt>
                <c:pt idx="70">
                  <c:v>45.722430350232131</c:v>
                </c:pt>
                <c:pt idx="71">
                  <c:v>45.520626912335018</c:v>
                </c:pt>
                <c:pt idx="72">
                  <c:v>45.318739520552747</c:v>
                </c:pt>
                <c:pt idx="73">
                  <c:v>45.116764317397809</c:v>
                </c:pt>
                <c:pt idx="74">
                  <c:v>44.914697272980405</c:v>
                </c:pt>
                <c:pt idx="75">
                  <c:v>44.712534177765434</c:v>
                </c:pt>
                <c:pt idx="76">
                  <c:v>44.510270635069091</c:v>
                </c:pt>
                <c:pt idx="77">
                  <c:v>44.307902053291429</c:v>
                </c:pt>
                <c:pt idx="78">
                  <c:v>44.10542363787907</c:v>
                </c:pt>
                <c:pt idx="79">
                  <c:v>43.902830383015008</c:v>
                </c:pt>
                <c:pt idx="80">
                  <c:v>43.700117063031286</c:v>
                </c:pt>
                <c:pt idx="81">
                  <c:v>43.49727822354307</c:v>
                </c:pt>
                <c:pt idx="82">
                  <c:v>43.294308172299637</c:v>
                </c:pt>
                <c:pt idx="83">
                  <c:v>43.091200969754226</c:v>
                </c:pt>
                <c:pt idx="84">
                  <c:v>42.887950419349025</c:v>
                </c:pt>
                <c:pt idx="85">
                  <c:v>42.684550057518891</c:v>
                </c:pt>
                <c:pt idx="86">
                  <c:v>42.480993143413784</c:v>
                </c:pt>
                <c:pt idx="87">
                  <c:v>42.277272648344749</c:v>
                </c:pt>
                <c:pt idx="88">
                  <c:v>42.073381244956224</c:v>
                </c:pt>
                <c:pt idx="89">
                  <c:v>41.869311296133318</c:v>
                </c:pt>
                <c:pt idx="90">
                  <c:v>41.665054843650168</c:v>
                </c:pt>
                <c:pt idx="91">
                  <c:v>41.460603596571836</c:v>
                </c:pt>
                <c:pt idx="92">
                  <c:v>41.255948919418813</c:v>
                </c:pt>
                <c:pt idx="93">
                  <c:v>41.051081820113282</c:v>
                </c:pt>
                <c:pt idx="94">
                  <c:v>40.845992937720361</c:v>
                </c:pt>
                <c:pt idx="95">
                  <c:v>40.640672530007706</c:v>
                </c:pt>
                <c:pt idx="96">
                  <c:v>40.435110460845401</c:v>
                </c:pt>
                <c:pt idx="97">
                  <c:v>40.229296187473366</c:v>
                </c:pt>
                <c:pt idx="98">
                  <c:v>40.023218747666583</c:v>
                </c:pt>
                <c:pt idx="99">
                  <c:v>39.816866746833306</c:v>
                </c:pt>
                <c:pt idx="100">
                  <c:v>39.610228345084188</c:v>
                </c:pt>
                <c:pt idx="101">
                  <c:v>39.403291244316101</c:v>
                </c:pt>
                <c:pt idx="102">
                  <c:v>39.196042675358669</c:v>
                </c:pt>
                <c:pt idx="103">
                  <c:v>38.988469385237075</c:v>
                </c:pt>
                <c:pt idx="104">
                  <c:v>38.780557624610168</c:v>
                </c:pt>
                <c:pt idx="105">
                  <c:v>38.572293135448248</c:v>
                </c:pt>
                <c:pt idx="106">
                  <c:v>38.363661139022959</c:v>
                </c:pt>
                <c:pt idx="107">
                  <c:v>38.154646324285267</c:v>
                </c:pt>
                <c:pt idx="108">
                  <c:v>37.945232836717075</c:v>
                </c:pt>
                <c:pt idx="109">
                  <c:v>37.735404267748592</c:v>
                </c:pt>
                <c:pt idx="110">
                  <c:v>37.525143644839297</c:v>
                </c:pt>
                <c:pt idx="111">
                  <c:v>37.314433422331142</c:v>
                </c:pt>
                <c:pt idx="112">
                  <c:v>37.103255473188071</c:v>
                </c:pt>
                <c:pt idx="113">
                  <c:v>36.891591081744266</c:v>
                </c:pt>
                <c:pt idx="114">
                  <c:v>36.67942093759499</c:v>
                </c:pt>
                <c:pt idx="115">
                  <c:v>36.466725130767287</c:v>
                </c:pt>
                <c:pt idx="116">
                  <c:v>36.253483148320235</c:v>
                </c:pt>
                <c:pt idx="117">
                  <c:v>36.039673872532099</c:v>
                </c:pt>
                <c:pt idx="118">
                  <c:v>35.82527558083769</c:v>
                </c:pt>
                <c:pt idx="119">
                  <c:v>35.610265947690607</c:v>
                </c:pt>
                <c:pt idx="120">
                  <c:v>35.394622048530088</c:v>
                </c:pt>
                <c:pt idx="121">
                  <c:v>35.178320366040701</c:v>
                </c:pt>
                <c:pt idx="122">
                  <c:v>34.96133679889914</c:v>
                </c:pt>
                <c:pt idx="123">
                  <c:v>34.743646673208382</c:v>
                </c:pt>
                <c:pt idx="124">
                  <c:v>34.525224756823889</c:v>
                </c:pt>
                <c:pt idx="125">
                  <c:v>34.306045276780651</c:v>
                </c:pt>
                <c:pt idx="126">
                  <c:v>34.086081940032713</c:v>
                </c:pt>
                <c:pt idx="127">
                  <c:v>33.865307957715217</c:v>
                </c:pt>
                <c:pt idx="128">
                  <c:v>33.643696073141967</c:v>
                </c:pt>
                <c:pt idx="129">
                  <c:v>33.421218593745344</c:v>
                </c:pt>
                <c:pt idx="130">
                  <c:v>33.197847427161648</c:v>
                </c:pt>
                <c:pt idx="131">
                  <c:v>32.973554121657969</c:v>
                </c:pt>
                <c:pt idx="132">
                  <c:v>32.748309911085293</c:v>
                </c:pt>
                <c:pt idx="133">
                  <c:v>32.522085764531397</c:v>
                </c:pt>
                <c:pt idx="134">
                  <c:v>32.294852440829445</c:v>
                </c:pt>
                <c:pt idx="135">
                  <c:v>32.06658054805974</c:v>
                </c:pt>
                <c:pt idx="136">
                  <c:v>31.837240608160315</c:v>
                </c:pt>
                <c:pt idx="137">
                  <c:v>31.606803126733787</c:v>
                </c:pt>
                <c:pt idx="138">
                  <c:v>31.375238668111834</c:v>
                </c:pt>
                <c:pt idx="139">
                  <c:v>31.142517935700319</c:v>
                </c:pt>
                <c:pt idx="140">
                  <c:v>30.908611857596856</c:v>
                </c:pt>
                <c:pt idx="141">
                  <c:v>30.673491677426131</c:v>
                </c:pt>
                <c:pt idx="142">
                  <c:v>30.437129050300111</c:v>
                </c:pt>
                <c:pt idx="143">
                  <c:v>30.199496143757678</c:v>
                </c:pt>
                <c:pt idx="144">
                  <c:v>29.960565743491024</c:v>
                </c:pt>
                <c:pt idx="145">
                  <c:v>29.720311363613199</c:v>
                </c:pt>
                <c:pt idx="146">
                  <c:v>29.478707361163075</c:v>
                </c:pt>
                <c:pt idx="147">
                  <c:v>29.235729054491571</c:v>
                </c:pt>
                <c:pt idx="148">
                  <c:v>28.991352845109883</c:v>
                </c:pt>
                <c:pt idx="149">
                  <c:v>28.745556342526587</c:v>
                </c:pt>
                <c:pt idx="150">
                  <c:v>28.498318491538321</c:v>
                </c:pt>
                <c:pt idx="151">
                  <c:v>28.249619701384848</c:v>
                </c:pt>
                <c:pt idx="152">
                  <c:v>27.999441976121528</c:v>
                </c:pt>
                <c:pt idx="153">
                  <c:v>27.747769045511603</c:v>
                </c:pt>
                <c:pt idx="154">
                  <c:v>27.494586495691237</c:v>
                </c:pt>
                <c:pt idx="155">
                  <c:v>27.239881898816797</c:v>
                </c:pt>
                <c:pt idx="156">
                  <c:v>26.983644940865034</c:v>
                </c:pt>
                <c:pt idx="157">
                  <c:v>26.725867546725492</c:v>
                </c:pt>
                <c:pt idx="158">
                  <c:v>26.466544001700743</c:v>
                </c:pt>
                <c:pt idx="159">
                  <c:v>26.20567106851016</c:v>
                </c:pt>
                <c:pt idx="160">
                  <c:v>25.943248098890521</c:v>
                </c:pt>
                <c:pt idx="161">
                  <c:v>25.67927713888237</c:v>
                </c:pt>
                <c:pt idx="162">
                  <c:v>25.413763026905567</c:v>
                </c:pt>
                <c:pt idx="163">
                  <c:v>25.146713483747689</c:v>
                </c:pt>
                <c:pt idx="164">
                  <c:v>24.878139193616143</c:v>
                </c:pt>
                <c:pt idx="165">
                  <c:v>24.608053875449073</c:v>
                </c:pt>
                <c:pt idx="166">
                  <c:v>24.336474343727478</c:v>
                </c:pt>
                <c:pt idx="167">
                  <c:v>24.063420558087124</c:v>
                </c:pt>
                <c:pt idx="168">
                  <c:v>23.788915661100059</c:v>
                </c:pt>
                <c:pt idx="169">
                  <c:v>23.512986003664487</c:v>
                </c:pt>
                <c:pt idx="170">
                  <c:v>23.235661157526234</c:v>
                </c:pt>
                <c:pt idx="171">
                  <c:v>22.956973914537148</c:v>
                </c:pt>
                <c:pt idx="172">
                  <c:v>22.676960272349515</c:v>
                </c:pt>
                <c:pt idx="173">
                  <c:v>22.395659406337</c:v>
                </c:pt>
                <c:pt idx="174">
                  <c:v>22.113113627628493</c:v>
                </c:pt>
                <c:pt idx="175">
                  <c:v>21.829368327236285</c:v>
                </c:pt>
                <c:pt idx="176">
                  <c:v>21.54447190635905</c:v>
                </c:pt>
                <c:pt idx="177">
                  <c:v>21.258475693029947</c:v>
                </c:pt>
                <c:pt idx="178">
                  <c:v>20.971433845374197</c:v>
                </c:pt>
                <c:pt idx="179">
                  <c:v>20.683403241828593</c:v>
                </c:pt>
                <c:pt idx="180">
                  <c:v>20.394443358758476</c:v>
                </c:pt>
                <c:pt idx="181">
                  <c:v>20.104616135985797</c:v>
                </c:pt>
                <c:pt idx="182">
                  <c:v>19.813985830816662</c:v>
                </c:pt>
                <c:pt idx="183">
                  <c:v>19.522618861223048</c:v>
                </c:pt>
                <c:pt idx="184">
                  <c:v>19.230583638895617</c:v>
                </c:pt>
                <c:pt idx="185">
                  <c:v>18.937950392936944</c:v>
                </c:pt>
                <c:pt idx="186">
                  <c:v>18.644790985018094</c:v>
                </c:pt>
                <c:pt idx="187">
                  <c:v>18.351178716859643</c:v>
                </c:pt>
                <c:pt idx="188">
                  <c:v>18.05718813093673</c:v>
                </c:pt>
                <c:pt idx="189">
                  <c:v>17.762894805341737</c:v>
                </c:pt>
                <c:pt idx="190">
                  <c:v>17.468375143759001</c:v>
                </c:pt>
                <c:pt idx="191">
                  <c:v>17.173706161532408</c:v>
                </c:pt>
                <c:pt idx="192">
                  <c:v>16.878965268818121</c:v>
                </c:pt>
                <c:pt idx="193">
                  <c:v>16.584230051831227</c:v>
                </c:pt>
                <c:pt idx="194">
                  <c:v>16.289578053197971</c:v>
                </c:pt>
                <c:pt idx="195">
                  <c:v>15.995086552433682</c:v>
                </c:pt>
                <c:pt idx="196">
                  <c:v>15.700832347559793</c:v>
                </c:pt>
                <c:pt idx="197">
                  <c:v>15.406891538875753</c:v>
                </c:pt>
                <c:pt idx="198">
                  <c:v>15.113339315885742</c:v>
                </c:pt>
                <c:pt idx="199">
                  <c:v>14.820249748372889</c:v>
                </c:pt>
                <c:pt idx="200">
                  <c:v>14.527695582591253</c:v>
                </c:pt>
                <c:pt idx="201">
                  <c:v>14.235748043527357</c:v>
                </c:pt>
                <c:pt idx="202">
                  <c:v>13.944476644151589</c:v>
                </c:pt>
                <c:pt idx="203">
                  <c:v>13.653949002549744</c:v>
                </c:pt>
                <c:pt idx="204">
                  <c:v>13.364230667785478</c:v>
                </c:pt>
                <c:pt idx="205">
                  <c:v>13.075384955298539</c:v>
                </c:pt>
                <c:pt idx="206">
                  <c:v>12.78747279259435</c:v>
                </c:pt>
                <c:pt idx="207">
                  <c:v>12.500552575923683</c:v>
                </c:pt>
                <c:pt idx="208">
                  <c:v>12.214680038586888</c:v>
                </c:pt>
                <c:pt idx="209">
                  <c:v>11.929908131427982</c:v>
                </c:pt>
                <c:pt idx="210">
                  <c:v>11.646286916011428</c:v>
                </c:pt>
                <c:pt idx="211">
                  <c:v>11.363863470889864</c:v>
                </c:pt>
                <c:pt idx="212">
                  <c:v>11.082681811290303</c:v>
                </c:pt>
                <c:pt idx="213">
                  <c:v>10.80278282245378</c:v>
                </c:pt>
                <c:pt idx="214">
                  <c:v>10.524204206772598</c:v>
                </c:pt>
                <c:pt idx="215">
                  <c:v>10.246980444774731</c:v>
                </c:pt>
                <c:pt idx="216">
                  <c:v>9.9711427699072903</c:v>
                </c:pt>
                <c:pt idx="217">
                  <c:v>9.6967191569771725</c:v>
                </c:pt>
                <c:pt idx="218">
                  <c:v>9.4237343240095974</c:v>
                </c:pt>
                <c:pt idx="219">
                  <c:v>9.1522097471952275</c:v>
                </c:pt>
                <c:pt idx="220">
                  <c:v>8.8821636885040398</c:v>
                </c:pt>
                <c:pt idx="221">
                  <c:v>8.613611235463047</c:v>
                </c:pt>
                <c:pt idx="222">
                  <c:v>8.3465643525144788</c:v>
                </c:pt>
                <c:pt idx="223">
                  <c:v>8.0810319432984166</c:v>
                </c:pt>
                <c:pt idx="224">
                  <c:v>7.8170199231427411</c:v>
                </c:pt>
                <c:pt idx="225">
                  <c:v>7.5545313009831103</c:v>
                </c:pt>
                <c:pt idx="226">
                  <c:v>7.2935662698938568</c:v>
                </c:pt>
                <c:pt idx="227">
                  <c:v>7.0341223053692179</c:v>
                </c:pt>
                <c:pt idx="228">
                  <c:v>6.7761942704699667</c:v>
                </c:pt>
                <c:pt idx="229">
                  <c:v>6.5197745269307052</c:v>
                </c:pt>
                <c:pt idx="230">
                  <c:v>6.2648530513171066</c:v>
                </c:pt>
                <c:pt idx="231">
                  <c:v>6.0114175553212066</c:v>
                </c:pt>
                <c:pt idx="232">
                  <c:v>5.7594536092960302</c:v>
                </c:pt>
                <c:pt idx="233">
                  <c:v>5.5089447681488179</c:v>
                </c:pt>
                <c:pt idx="234">
                  <c:v>5.2598726987374302</c:v>
                </c:pt>
                <c:pt idx="235">
                  <c:v>5.0122173079517811</c:v>
                </c:pt>
                <c:pt idx="236">
                  <c:v>4.7659568706986057</c:v>
                </c:pt>
                <c:pt idx="237">
                  <c:v>4.5210681570557067</c:v>
                </c:pt>
                <c:pt idx="238">
                  <c:v>4.277526557911731</c:v>
                </c:pt>
                <c:pt idx="239">
                  <c:v>4.0353062084595468</c:v>
                </c:pt>
                <c:pt idx="240">
                  <c:v>3.7943801089690519</c:v>
                </c:pt>
                <c:pt idx="241">
                  <c:v>3.5547202423215958</c:v>
                </c:pt>
                <c:pt idx="242">
                  <c:v>3.3162976878486079</c:v>
                </c:pt>
                <c:pt idx="243">
                  <c:v>3.0790827310744695</c:v>
                </c:pt>
                <c:pt idx="244">
                  <c:v>2.8430449690218844</c:v>
                </c:pt>
                <c:pt idx="245">
                  <c:v>2.6081534107971964</c:v>
                </c:pt>
                <c:pt idx="246">
                  <c:v>2.3743765732247142</c:v>
                </c:pt>
                <c:pt idx="247">
                  <c:v>2.1416825713544823</c:v>
                </c:pt>
                <c:pt idx="248">
                  <c:v>1.9100392037188441</c:v>
                </c:pt>
                <c:pt idx="249">
                  <c:v>1.6794140322563016</c:v>
                </c:pt>
                <c:pt idx="250">
                  <c:v>1.4497744568707724</c:v>
                </c:pt>
                <c:pt idx="251">
                  <c:v>1.2210877846280139</c:v>
                </c:pt>
                <c:pt idx="252">
                  <c:v>0.9933212936357193</c:v>
                </c:pt>
                <c:pt idx="253">
                  <c:v>0.76644229167950439</c:v>
                </c:pt>
                <c:pt idx="254">
                  <c:v>0.54041816972193801</c:v>
                </c:pt>
                <c:pt idx="255">
                  <c:v>0.31521645039610185</c:v>
                </c:pt>
                <c:pt idx="256">
                  <c:v>9.0804831648436127E-2</c:v>
                </c:pt>
                <c:pt idx="257">
                  <c:v>-0.13284877429571568</c:v>
                </c:pt>
                <c:pt idx="258">
                  <c:v>-0.35577620645053104</c:v>
                </c:pt>
                <c:pt idx="259">
                  <c:v>-0.57800902487076289</c:v>
                </c:pt>
                <c:pt idx="260">
                  <c:v>-0.79957848451590163</c:v>
                </c:pt>
                <c:pt idx="261">
                  <c:v>-1.0205155129555119</c:v>
                </c:pt>
                <c:pt idx="262">
                  <c:v>-1.240850691683439</c:v>
                </c:pt>
                <c:pt idx="263">
                  <c:v>-1.4606142408058838</c:v>
                </c:pt>
                <c:pt idx="264">
                  <c:v>-1.6798360068643325</c:v>
                </c:pt>
                <c:pt idx="265">
                  <c:v>-1.8985454535544934</c:v>
                </c:pt>
                <c:pt idx="266">
                  <c:v>-2.116771655102164</c:v>
                </c:pt>
                <c:pt idx="267">
                  <c:v>-2.3345432920567468</c:v>
                </c:pt>
                <c:pt idx="268">
                  <c:v>-2.5518886492680313</c:v>
                </c:pt>
                <c:pt idx="269">
                  <c:v>-2.7688356158129599</c:v>
                </c:pt>
                <c:pt idx="270">
                  <c:v>-2.9854116866426517</c:v>
                </c:pt>
                <c:pt idx="271">
                  <c:v>-3.2016439657261326</c:v>
                </c:pt>
                <c:pt idx="272">
                  <c:v>-3.4175591704690338</c:v>
                </c:pt>
                <c:pt idx="273">
                  <c:v>-3.6331836371934561</c:v>
                </c:pt>
                <c:pt idx="274">
                  <c:v>-3.8485433274669374</c:v>
                </c:pt>
                <c:pt idx="275">
                  <c:v>-4.0636638350766372</c:v>
                </c:pt>
                <c:pt idx="276">
                  <c:v>-4.2785703934487689</c:v>
                </c:pt>
                <c:pt idx="277">
                  <c:v>-4.4932878833183985</c:v>
                </c:pt>
                <c:pt idx="278">
                  <c:v>-4.7078408404601797</c:v>
                </c:pt>
                <c:pt idx="279">
                  <c:v>-4.9222534632981851</c:v>
                </c:pt>
                <c:pt idx="280">
                  <c:v>-5.1365496202150425</c:v>
                </c:pt>
                <c:pt idx="281">
                  <c:v>-5.3507528563894402</c:v>
                </c:pt>
                <c:pt idx="282">
                  <c:v>-5.5648863999934051</c:v>
                </c:pt>
                <c:pt idx="283">
                  <c:v>-5.7789731675920883</c:v>
                </c:pt>
                <c:pt idx="284">
                  <c:v>-5.9930357685884612</c:v>
                </c:pt>
                <c:pt idx="285">
                  <c:v>-6.2070965085681618</c:v>
                </c:pt>
                <c:pt idx="286">
                  <c:v>-6.421177391401919</c:v>
                </c:pt>
                <c:pt idx="287">
                  <c:v>-6.6353001199750263</c:v>
                </c:pt>
                <c:pt idx="288">
                  <c:v>-6.8494860954187029</c:v>
                </c:pt>
                <c:pt idx="289">
                  <c:v>-7.0637564147286174</c:v>
                </c:pt>
                <c:pt idx="290">
                  <c:v>-7.2781318666672865</c:v>
                </c:pt>
                <c:pt idx="291">
                  <c:v>-7.4926329258546751</c:v>
                </c:pt>
                <c:pt idx="292">
                  <c:v>-7.7072797449709096</c:v>
                </c:pt>
                <c:pt idx="293">
                  <c:v>-7.9220921449998301</c:v>
                </c:pt>
                <c:pt idx="294">
                  <c:v>-8.1370896034660998</c:v>
                </c:pt>
                <c:pt idx="295">
                  <c:v>-8.3522912406292562</c:v>
                </c:pt>
                <c:pt idx="296">
                  <c:v>-8.5677158036218977</c:v>
                </c:pt>
                <c:pt idx="297">
                  <c:v>-8.7833816485341938</c:v>
                </c:pt>
                <c:pt idx="298">
                  <c:v>-8.9993067204747543</c:v>
                </c:pt>
                <c:pt idx="299">
                  <c:v>-9.2155085316575445</c:v>
                </c:pt>
                <c:pt idx="300">
                  <c:v>-9.4320041375925712</c:v>
                </c:pt>
                <c:pt idx="301">
                  <c:v>-9.6488101114855152</c:v>
                </c:pt>
                <c:pt idx="302">
                  <c:v>-9.8659425169789099</c:v>
                </c:pt>
                <c:pt idx="303">
                  <c:v>-10.083416879401874</c:v>
                </c:pt>
                <c:pt idx="304">
                  <c:v>-10.301248155722472</c:v>
                </c:pt>
                <c:pt idx="305">
                  <c:v>-10.51945070343373</c:v>
                </c:pt>
                <c:pt idx="306">
                  <c:v>-10.738038248636654</c:v>
                </c:pt>
                <c:pt idx="307">
                  <c:v>-10.957023853615421</c:v>
                </c:pt>
                <c:pt idx="308">
                  <c:v>-11.176419884237983</c:v>
                </c:pt>
                <c:pt idx="309">
                  <c:v>-11.396237977543699</c:v>
                </c:pt>
                <c:pt idx="310">
                  <c:v>-11.616489009914066</c:v>
                </c:pt>
                <c:pt idx="311">
                  <c:v>-11.837183066251535</c:v>
                </c:pt>
                <c:pt idx="312">
                  <c:v>-12.058329410618292</c:v>
                </c:pt>
                <c:pt idx="313">
                  <c:v>-12.279936458810791</c:v>
                </c:pt>
                <c:pt idx="314">
                  <c:v>-12.502011753365348</c:v>
                </c:pt>
                <c:pt idx="315">
                  <c:v>-12.724561941505186</c:v>
                </c:pt>
                <c:pt idx="316">
                  <c:v>-12.947592756548293</c:v>
                </c:pt>
                <c:pt idx="317">
                  <c:v>-13.171109003297834</c:v>
                </c:pt>
                <c:pt idx="318">
                  <c:v>-13.395114547934595</c:v>
                </c:pt>
                <c:pt idx="319">
                  <c:v>-13.619612312915583</c:v>
                </c:pt>
                <c:pt idx="320">
                  <c:v>-13.844604277369603</c:v>
                </c:pt>
                <c:pt idx="321">
                  <c:v>-14.070091483444598</c:v>
                </c:pt>
                <c:pt idx="322">
                  <c:v>-14.296074049031706</c:v>
                </c:pt>
                <c:pt idx="323">
                  <c:v>-14.522551187242003</c:v>
                </c:pt>
                <c:pt idx="324">
                  <c:v>-14.749521232958386</c:v>
                </c:pt>
                <c:pt idx="325">
                  <c:v>-14.976981676724463</c:v>
                </c:pt>
                <c:pt idx="326">
                  <c:v>-15.204929206159445</c:v>
                </c:pt>
                <c:pt idx="327">
                  <c:v>-15.433359755013903</c:v>
                </c:pt>
                <c:pt idx="328">
                  <c:v>-15.662268559896011</c:v>
                </c:pt>
                <c:pt idx="329">
                  <c:v>-15.891650224611203</c:v>
                </c:pt>
                <c:pt idx="330">
                  <c:v>-16.121498791963397</c:v>
                </c:pt>
                <c:pt idx="331">
                  <c:v>-16.35180782277649</c:v>
                </c:pt>
                <c:pt idx="332">
                  <c:v>-16.582570481793898</c:v>
                </c:pt>
                <c:pt idx="333">
                  <c:v>-16.813779630025003</c:v>
                </c:pt>
                <c:pt idx="334">
                  <c:v>-17.045427923012532</c:v>
                </c:pt>
                <c:pt idx="335">
                  <c:v>-17.27750791440738</c:v>
                </c:pt>
                <c:pt idx="336">
                  <c:v>-17.51001216416023</c:v>
                </c:pt>
                <c:pt idx="337">
                  <c:v>-17.742933350559863</c:v>
                </c:pt>
                <c:pt idx="338">
                  <c:v>-17.976264385287386</c:v>
                </c:pt>
                <c:pt idx="339">
                  <c:v>-18.209998530599542</c:v>
                </c:pt>
                <c:pt idx="340">
                  <c:v>-18.444129517711058</c:v>
                </c:pt>
                <c:pt idx="341">
                  <c:v>-18.678651665416094</c:v>
                </c:pt>
                <c:pt idx="342">
                  <c:v>-18.913559997967766</c:v>
                </c:pt>
                <c:pt idx="343">
                  <c:v>-19.148850361233137</c:v>
                </c:pt>
                <c:pt idx="344">
                  <c:v>-19.384519536145753</c:v>
                </c:pt>
                <c:pt idx="345">
                  <c:v>-19.620565348497955</c:v>
                </c:pt>
                <c:pt idx="346">
                  <c:v>-19.856986774150482</c:v>
                </c:pt>
                <c:pt idx="347">
                  <c:v>-20.093784038774931</c:v>
                </c:pt>
                <c:pt idx="348">
                  <c:v>-20.330958711304142</c:v>
                </c:pt>
                <c:pt idx="349">
                  <c:v>-20.568513790322211</c:v>
                </c:pt>
                <c:pt idx="350">
                  <c:v>-20.806453782700331</c:v>
                </c:pt>
                <c:pt idx="351">
                  <c:v>-21.044784773855817</c:v>
                </c:pt>
                <c:pt idx="352">
                  <c:v>-21.283514489096159</c:v>
                </c:pt>
                <c:pt idx="353">
                  <c:v>-21.522652345587336</c:v>
                </c:pt>
                <c:pt idx="354">
                  <c:v>-21.762209494575011</c:v>
                </c:pt>
                <c:pt idx="355">
                  <c:v>-22.002198853565275</c:v>
                </c:pt>
                <c:pt idx="356">
                  <c:v>-22.242635128256364</c:v>
                </c:pt>
                <c:pt idx="357">
                  <c:v>-22.483534824091866</c:v>
                </c:pt>
                <c:pt idx="358">
                  <c:v>-22.724916247376544</c:v>
                </c:pt>
                <c:pt idx="359">
                  <c:v>-22.966799495971966</c:v>
                </c:pt>
                <c:pt idx="360">
                  <c:v>-23.209206439646373</c:v>
                </c:pt>
                <c:pt idx="361">
                  <c:v>-23.452160690217696</c:v>
                </c:pt>
                <c:pt idx="362">
                  <c:v>-23.695687561676699</c:v>
                </c:pt>
                <c:pt idx="363">
                  <c:v>-23.939814020523677</c:v>
                </c:pt>
                <c:pt idx="364">
                  <c:v>-24.184568626594086</c:v>
                </c:pt>
                <c:pt idx="365">
                  <c:v>-24.429981464679091</c:v>
                </c:pt>
                <c:pt idx="366">
                  <c:v>-24.676084067278481</c:v>
                </c:pt>
                <c:pt idx="367">
                  <c:v>-24.922909328846995</c:v>
                </c:pt>
                <c:pt idx="368">
                  <c:v>-25.1704914119119</c:v>
                </c:pt>
                <c:pt idx="369">
                  <c:v>-25.418865645462517</c:v>
                </c:pt>
                <c:pt idx="370">
                  <c:v>-25.66806841602077</c:v>
                </c:pt>
                <c:pt idx="371">
                  <c:v>-25.918137051818402</c:v>
                </c:pt>
                <c:pt idx="372">
                  <c:v>-26.169109700515385</c:v>
                </c:pt>
                <c:pt idx="373">
                  <c:v>-26.421025200909387</c:v>
                </c:pt>
                <c:pt idx="374">
                  <c:v>-26.673922949093935</c:v>
                </c:pt>
                <c:pt idx="375">
                  <c:v>-26.927842759537583</c:v>
                </c:pt>
                <c:pt idx="376">
                  <c:v>-27.182824721574921</c:v>
                </c:pt>
                <c:pt idx="377">
                  <c:v>-27.438909051808324</c:v>
                </c:pt>
                <c:pt idx="378">
                  <c:v>-27.696135942944128</c:v>
                </c:pt>
                <c:pt idx="379">
                  <c:v>-27.954545409606958</c:v>
                </c:pt>
                <c:pt idx="380">
                  <c:v>-28.214177131692445</c:v>
                </c:pt>
                <c:pt idx="381">
                  <c:v>-28.475070295850436</c:v>
                </c:pt>
                <c:pt idx="382">
                  <c:v>-28.737263435707582</c:v>
                </c:pt>
                <c:pt idx="383">
                  <c:v>-29.000794271470607</c:v>
                </c:pt>
                <c:pt idx="384">
                  <c:v>-29.265699549574787</c:v>
                </c:pt>
                <c:pt idx="385">
                  <c:v>-29.532014883066289</c:v>
                </c:pt>
                <c:pt idx="386">
                  <c:v>-29.799774593433185</c:v>
                </c:pt>
                <c:pt idx="387">
                  <c:v>-30.069011554621557</c:v>
                </c:pt>
                <c:pt idx="388">
                  <c:v>-30.339757039990953</c:v>
                </c:pt>
                <c:pt idx="389">
                  <c:v>-30.612040572978731</c:v>
                </c:pt>
                <c:pt idx="390">
                  <c:v>-30.885889782252782</c:v>
                </c:pt>
                <c:pt idx="391">
                  <c:v>-31.16133026213695</c:v>
                </c:pt>
                <c:pt idx="392">
                  <c:v>-31.438385439091117</c:v>
                </c:pt>
                <c:pt idx="393">
                  <c:v>-31.717076445019664</c:v>
                </c:pt>
                <c:pt idx="394">
                  <c:v>-31.99742199816491</c:v>
                </c:pt>
                <c:pt idx="395">
                  <c:v>-32.279438292318474</c:v>
                </c:pt>
                <c:pt idx="396">
                  <c:v>-32.563138895052738</c:v>
                </c:pt>
                <c:pt idx="397">
                  <c:v>-32.848534655632776</c:v>
                </c:pt>
                <c:pt idx="398">
                  <c:v>-33.135633623222837</c:v>
                </c:pt>
                <c:pt idx="399">
                  <c:v>-33.424440975945416</c:v>
                </c:pt>
                <c:pt idx="400">
                  <c:v>-33.714958961290769</c:v>
                </c:pt>
                <c:pt idx="401">
                  <c:v>-34.007186848304201</c:v>
                </c:pt>
                <c:pt idx="402">
                  <c:v>-34.301120891908226</c:v>
                </c:pt>
                <c:pt idx="403">
                  <c:v>-34.596754309636232</c:v>
                </c:pt>
                <c:pt idx="404">
                  <c:v>-34.894077270976261</c:v>
                </c:pt>
                <c:pt idx="405">
                  <c:v>-35.193076899438921</c:v>
                </c:pt>
                <c:pt idx="406">
                  <c:v>-35.493737287383091</c:v>
                </c:pt>
                <c:pt idx="407">
                  <c:v>-35.796039523546298</c:v>
                </c:pt>
                <c:pt idx="408">
                  <c:v>-36.099961733151659</c:v>
                </c:pt>
                <c:pt idx="409">
                  <c:v>-36.405479130380215</c:v>
                </c:pt>
                <c:pt idx="410">
                  <c:v>-36.712564082928132</c:v>
                </c:pt>
                <c:pt idx="411">
                  <c:v>-37.021186188297655</c:v>
                </c:pt>
                <c:pt idx="412">
                  <c:v>-37.331312361410944</c:v>
                </c:pt>
                <c:pt idx="413">
                  <c:v>-37.642906933076503</c:v>
                </c:pt>
                <c:pt idx="414">
                  <c:v>-37.955931758795863</c:v>
                </c:pt>
                <c:pt idx="415">
                  <c:v>-38.270346337349871</c:v>
                </c:pt>
                <c:pt idx="416">
                  <c:v>-38.586107938579879</c:v>
                </c:pt>
                <c:pt idx="417">
                  <c:v>-38.903171739745048</c:v>
                </c:pt>
                <c:pt idx="418">
                  <c:v>-39.221490969826796</c:v>
                </c:pt>
                <c:pt idx="419">
                  <c:v>-39.541017061134532</c:v>
                </c:pt>
                <c:pt idx="420">
                  <c:v>-39.861699807567483</c:v>
                </c:pt>
                <c:pt idx="421">
                  <c:v>-40.183487528885529</c:v>
                </c:pt>
                <c:pt idx="422">
                  <c:v>-40.506327240346735</c:v>
                </c:pt>
                <c:pt idx="423">
                  <c:v>-40.830164827085625</c:v>
                </c:pt>
                <c:pt idx="424">
                  <c:v>-41.154945222611339</c:v>
                </c:pt>
                <c:pt idx="425">
                  <c:v>-41.480612590824812</c:v>
                </c:pt>
                <c:pt idx="426">
                  <c:v>-41.807110510970048</c:v>
                </c:pt>
                <c:pt idx="427">
                  <c:v>-42.134382164944952</c:v>
                </c:pt>
                <c:pt idx="428">
                  <c:v>-42.46237052642001</c:v>
                </c:pt>
                <c:pt idx="429">
                  <c:v>-42.791018551219523</c:v>
                </c:pt>
                <c:pt idx="430">
                  <c:v>-43.120269368431742</c:v>
                </c:pt>
                <c:pt idx="431">
                  <c:v>-43.450066471724618</c:v>
                </c:pt>
                <c:pt idx="432">
                  <c:v>-43.780353910341191</c:v>
                </c:pt>
                <c:pt idx="433">
                  <c:v>-44.111076479254152</c:v>
                </c:pt>
                <c:pt idx="434">
                  <c:v>-44.442179907947718</c:v>
                </c:pt>
                <c:pt idx="435">
                  <c:v>-44.773611047290913</c:v>
                </c:pt>
                <c:pt idx="436">
                  <c:v>-45.10531805394821</c:v>
                </c:pt>
                <c:pt idx="437">
                  <c:v>-45.437250571760053</c:v>
                </c:pt>
                <c:pt idx="438">
                  <c:v>-45.769359909501894</c:v>
                </c:pt>
                <c:pt idx="439">
                  <c:v>-46.101599214408616</c:v>
                </c:pt>
                <c:pt idx="440">
                  <c:v>-46.433923640825753</c:v>
                </c:pt>
                <c:pt idx="441">
                  <c:v>-46.766290513324066</c:v>
                </c:pt>
                <c:pt idx="442">
                  <c:v>-47.098659483585131</c:v>
                </c:pt>
                <c:pt idx="443">
                  <c:v>-47.430992680344545</c:v>
                </c:pt>
                <c:pt idx="444">
                  <c:v>-47.763254851655866</c:v>
                </c:pt>
                <c:pt idx="445">
                  <c:v>-48.095413498718187</c:v>
                </c:pt>
                <c:pt idx="446">
                  <c:v>-48.427439000500634</c:v>
                </c:pt>
                <c:pt idx="447">
                  <c:v>-48.75930472838661</c:v>
                </c:pt>
                <c:pt idx="448">
                  <c:v>-49.090987150061032</c:v>
                </c:pt>
                <c:pt idx="449">
                  <c:v>-49.42246592187427</c:v>
                </c:pt>
                <c:pt idx="450">
                  <c:v>-49.753723968930863</c:v>
                </c:pt>
                <c:pt idx="451">
                  <c:v>-50.084747552181611</c:v>
                </c:pt>
                <c:pt idx="452">
                  <c:v>-50.415526321832346</c:v>
                </c:pt>
                <c:pt idx="453">
                  <c:v>-50.746053356437173</c:v>
                </c:pt>
                <c:pt idx="454">
                  <c:v>-51.076325187096856</c:v>
                </c:pt>
                <c:pt idx="455">
                  <c:v>-51.406341806264628</c:v>
                </c:pt>
                <c:pt idx="456">
                  <c:v>-51.736106660732233</c:v>
                </c:pt>
                <c:pt idx="457">
                  <c:v>-52.065626628475457</c:v>
                </c:pt>
                <c:pt idx="458">
                  <c:v>-52.394911979128238</c:v>
                </c:pt>
                <c:pt idx="459">
                  <c:v>-52.723976317976607</c:v>
                </c:pt>
                <c:pt idx="460">
                  <c:v>-53.052836513475619</c:v>
                </c:pt>
                <c:pt idx="461">
                  <c:v>-53.381512608421353</c:v>
                </c:pt>
                <c:pt idx="462">
                  <c:v>-53.710027715039537</c:v>
                </c:pt>
                <c:pt idx="463">
                  <c:v>-54.03840789438302</c:v>
                </c:pt>
                <c:pt idx="464">
                  <c:v>-54.366682020569421</c:v>
                </c:pt>
                <c:pt idx="465">
                  <c:v>-54.694881630516775</c:v>
                </c:pt>
                <c:pt idx="466">
                  <c:v>-55.023040759974236</c:v>
                </c:pt>
                <c:pt idx="467">
                  <c:v>-55.351195766763979</c:v>
                </c:pt>
                <c:pt idx="468">
                  <c:v>-55.679385142275784</c:v>
                </c:pt>
                <c:pt idx="469">
                  <c:v>-56.007649312366937</c:v>
                </c:pt>
                <c:pt idx="470">
                  <c:v>-56.336030428919003</c:v>
                </c:pt>
                <c:pt idx="471">
                  <c:v>-56.66457215340229</c:v>
                </c:pt>
                <c:pt idx="472">
                  <c:v>-56.993319433865693</c:v>
                </c:pt>
                <c:pt idx="473">
                  <c:v>-57.322318276846701</c:v>
                </c:pt>
                <c:pt idx="474">
                  <c:v>-57.65161551573361</c:v>
                </c:pt>
                <c:pt idx="475">
                  <c:v>-57.981258577155678</c:v>
                </c:pt>
                <c:pt idx="476">
                  <c:v>-58.311295246986383</c:v>
                </c:pt>
                <c:pt idx="477">
                  <c:v>-58.641773437549816</c:v>
                </c:pt>
                <c:pt idx="478">
                  <c:v>-58.972740957602483</c:v>
                </c:pt>
                <c:pt idx="479">
                  <c:v>-59.30424528662904</c:v>
                </c:pt>
                <c:pt idx="480">
                  <c:v>-59.636333354941186</c:v>
                </c:pt>
                <c:pt idx="481">
                  <c:v>-59.969051331005481</c:v>
                </c:pt>
                <c:pt idx="482">
                  <c:v>-60.302444417343715</c:v>
                </c:pt>
                <c:pt idx="483">
                  <c:v>-60.636556656258314</c:v>
                </c:pt>
                <c:pt idx="484">
                  <c:v>-60.971430746528014</c:v>
                </c:pt>
                <c:pt idx="485">
                  <c:v>-61.307107872104929</c:v>
                </c:pt>
                <c:pt idx="486">
                  <c:v>-61.643627543712675</c:v>
                </c:pt>
                <c:pt idx="487">
                  <c:v>-61.981027454123662</c:v>
                </c:pt>
                <c:pt idx="488">
                  <c:v>-62.319343347739618</c:v>
                </c:pt>
                <c:pt idx="489">
                  <c:v>-62.658608904970421</c:v>
                </c:pt>
                <c:pt idx="490">
                  <c:v>-62.998855641755746</c:v>
                </c:pt>
                <c:pt idx="491">
                  <c:v>-63.340112824430193</c:v>
                </c:pt>
                <c:pt idx="492">
                  <c:v>-63.68240739999392</c:v>
                </c:pt>
                <c:pt idx="493">
                  <c:v>-64.025763941708519</c:v>
                </c:pt>
                <c:pt idx="494">
                  <c:v>-64.370204609812035</c:v>
                </c:pt>
                <c:pt idx="495">
                  <c:v>-64.715749127012515</c:v>
                </c:pt>
                <c:pt idx="496">
                  <c:v>-65.062414768315421</c:v>
                </c:pt>
                <c:pt idx="497">
                  <c:v>-65.410216364620027</c:v>
                </c:pt>
                <c:pt idx="498">
                  <c:v>-65.759166319436574</c:v>
                </c:pt>
                <c:pt idx="499">
                  <c:v>-66.10927463798231</c:v>
                </c:pt>
                <c:pt idx="500">
                  <c:v>-66.460548967849164</c:v>
                </c:pt>
                <c:pt idx="501">
                  <c:v>-66.81299465037165</c:v>
                </c:pt>
                <c:pt idx="502">
                  <c:v>-67.16661478178105</c:v>
                </c:pt>
                <c:pt idx="503">
                  <c:v>-67.521410283194967</c:v>
                </c:pt>
                <c:pt idx="504">
                  <c:v>-67.87737997847087</c:v>
                </c:pt>
                <c:pt idx="505">
                  <c:v>-68.234520678942573</c:v>
                </c:pt>
                <c:pt idx="506">
                  <c:v>-68.59282727406007</c:v>
                </c:pt>
                <c:pt idx="507">
                  <c:v>-68.952292826964111</c:v>
                </c:pt>
                <c:pt idx="508">
                  <c:v>-69.312908674050206</c:v>
                </c:pt>
                <c:pt idx="509">
                  <c:v>-69.674664527605358</c:v>
                </c:pt>
                <c:pt idx="510">
                  <c:v>-70.03754858063941</c:v>
                </c:pt>
                <c:pt idx="511">
                  <c:v>-70.401547613076161</c:v>
                </c:pt>
                <c:pt idx="512">
                  <c:v>-70.766647098521844</c:v>
                </c:pt>
                <c:pt idx="513">
                  <c:v>-71.132831310877222</c:v>
                </c:pt>
                <c:pt idx="514">
                  <c:v>-71.500083430123581</c:v>
                </c:pt>
                <c:pt idx="515">
                  <c:v>-71.868385646665374</c:v>
                </c:pt>
                <c:pt idx="516">
                  <c:v>-72.237719263679196</c:v>
                </c:pt>
                <c:pt idx="517">
                  <c:v>-72.608064796975384</c:v>
                </c:pt>
                <c:pt idx="518">
                  <c:v>-72.979402071940896</c:v>
                </c:pt>
                <c:pt idx="519">
                  <c:v>-73.351710317192854</c:v>
                </c:pt>
                <c:pt idx="520">
                  <c:v>-73.724968254627086</c:v>
                </c:pt>
                <c:pt idx="521">
                  <c:v>-74.099154185605045</c:v>
                </c:pt>
                <c:pt idx="522">
                  <c:v>-74.474246073070532</c:v>
                </c:pt>
                <c:pt idx="523">
                  <c:v>-74.850221619442834</c:v>
                </c:pt>
                <c:pt idx="524">
                  <c:v>-75.227058340174992</c:v>
                </c:pt>
                <c:pt idx="525">
                  <c:v>-75.604733632910126</c:v>
                </c:pt>
                <c:pt idx="526">
                  <c:v>-75.983224842206923</c:v>
                </c:pt>
                <c:pt idx="527">
                  <c:v>-76.36250931984334</c:v>
                </c:pt>
                <c:pt idx="528">
                  <c:v>-76.742564480734885</c:v>
                </c:pt>
                <c:pt idx="529">
                  <c:v>-77.123367854536639</c:v>
                </c:pt>
                <c:pt idx="530">
                  <c:v>-77.504897133017309</c:v>
                </c:pt>
                <c:pt idx="531">
                  <c:v>-77.887130213319736</c:v>
                </c:pt>
                <c:pt idx="532">
                  <c:v>-78.270045237236189</c:v>
                </c:pt>
                <c:pt idx="533">
                  <c:v>-78.653620626643232</c:v>
                </c:pt>
                <c:pt idx="534">
                  <c:v>-79.037835115252179</c:v>
                </c:pt>
                <c:pt idx="535">
                  <c:v>-79.422667776841067</c:v>
                </c:pt>
                <c:pt idx="536">
                  <c:v>-79.808098050138</c:v>
                </c:pt>
                <c:pt idx="537">
                  <c:v>-80.194105760536047</c:v>
                </c:pt>
                <c:pt idx="538">
                  <c:v>-80.580671138815518</c:v>
                </c:pt>
                <c:pt idx="539">
                  <c:v>-80.967774837054932</c:v>
                </c:pt>
                <c:pt idx="540">
                  <c:v>-81.355397941909629</c:v>
                </c:pt>
                <c:pt idx="541">
                  <c:v>-81.743521985436303</c:v>
                </c:pt>
              </c:numCache>
            </c:numRef>
          </c:yVal>
          <c:smooth val="1"/>
          <c:extLst>
            <c:ext xmlns:c16="http://schemas.microsoft.com/office/drawing/2014/chart" uri="{C3380CC4-5D6E-409C-BE32-E72D297353CC}">
              <c16:uniqueId val="{00000000-F188-4D39-B62C-FFCB026FFDB3}"/>
            </c:ext>
          </c:extLst>
        </c:ser>
        <c:dLbls>
          <c:showLegendKey val="0"/>
          <c:showVal val="0"/>
          <c:showCatName val="0"/>
          <c:showSerName val="0"/>
          <c:showPercent val="0"/>
          <c:showBubbleSize val="0"/>
        </c:dLbls>
        <c:axId val="160959104"/>
        <c:axId val="160985856"/>
      </c:scatterChart>
      <c:scatterChart>
        <c:scatterStyle val="smoothMarker"/>
        <c:varyColors val="0"/>
        <c:ser>
          <c:idx val="1"/>
          <c:order val="1"/>
          <c:tx>
            <c:v>Phase (deg)</c:v>
          </c:tx>
          <c:spPr>
            <a:ln w="38100">
              <a:solidFill>
                <a:schemeClr val="tx1">
                  <a:lumMod val="95000"/>
                  <a:lumOff val="5000"/>
                </a:schemeClr>
              </a:solidFill>
              <a:prstDash val="sysDash"/>
            </a:ln>
          </c:spPr>
          <c:marker>
            <c:symbol val="none"/>
          </c:marker>
          <c:xVal>
            <c:numRef>
              <c:f>Loop_Modeling!$O$19:$O$560</c:f>
              <c:numCache>
                <c:formatCode>0.00</c:formatCode>
                <c:ptCount val="542"/>
                <c:pt idx="0">
                  <c:v>10.232929922807543</c:v>
                </c:pt>
                <c:pt idx="1">
                  <c:v>10.471285480509</c:v>
                </c:pt>
                <c:pt idx="2">
                  <c:v>10.715193052376069</c:v>
                </c:pt>
                <c:pt idx="3">
                  <c:v>10.964781961431854</c:v>
                </c:pt>
                <c:pt idx="4">
                  <c:v>11.220184543019636</c:v>
                </c:pt>
                <c:pt idx="5">
                  <c:v>11.481536214968834</c:v>
                </c:pt>
                <c:pt idx="6">
                  <c:v>11.748975549395301</c:v>
                </c:pt>
                <c:pt idx="7">
                  <c:v>12.022644346174133</c:v>
                </c:pt>
                <c:pt idx="8">
                  <c:v>12.302687708123818</c:v>
                </c:pt>
                <c:pt idx="9">
                  <c:v>12.58925411794168</c:v>
                </c:pt>
                <c:pt idx="10">
                  <c:v>12.882495516931346</c:v>
                </c:pt>
                <c:pt idx="11">
                  <c:v>13.182567385564075</c:v>
                </c:pt>
                <c:pt idx="12">
                  <c:v>13.489628825916535</c:v>
                </c:pt>
                <c:pt idx="13">
                  <c:v>13.803842646028857</c:v>
                </c:pt>
                <c:pt idx="14">
                  <c:v>14.125375446227544</c:v>
                </c:pt>
                <c:pt idx="15">
                  <c:v>14.454397707459275</c:v>
                </c:pt>
                <c:pt idx="16">
                  <c:v>14.791083881682074</c:v>
                </c:pt>
                <c:pt idx="17">
                  <c:v>15.135612484362087</c:v>
                </c:pt>
                <c:pt idx="18">
                  <c:v>15.488166189124817</c:v>
                </c:pt>
                <c:pt idx="19">
                  <c:v>15.848931924611136</c:v>
                </c:pt>
                <c:pt idx="20">
                  <c:v>16.218100973589298</c:v>
                </c:pt>
                <c:pt idx="21">
                  <c:v>16.595869074375614</c:v>
                </c:pt>
                <c:pt idx="22">
                  <c:v>16.982436524617448</c:v>
                </c:pt>
                <c:pt idx="23">
                  <c:v>17.378008287493756</c:v>
                </c:pt>
                <c:pt idx="24">
                  <c:v>17.782794100389236</c:v>
                </c:pt>
                <c:pt idx="25">
                  <c:v>18.197008586099841</c:v>
                </c:pt>
                <c:pt idx="26">
                  <c:v>18.62087136662868</c:v>
                </c:pt>
                <c:pt idx="27">
                  <c:v>19.054607179632477</c:v>
                </c:pt>
                <c:pt idx="28">
                  <c:v>19.498445997580465</c:v>
                </c:pt>
                <c:pt idx="29">
                  <c:v>19.952623149688804</c:v>
                </c:pt>
                <c:pt idx="30">
                  <c:v>20.4173794466953</c:v>
                </c:pt>
                <c:pt idx="31">
                  <c:v>20.8929613085404</c:v>
                </c:pt>
                <c:pt idx="32">
                  <c:v>21.379620895022335</c:v>
                </c:pt>
                <c:pt idx="33">
                  <c:v>21.877616239495538</c:v>
                </c:pt>
                <c:pt idx="34">
                  <c:v>22.387211385683404</c:v>
                </c:pt>
                <c:pt idx="35">
                  <c:v>22.908676527677727</c:v>
                </c:pt>
                <c:pt idx="36">
                  <c:v>23.442288153199236</c:v>
                </c:pt>
                <c:pt idx="37">
                  <c:v>23.988329190194907</c:v>
                </c:pt>
                <c:pt idx="38">
                  <c:v>24.547089156850316</c:v>
                </c:pt>
                <c:pt idx="39">
                  <c:v>25.118864315095799</c:v>
                </c:pt>
                <c:pt idx="40">
                  <c:v>25.703957827688647</c:v>
                </c:pt>
                <c:pt idx="41">
                  <c:v>26.302679918953825</c:v>
                </c:pt>
                <c:pt idx="42">
                  <c:v>26.915348039269158</c:v>
                </c:pt>
                <c:pt idx="43">
                  <c:v>27.542287033381665</c:v>
                </c:pt>
                <c:pt idx="44">
                  <c:v>28.183829312644548</c:v>
                </c:pt>
                <c:pt idx="45">
                  <c:v>28.840315031266066</c:v>
                </c:pt>
                <c:pt idx="46">
                  <c:v>29.512092266663863</c:v>
                </c:pt>
                <c:pt idx="47">
                  <c:v>30.199517204020164</c:v>
                </c:pt>
                <c:pt idx="48">
                  <c:v>30.902954325135919</c:v>
                </c:pt>
                <c:pt idx="49">
                  <c:v>31.622776601683803</c:v>
                </c:pt>
                <c:pt idx="50">
                  <c:v>32.359365692962832</c:v>
                </c:pt>
                <c:pt idx="51">
                  <c:v>33.113112148259127</c:v>
                </c:pt>
                <c:pt idx="52">
                  <c:v>33.884415613920268</c:v>
                </c:pt>
                <c:pt idx="53">
                  <c:v>34.67368504525318</c:v>
                </c:pt>
                <c:pt idx="54">
                  <c:v>35.481338923357555</c:v>
                </c:pt>
                <c:pt idx="55">
                  <c:v>36.307805477010156</c:v>
                </c:pt>
                <c:pt idx="56">
                  <c:v>37.15352290971726</c:v>
                </c:pt>
                <c:pt idx="57">
                  <c:v>38.018939632056139</c:v>
                </c:pt>
                <c:pt idx="58">
                  <c:v>38.904514499428053</c:v>
                </c:pt>
                <c:pt idx="59">
                  <c:v>39.810717055349755</c:v>
                </c:pt>
                <c:pt idx="60">
                  <c:v>40.738027780411279</c:v>
                </c:pt>
                <c:pt idx="61">
                  <c:v>41.686938347033561</c:v>
                </c:pt>
                <c:pt idx="62">
                  <c:v>42.657951880159267</c:v>
                </c:pt>
                <c:pt idx="63">
                  <c:v>43.651583224016633</c:v>
                </c:pt>
                <c:pt idx="64">
                  <c:v>44.668359215096324</c:v>
                </c:pt>
                <c:pt idx="65">
                  <c:v>45.70881896148753</c:v>
                </c:pt>
                <c:pt idx="66">
                  <c:v>46.773514128719818</c:v>
                </c:pt>
                <c:pt idx="67">
                  <c:v>47.863009232263877</c:v>
                </c:pt>
                <c:pt idx="68">
                  <c:v>48.977881936844632</c:v>
                </c:pt>
                <c:pt idx="69">
                  <c:v>50.118723362727238</c:v>
                </c:pt>
                <c:pt idx="70">
                  <c:v>51.28613839913649</c:v>
                </c:pt>
                <c:pt idx="71">
                  <c:v>52.480746024977286</c:v>
                </c:pt>
                <c:pt idx="72">
                  <c:v>53.703179637025293</c:v>
                </c:pt>
                <c:pt idx="73">
                  <c:v>54.95408738576247</c:v>
                </c:pt>
                <c:pt idx="74">
                  <c:v>56.234132519034915</c:v>
                </c:pt>
                <c:pt idx="75">
                  <c:v>57.543993733715695</c:v>
                </c:pt>
                <c:pt idx="76">
                  <c:v>58.884365535558949</c:v>
                </c:pt>
                <c:pt idx="77">
                  <c:v>60.255958607435822</c:v>
                </c:pt>
                <c:pt idx="78">
                  <c:v>61.659500186148257</c:v>
                </c:pt>
                <c:pt idx="79">
                  <c:v>63.095734448019364</c:v>
                </c:pt>
                <c:pt idx="80">
                  <c:v>64.565422903465588</c:v>
                </c:pt>
                <c:pt idx="81">
                  <c:v>66.069344800759623</c:v>
                </c:pt>
                <c:pt idx="82">
                  <c:v>67.60829753919819</c:v>
                </c:pt>
                <c:pt idx="83">
                  <c:v>69.183097091893657</c:v>
                </c:pt>
                <c:pt idx="84">
                  <c:v>70.794578438413865</c:v>
                </c:pt>
                <c:pt idx="85">
                  <c:v>72.443596007499011</c:v>
                </c:pt>
                <c:pt idx="86">
                  <c:v>74.131024130091816</c:v>
                </c:pt>
                <c:pt idx="87">
                  <c:v>75.857757502918361</c:v>
                </c:pt>
                <c:pt idx="88">
                  <c:v>77.624711662869217</c:v>
                </c:pt>
                <c:pt idx="89">
                  <c:v>79.432823472428197</c:v>
                </c:pt>
                <c:pt idx="90">
                  <c:v>81.283051616409963</c:v>
                </c:pt>
                <c:pt idx="91">
                  <c:v>83.176377110267126</c:v>
                </c:pt>
                <c:pt idx="92">
                  <c:v>85.113803820237734</c:v>
                </c:pt>
                <c:pt idx="93">
                  <c:v>87.096358995608071</c:v>
                </c:pt>
                <c:pt idx="94">
                  <c:v>89.125093813374562</c:v>
                </c:pt>
                <c:pt idx="95">
                  <c:v>91.201083935590972</c:v>
                </c:pt>
                <c:pt idx="96">
                  <c:v>93.325430079699174</c:v>
                </c:pt>
                <c:pt idx="97">
                  <c:v>95.499258602143655</c:v>
                </c:pt>
                <c:pt idx="98">
                  <c:v>97.723722095581124</c:v>
                </c:pt>
                <c:pt idx="99">
                  <c:v>100</c:v>
                </c:pt>
                <c:pt idx="100">
                  <c:v>102.32929922807544</c:v>
                </c:pt>
                <c:pt idx="101">
                  <c:v>104.71285480508998</c:v>
                </c:pt>
                <c:pt idx="102">
                  <c:v>107.15193052376065</c:v>
                </c:pt>
                <c:pt idx="103">
                  <c:v>109.64781961431861</c:v>
                </c:pt>
                <c:pt idx="104">
                  <c:v>112.20184543019634</c:v>
                </c:pt>
                <c:pt idx="105">
                  <c:v>114.81536214968835</c:v>
                </c:pt>
                <c:pt idx="106">
                  <c:v>117.48975549395293</c:v>
                </c:pt>
                <c:pt idx="107">
                  <c:v>120.22644346174135</c:v>
                </c:pt>
                <c:pt idx="108">
                  <c:v>123.02687708123821</c:v>
                </c:pt>
                <c:pt idx="109">
                  <c:v>125.89254117941677</c:v>
                </c:pt>
                <c:pt idx="110">
                  <c:v>128.82495516931343</c:v>
                </c:pt>
                <c:pt idx="111">
                  <c:v>131.82567385564084</c:v>
                </c:pt>
                <c:pt idx="112">
                  <c:v>134.89628825916537</c:v>
                </c:pt>
                <c:pt idx="113">
                  <c:v>138.0384264602886</c:v>
                </c:pt>
                <c:pt idx="114">
                  <c:v>141.25375446227542</c:v>
                </c:pt>
                <c:pt idx="115">
                  <c:v>144.54397707459285</c:v>
                </c:pt>
                <c:pt idx="116">
                  <c:v>147.91083881682084</c:v>
                </c:pt>
                <c:pt idx="117">
                  <c:v>151.3561248436209</c:v>
                </c:pt>
                <c:pt idx="118">
                  <c:v>154.8816618912482</c:v>
                </c:pt>
                <c:pt idx="119">
                  <c:v>158.48931924611153</c:v>
                </c:pt>
                <c:pt idx="120">
                  <c:v>162.18100973589304</c:v>
                </c:pt>
                <c:pt idx="121">
                  <c:v>165.95869074375622</c:v>
                </c:pt>
                <c:pt idx="122">
                  <c:v>169.82436524617444</c:v>
                </c:pt>
                <c:pt idx="123">
                  <c:v>173.78008287493768</c:v>
                </c:pt>
                <c:pt idx="124">
                  <c:v>177.82794100389242</c:v>
                </c:pt>
                <c:pt idx="125">
                  <c:v>181.9700858609983</c:v>
                </c:pt>
                <c:pt idx="126">
                  <c:v>186.20871366628685</c:v>
                </c:pt>
                <c:pt idx="127">
                  <c:v>190.54607179632498</c:v>
                </c:pt>
                <c:pt idx="128">
                  <c:v>194.98445997580458</c:v>
                </c:pt>
                <c:pt idx="129">
                  <c:v>199.52623149688802</c:v>
                </c:pt>
                <c:pt idx="130">
                  <c:v>204.17379446695315</c:v>
                </c:pt>
                <c:pt idx="131">
                  <c:v>208.92961308540396</c:v>
                </c:pt>
                <c:pt idx="132">
                  <c:v>213.79620895022339</c:v>
                </c:pt>
                <c:pt idx="133">
                  <c:v>218.77616239495524</c:v>
                </c:pt>
                <c:pt idx="134">
                  <c:v>223.87211385683412</c:v>
                </c:pt>
                <c:pt idx="135">
                  <c:v>229.08676527677744</c:v>
                </c:pt>
                <c:pt idx="136">
                  <c:v>234.42288153199232</c:v>
                </c:pt>
                <c:pt idx="137">
                  <c:v>239.88329190194912</c:v>
                </c:pt>
                <c:pt idx="138">
                  <c:v>245.4708915685033</c:v>
                </c:pt>
                <c:pt idx="139">
                  <c:v>251.18864315095806</c:v>
                </c:pt>
                <c:pt idx="140">
                  <c:v>257.03957827688663</c:v>
                </c:pt>
                <c:pt idx="141">
                  <c:v>263.02679918953817</c:v>
                </c:pt>
                <c:pt idx="142">
                  <c:v>269.15348039269179</c:v>
                </c:pt>
                <c:pt idx="143">
                  <c:v>275.42287033381683</c:v>
                </c:pt>
                <c:pt idx="144">
                  <c:v>281.83829312644554</c:v>
                </c:pt>
                <c:pt idx="145">
                  <c:v>288.40315031266073</c:v>
                </c:pt>
                <c:pt idx="146">
                  <c:v>295.12092266663871</c:v>
                </c:pt>
                <c:pt idx="147">
                  <c:v>301.99517204020168</c:v>
                </c:pt>
                <c:pt idx="148">
                  <c:v>309.02954325135937</c:v>
                </c:pt>
                <c:pt idx="149">
                  <c:v>316.22776601683825</c:v>
                </c:pt>
                <c:pt idx="150">
                  <c:v>323.59365692962825</c:v>
                </c:pt>
                <c:pt idx="151">
                  <c:v>331.13112148259137</c:v>
                </c:pt>
                <c:pt idx="152">
                  <c:v>338.84415613920277</c:v>
                </c:pt>
                <c:pt idx="153">
                  <c:v>346.73685045253183</c:v>
                </c:pt>
                <c:pt idx="154">
                  <c:v>354.81338923357566</c:v>
                </c:pt>
                <c:pt idx="155">
                  <c:v>363.07805477010152</c:v>
                </c:pt>
                <c:pt idx="156">
                  <c:v>371.53522909717265</c:v>
                </c:pt>
                <c:pt idx="157">
                  <c:v>380.18939632056163</c:v>
                </c:pt>
                <c:pt idx="158">
                  <c:v>389.04514499428063</c:v>
                </c:pt>
                <c:pt idx="159">
                  <c:v>398.10717055349761</c:v>
                </c:pt>
                <c:pt idx="160">
                  <c:v>407.38027780411272</c:v>
                </c:pt>
                <c:pt idx="161">
                  <c:v>416.86938347033572</c:v>
                </c:pt>
                <c:pt idx="162">
                  <c:v>426.57951880159294</c:v>
                </c:pt>
                <c:pt idx="163">
                  <c:v>436.51583224016622</c:v>
                </c:pt>
                <c:pt idx="164">
                  <c:v>446.68359215096331</c:v>
                </c:pt>
                <c:pt idx="165">
                  <c:v>457.0881896148756</c:v>
                </c:pt>
                <c:pt idx="166">
                  <c:v>467.7351412871983</c:v>
                </c:pt>
                <c:pt idx="167">
                  <c:v>478.63009232263886</c:v>
                </c:pt>
                <c:pt idx="168">
                  <c:v>489.77881936844625</c:v>
                </c:pt>
                <c:pt idx="169">
                  <c:v>501.18723362727269</c:v>
                </c:pt>
                <c:pt idx="170">
                  <c:v>512.86138399136519</c:v>
                </c:pt>
                <c:pt idx="171">
                  <c:v>524.80746024977248</c:v>
                </c:pt>
                <c:pt idx="172">
                  <c:v>537.03179637025301</c:v>
                </c:pt>
                <c:pt idx="173">
                  <c:v>549.54087385762534</c:v>
                </c:pt>
                <c:pt idx="174">
                  <c:v>562.34132519034927</c:v>
                </c:pt>
                <c:pt idx="175">
                  <c:v>575.43993733715706</c:v>
                </c:pt>
                <c:pt idx="176">
                  <c:v>588.84365535558959</c:v>
                </c:pt>
                <c:pt idx="177">
                  <c:v>602.55958607435832</c:v>
                </c:pt>
                <c:pt idx="178">
                  <c:v>616.59500186148273</c:v>
                </c:pt>
                <c:pt idx="179">
                  <c:v>630.95734448019323</c:v>
                </c:pt>
                <c:pt idx="180">
                  <c:v>645.65422903465594</c:v>
                </c:pt>
                <c:pt idx="181">
                  <c:v>660.69344800759643</c:v>
                </c:pt>
                <c:pt idx="182">
                  <c:v>676.08297539198213</c:v>
                </c:pt>
                <c:pt idx="183">
                  <c:v>691.83097091893671</c:v>
                </c:pt>
                <c:pt idx="184">
                  <c:v>707.94578438413873</c:v>
                </c:pt>
                <c:pt idx="185">
                  <c:v>724.43596007499025</c:v>
                </c:pt>
                <c:pt idx="186">
                  <c:v>741.31024130091828</c:v>
                </c:pt>
                <c:pt idx="187">
                  <c:v>758.57757502918378</c:v>
                </c:pt>
                <c:pt idx="188">
                  <c:v>776.24711662869231</c:v>
                </c:pt>
                <c:pt idx="189">
                  <c:v>794.32823472428208</c:v>
                </c:pt>
                <c:pt idx="190">
                  <c:v>812.83051616409978</c:v>
                </c:pt>
                <c:pt idx="191">
                  <c:v>831.7637711026714</c:v>
                </c:pt>
                <c:pt idx="192">
                  <c:v>851.13803820237763</c:v>
                </c:pt>
                <c:pt idx="193">
                  <c:v>870.96358995608091</c:v>
                </c:pt>
                <c:pt idx="194">
                  <c:v>891.25093813374656</c:v>
                </c:pt>
                <c:pt idx="195">
                  <c:v>912.01083935590987</c:v>
                </c:pt>
                <c:pt idx="196">
                  <c:v>933.25430079699106</c:v>
                </c:pt>
                <c:pt idx="197">
                  <c:v>954.99258602143675</c:v>
                </c:pt>
                <c:pt idx="198">
                  <c:v>977.23722095581138</c:v>
                </c:pt>
                <c:pt idx="199">
                  <c:v>1000</c:v>
                </c:pt>
                <c:pt idx="200">
                  <c:v>1023.2929922807547</c:v>
                </c:pt>
                <c:pt idx="201">
                  <c:v>1047.1285480509</c:v>
                </c:pt>
                <c:pt idx="202">
                  <c:v>1071.5193052376069</c:v>
                </c:pt>
                <c:pt idx="203">
                  <c:v>1096.4781961431863</c:v>
                </c:pt>
                <c:pt idx="204">
                  <c:v>1122.0184543019636</c:v>
                </c:pt>
                <c:pt idx="205">
                  <c:v>1148.1536214968839</c:v>
                </c:pt>
                <c:pt idx="206">
                  <c:v>1174.8975549395295</c:v>
                </c:pt>
                <c:pt idx="207">
                  <c:v>1202.2644346174138</c:v>
                </c:pt>
                <c:pt idx="208">
                  <c:v>1230.2687708123824</c:v>
                </c:pt>
                <c:pt idx="209">
                  <c:v>1258.925411794168</c:v>
                </c:pt>
                <c:pt idx="210">
                  <c:v>1288.2495516931347</c:v>
                </c:pt>
                <c:pt idx="211">
                  <c:v>1318.2567385564089</c:v>
                </c:pt>
                <c:pt idx="212">
                  <c:v>1348.9628825916541</c:v>
                </c:pt>
                <c:pt idx="213">
                  <c:v>1380.3842646028863</c:v>
                </c:pt>
                <c:pt idx="214">
                  <c:v>1412.5375446227545</c:v>
                </c:pt>
                <c:pt idx="215">
                  <c:v>1445.4397707459289</c:v>
                </c:pt>
                <c:pt idx="216">
                  <c:v>1479.1083881682086</c:v>
                </c:pt>
                <c:pt idx="217">
                  <c:v>1513.5612484362093</c:v>
                </c:pt>
                <c:pt idx="218">
                  <c:v>1548.8166189124822</c:v>
                </c:pt>
                <c:pt idx="219">
                  <c:v>1584.8931924611156</c:v>
                </c:pt>
                <c:pt idx="220">
                  <c:v>1621.8100973589308</c:v>
                </c:pt>
                <c:pt idx="221">
                  <c:v>1659.5869074375626</c:v>
                </c:pt>
                <c:pt idx="222">
                  <c:v>1698.2436524617447</c:v>
                </c:pt>
                <c:pt idx="223">
                  <c:v>1737.8008287493772</c:v>
                </c:pt>
                <c:pt idx="224">
                  <c:v>1778.2794100389244</c:v>
                </c:pt>
                <c:pt idx="225">
                  <c:v>1819.7008586099832</c:v>
                </c:pt>
                <c:pt idx="226">
                  <c:v>1862.0871366628687</c:v>
                </c:pt>
                <c:pt idx="227">
                  <c:v>1905.4607179632501</c:v>
                </c:pt>
                <c:pt idx="228">
                  <c:v>1949.8445997580463</c:v>
                </c:pt>
                <c:pt idx="229">
                  <c:v>1995.2623149688804</c:v>
                </c:pt>
                <c:pt idx="230">
                  <c:v>2041.7379446695318</c:v>
                </c:pt>
                <c:pt idx="231">
                  <c:v>2089.2961308540398</c:v>
                </c:pt>
                <c:pt idx="232">
                  <c:v>2137.9620895022344</c:v>
                </c:pt>
                <c:pt idx="233">
                  <c:v>2187.7616239495528</c:v>
                </c:pt>
                <c:pt idx="234">
                  <c:v>2238.7211385683418</c:v>
                </c:pt>
                <c:pt idx="235">
                  <c:v>2290.8676527677749</c:v>
                </c:pt>
                <c:pt idx="236">
                  <c:v>2344.2288153199238</c:v>
                </c:pt>
                <c:pt idx="237">
                  <c:v>2398.8329190194918</c:v>
                </c:pt>
                <c:pt idx="238">
                  <c:v>2454.7089156850338</c:v>
                </c:pt>
                <c:pt idx="239">
                  <c:v>2511.8864315095811</c:v>
                </c:pt>
                <c:pt idx="240">
                  <c:v>2570.3957827688669</c:v>
                </c:pt>
                <c:pt idx="241">
                  <c:v>2630.2679918953822</c:v>
                </c:pt>
                <c:pt idx="242">
                  <c:v>2691.5348039269184</c:v>
                </c:pt>
                <c:pt idx="243">
                  <c:v>2754.228703338169</c:v>
                </c:pt>
                <c:pt idx="244">
                  <c:v>2818.3829312644561</c:v>
                </c:pt>
                <c:pt idx="245">
                  <c:v>2884.0315031266077</c:v>
                </c:pt>
                <c:pt idx="246">
                  <c:v>2951.2092266663876</c:v>
                </c:pt>
                <c:pt idx="247">
                  <c:v>3019.9517204020176</c:v>
                </c:pt>
                <c:pt idx="248">
                  <c:v>3090.295432513592</c:v>
                </c:pt>
                <c:pt idx="249">
                  <c:v>3162.2776601683804</c:v>
                </c:pt>
                <c:pt idx="250">
                  <c:v>3235.9365692962833</c:v>
                </c:pt>
                <c:pt idx="251">
                  <c:v>3311.3112148259115</c:v>
                </c:pt>
                <c:pt idx="252">
                  <c:v>3388.4415613920314</c:v>
                </c:pt>
                <c:pt idx="253">
                  <c:v>3467.3685045253224</c:v>
                </c:pt>
                <c:pt idx="254">
                  <c:v>3548.1338923357539</c:v>
                </c:pt>
                <c:pt idx="255">
                  <c:v>3630.7805477010188</c:v>
                </c:pt>
                <c:pt idx="256">
                  <c:v>3715.352290971724</c:v>
                </c:pt>
                <c:pt idx="257">
                  <c:v>3801.8939632056172</c:v>
                </c:pt>
                <c:pt idx="258">
                  <c:v>3890.451449942811</c:v>
                </c:pt>
                <c:pt idx="259">
                  <c:v>3981.0717055349769</c:v>
                </c:pt>
                <c:pt idx="260">
                  <c:v>4073.8027780411317</c:v>
                </c:pt>
                <c:pt idx="261">
                  <c:v>4168.6938347033583</c:v>
                </c:pt>
                <c:pt idx="262">
                  <c:v>4265.7951880159299</c:v>
                </c:pt>
                <c:pt idx="263">
                  <c:v>4365.1583224016631</c:v>
                </c:pt>
                <c:pt idx="264">
                  <c:v>4466.8359215096343</c:v>
                </c:pt>
                <c:pt idx="265">
                  <c:v>4570.8818961487532</c:v>
                </c:pt>
                <c:pt idx="266">
                  <c:v>4677.3514128719844</c:v>
                </c:pt>
                <c:pt idx="267">
                  <c:v>4786.3009232263848</c:v>
                </c:pt>
                <c:pt idx="268">
                  <c:v>4897.7881936844633</c:v>
                </c:pt>
                <c:pt idx="269">
                  <c:v>5011.8723362727324</c:v>
                </c:pt>
                <c:pt idx="270">
                  <c:v>5128.6138399136489</c:v>
                </c:pt>
                <c:pt idx="271">
                  <c:v>5248.0746024977261</c:v>
                </c:pt>
                <c:pt idx="272">
                  <c:v>5370.3179637025269</c:v>
                </c:pt>
                <c:pt idx="273">
                  <c:v>5495.4087385762541</c:v>
                </c:pt>
                <c:pt idx="274">
                  <c:v>5623.4132519034993</c:v>
                </c:pt>
                <c:pt idx="275">
                  <c:v>5754.399373371567</c:v>
                </c:pt>
                <c:pt idx="276">
                  <c:v>5888.4365535558973</c:v>
                </c:pt>
                <c:pt idx="277">
                  <c:v>6025.595860743585</c:v>
                </c:pt>
                <c:pt idx="278">
                  <c:v>6165.9500186148289</c:v>
                </c:pt>
                <c:pt idx="279">
                  <c:v>6309.5734448019384</c:v>
                </c:pt>
                <c:pt idx="280">
                  <c:v>6456.5422903465615</c:v>
                </c:pt>
                <c:pt idx="281">
                  <c:v>6606.9344800759654</c:v>
                </c:pt>
                <c:pt idx="282">
                  <c:v>6760.8297539198229</c:v>
                </c:pt>
                <c:pt idx="283">
                  <c:v>6918.3097091893687</c:v>
                </c:pt>
                <c:pt idx="284">
                  <c:v>7079.4578438413828</c:v>
                </c:pt>
                <c:pt idx="285">
                  <c:v>7244.3596007499036</c:v>
                </c:pt>
                <c:pt idx="286">
                  <c:v>7413.1024130091773</c:v>
                </c:pt>
                <c:pt idx="287">
                  <c:v>7585.7757502918394</c:v>
                </c:pt>
                <c:pt idx="288">
                  <c:v>7762.4711662869322</c:v>
                </c:pt>
                <c:pt idx="289">
                  <c:v>7943.2823472428154</c:v>
                </c:pt>
                <c:pt idx="290">
                  <c:v>8128.3051616410066</c:v>
                </c:pt>
                <c:pt idx="291">
                  <c:v>8317.6377110267094</c:v>
                </c:pt>
                <c:pt idx="292">
                  <c:v>8511.3803820237772</c:v>
                </c:pt>
                <c:pt idx="293">
                  <c:v>8709.6358995608189</c:v>
                </c:pt>
                <c:pt idx="294">
                  <c:v>8912.5093813374679</c:v>
                </c:pt>
                <c:pt idx="295">
                  <c:v>9120.1083935591087</c:v>
                </c:pt>
                <c:pt idx="296">
                  <c:v>9332.5430079699217</c:v>
                </c:pt>
                <c:pt idx="297">
                  <c:v>9549.9258602143691</c:v>
                </c:pt>
                <c:pt idx="298">
                  <c:v>9772.3722095581161</c:v>
                </c:pt>
                <c:pt idx="299">
                  <c:v>10000</c:v>
                </c:pt>
                <c:pt idx="300">
                  <c:v>10232.929922807549</c:v>
                </c:pt>
                <c:pt idx="301">
                  <c:v>10471.285480509003</c:v>
                </c:pt>
                <c:pt idx="302">
                  <c:v>10715.193052376071</c:v>
                </c:pt>
                <c:pt idx="303">
                  <c:v>10964.781961431856</c:v>
                </c:pt>
                <c:pt idx="304">
                  <c:v>11220.184543019639</c:v>
                </c:pt>
                <c:pt idx="305">
                  <c:v>11481.536214968832</c:v>
                </c:pt>
                <c:pt idx="306">
                  <c:v>11748.975549395318</c:v>
                </c:pt>
                <c:pt idx="307">
                  <c:v>12022.644346174151</c:v>
                </c:pt>
                <c:pt idx="308">
                  <c:v>12302.687708123816</c:v>
                </c:pt>
                <c:pt idx="309">
                  <c:v>12589.254117941671</c:v>
                </c:pt>
                <c:pt idx="310">
                  <c:v>12882.49551693136</c:v>
                </c:pt>
                <c:pt idx="311">
                  <c:v>13182.567385564091</c:v>
                </c:pt>
                <c:pt idx="312">
                  <c:v>13489.628825916556</c:v>
                </c:pt>
                <c:pt idx="313">
                  <c:v>13803.842646028841</c:v>
                </c:pt>
                <c:pt idx="314">
                  <c:v>14125.375446227561</c:v>
                </c:pt>
                <c:pt idx="315">
                  <c:v>14454.397707459291</c:v>
                </c:pt>
                <c:pt idx="316">
                  <c:v>14791.083881682089</c:v>
                </c:pt>
                <c:pt idx="317">
                  <c:v>15135.612484362096</c:v>
                </c:pt>
                <c:pt idx="318">
                  <c:v>15488.166189124853</c:v>
                </c:pt>
                <c:pt idx="319">
                  <c:v>15848.931924611146</c:v>
                </c:pt>
                <c:pt idx="320">
                  <c:v>16218.100973589309</c:v>
                </c:pt>
                <c:pt idx="321">
                  <c:v>16595.869074375616</c:v>
                </c:pt>
                <c:pt idx="322">
                  <c:v>16982.436524617482</c:v>
                </c:pt>
                <c:pt idx="323">
                  <c:v>17378.008287493791</c:v>
                </c:pt>
                <c:pt idx="324">
                  <c:v>17782.794100389234</c:v>
                </c:pt>
                <c:pt idx="325">
                  <c:v>18197.008586099837</c:v>
                </c:pt>
                <c:pt idx="326">
                  <c:v>18620.871366628675</c:v>
                </c:pt>
                <c:pt idx="327">
                  <c:v>19054.607179632505</c:v>
                </c:pt>
                <c:pt idx="328">
                  <c:v>19498.445997580486</c:v>
                </c:pt>
                <c:pt idx="329">
                  <c:v>19952.623149688792</c:v>
                </c:pt>
                <c:pt idx="330">
                  <c:v>20417.379446695286</c:v>
                </c:pt>
                <c:pt idx="331">
                  <c:v>20892.961308540423</c:v>
                </c:pt>
                <c:pt idx="332">
                  <c:v>21379.620895022348</c:v>
                </c:pt>
                <c:pt idx="333">
                  <c:v>21877.61623949555</c:v>
                </c:pt>
                <c:pt idx="334">
                  <c:v>22387.211385683382</c:v>
                </c:pt>
                <c:pt idx="335">
                  <c:v>22908.676527677751</c:v>
                </c:pt>
                <c:pt idx="336">
                  <c:v>23442.288153199243</c:v>
                </c:pt>
                <c:pt idx="337">
                  <c:v>23988.329190194923</c:v>
                </c:pt>
                <c:pt idx="338">
                  <c:v>24547.089156850321</c:v>
                </c:pt>
                <c:pt idx="339">
                  <c:v>25118.86431509586</c:v>
                </c:pt>
                <c:pt idx="340">
                  <c:v>25703.95782768865</c:v>
                </c:pt>
                <c:pt idx="341">
                  <c:v>26302.679918953829</c:v>
                </c:pt>
                <c:pt idx="342">
                  <c:v>26915.348039269167</c:v>
                </c:pt>
                <c:pt idx="343">
                  <c:v>27542.287033381719</c:v>
                </c:pt>
                <c:pt idx="344">
                  <c:v>28183.829312644593</c:v>
                </c:pt>
                <c:pt idx="345">
                  <c:v>28840.315031266062</c:v>
                </c:pt>
                <c:pt idx="346">
                  <c:v>29512.092266663854</c:v>
                </c:pt>
                <c:pt idx="347">
                  <c:v>30199.517204020212</c:v>
                </c:pt>
                <c:pt idx="348">
                  <c:v>30902.954325135954</c:v>
                </c:pt>
                <c:pt idx="349">
                  <c:v>31622.77660168384</c:v>
                </c:pt>
                <c:pt idx="350">
                  <c:v>32359.365692962871</c:v>
                </c:pt>
                <c:pt idx="351">
                  <c:v>33113.11214825909</c:v>
                </c:pt>
                <c:pt idx="352">
                  <c:v>33884.41561392029</c:v>
                </c:pt>
                <c:pt idx="353">
                  <c:v>34673.685045253202</c:v>
                </c:pt>
                <c:pt idx="354">
                  <c:v>35481.33892335758</c:v>
                </c:pt>
                <c:pt idx="355">
                  <c:v>36307.805477010232</c:v>
                </c:pt>
                <c:pt idx="356">
                  <c:v>37153.522909717351</c:v>
                </c:pt>
                <c:pt idx="357">
                  <c:v>38018.939632056143</c:v>
                </c:pt>
                <c:pt idx="358">
                  <c:v>38904.514499428085</c:v>
                </c:pt>
                <c:pt idx="359">
                  <c:v>39810.717055349742</c:v>
                </c:pt>
                <c:pt idx="360">
                  <c:v>40738.027780411358</c:v>
                </c:pt>
                <c:pt idx="361">
                  <c:v>41686.938347033625</c:v>
                </c:pt>
                <c:pt idx="362">
                  <c:v>42657.951880159271</c:v>
                </c:pt>
                <c:pt idx="363">
                  <c:v>43651.583224016598</c:v>
                </c:pt>
                <c:pt idx="364">
                  <c:v>44668.359215096389</c:v>
                </c:pt>
                <c:pt idx="365">
                  <c:v>45708.818961487581</c:v>
                </c:pt>
                <c:pt idx="366">
                  <c:v>46773.514128719893</c:v>
                </c:pt>
                <c:pt idx="367">
                  <c:v>47863.009232263823</c:v>
                </c:pt>
                <c:pt idx="368">
                  <c:v>48977.881936844598</c:v>
                </c:pt>
                <c:pt idx="369">
                  <c:v>50118.723362727294</c:v>
                </c:pt>
                <c:pt idx="370">
                  <c:v>51286.138399136544</c:v>
                </c:pt>
                <c:pt idx="371">
                  <c:v>52480.746024977314</c:v>
                </c:pt>
                <c:pt idx="372">
                  <c:v>53703.179637025423</c:v>
                </c:pt>
                <c:pt idx="373">
                  <c:v>54954.087385762505</c:v>
                </c:pt>
                <c:pt idx="374">
                  <c:v>56234.132519034953</c:v>
                </c:pt>
                <c:pt idx="375">
                  <c:v>57543.993733715732</c:v>
                </c:pt>
                <c:pt idx="376">
                  <c:v>58884.365535558936</c:v>
                </c:pt>
                <c:pt idx="377">
                  <c:v>60255.95860743591</c:v>
                </c:pt>
                <c:pt idx="378">
                  <c:v>61659.500186148245</c:v>
                </c:pt>
                <c:pt idx="379">
                  <c:v>63095.734448019342</c:v>
                </c:pt>
                <c:pt idx="380">
                  <c:v>64565.422903465682</c:v>
                </c:pt>
                <c:pt idx="381">
                  <c:v>66069.344800759733</c:v>
                </c:pt>
                <c:pt idx="382">
                  <c:v>67608.297539198305</c:v>
                </c:pt>
                <c:pt idx="383">
                  <c:v>69183.097091893651</c:v>
                </c:pt>
                <c:pt idx="384">
                  <c:v>70794.578438413781</c:v>
                </c:pt>
                <c:pt idx="385">
                  <c:v>72443.596007499116</c:v>
                </c:pt>
                <c:pt idx="386">
                  <c:v>74131.024130091857</c:v>
                </c:pt>
                <c:pt idx="387">
                  <c:v>75857.757502918481</c:v>
                </c:pt>
                <c:pt idx="388">
                  <c:v>77624.711662869129</c:v>
                </c:pt>
                <c:pt idx="389">
                  <c:v>79432.823472428237</c:v>
                </c:pt>
                <c:pt idx="390">
                  <c:v>81283.051616410012</c:v>
                </c:pt>
                <c:pt idx="391">
                  <c:v>83176.377110267174</c:v>
                </c:pt>
                <c:pt idx="392">
                  <c:v>85113.803820237721</c:v>
                </c:pt>
                <c:pt idx="393">
                  <c:v>87096.358995608127</c:v>
                </c:pt>
                <c:pt idx="394">
                  <c:v>89125.093813374609</c:v>
                </c:pt>
                <c:pt idx="395">
                  <c:v>91201.083935591028</c:v>
                </c:pt>
                <c:pt idx="396">
                  <c:v>93325.430079699145</c:v>
                </c:pt>
                <c:pt idx="397">
                  <c:v>95499.258602143804</c:v>
                </c:pt>
                <c:pt idx="398">
                  <c:v>97723.722095581266</c:v>
                </c:pt>
                <c:pt idx="399">
                  <c:v>100000</c:v>
                </c:pt>
                <c:pt idx="400">
                  <c:v>102329.29922807543</c:v>
                </c:pt>
                <c:pt idx="401">
                  <c:v>104712.85480508996</c:v>
                </c:pt>
                <c:pt idx="402">
                  <c:v>107151.93052376082</c:v>
                </c:pt>
                <c:pt idx="403">
                  <c:v>109647.81961431868</c:v>
                </c:pt>
                <c:pt idx="404">
                  <c:v>112201.84543019651</c:v>
                </c:pt>
                <c:pt idx="405">
                  <c:v>114815.36214968823</c:v>
                </c:pt>
                <c:pt idx="406">
                  <c:v>117489.75549395311</c:v>
                </c:pt>
                <c:pt idx="407">
                  <c:v>120226.44346174144</c:v>
                </c:pt>
                <c:pt idx="408">
                  <c:v>123026.87708123829</c:v>
                </c:pt>
                <c:pt idx="409">
                  <c:v>125892.54117941685</c:v>
                </c:pt>
                <c:pt idx="410">
                  <c:v>128824.95516931375</c:v>
                </c:pt>
                <c:pt idx="411">
                  <c:v>131825.67385564081</c:v>
                </c:pt>
                <c:pt idx="412">
                  <c:v>134896.28825916545</c:v>
                </c:pt>
                <c:pt idx="413">
                  <c:v>138038.42646028858</c:v>
                </c:pt>
                <c:pt idx="414">
                  <c:v>141253.75446227577</c:v>
                </c:pt>
                <c:pt idx="415">
                  <c:v>144543.97707459307</c:v>
                </c:pt>
                <c:pt idx="416">
                  <c:v>147910.83881682079</c:v>
                </c:pt>
                <c:pt idx="417">
                  <c:v>151356.12484362084</c:v>
                </c:pt>
                <c:pt idx="418">
                  <c:v>154881.66189124843</c:v>
                </c:pt>
                <c:pt idx="419">
                  <c:v>158489.31924611164</c:v>
                </c:pt>
                <c:pt idx="420">
                  <c:v>162181.00973589328</c:v>
                </c:pt>
                <c:pt idx="421">
                  <c:v>165958.69074375604</c:v>
                </c:pt>
                <c:pt idx="422">
                  <c:v>169824.36524617471</c:v>
                </c:pt>
                <c:pt idx="423">
                  <c:v>173780.0828749378</c:v>
                </c:pt>
                <c:pt idx="424">
                  <c:v>177827.94100389251</c:v>
                </c:pt>
                <c:pt idx="425">
                  <c:v>181970.08586099857</c:v>
                </c:pt>
                <c:pt idx="426">
                  <c:v>186208.71366628664</c:v>
                </c:pt>
                <c:pt idx="427">
                  <c:v>190546.07179632492</c:v>
                </c:pt>
                <c:pt idx="428">
                  <c:v>194984.45997580473</c:v>
                </c:pt>
                <c:pt idx="429">
                  <c:v>199526.23149688813</c:v>
                </c:pt>
                <c:pt idx="430">
                  <c:v>204173.79446695308</c:v>
                </c:pt>
                <c:pt idx="431">
                  <c:v>208929.61308540447</c:v>
                </c:pt>
                <c:pt idx="432">
                  <c:v>213796.20895022334</c:v>
                </c:pt>
                <c:pt idx="433">
                  <c:v>218776.16239495538</c:v>
                </c:pt>
                <c:pt idx="434">
                  <c:v>223872.11385683404</c:v>
                </c:pt>
                <c:pt idx="435">
                  <c:v>229086.76527677779</c:v>
                </c:pt>
                <c:pt idx="436">
                  <c:v>234422.88153199267</c:v>
                </c:pt>
                <c:pt idx="437">
                  <c:v>239883.29190194907</c:v>
                </c:pt>
                <c:pt idx="438">
                  <c:v>245470.89156850305</c:v>
                </c:pt>
                <c:pt idx="439">
                  <c:v>251188.64315095844</c:v>
                </c:pt>
                <c:pt idx="440">
                  <c:v>257039.57827688678</c:v>
                </c:pt>
                <c:pt idx="441">
                  <c:v>263026.79918953858</c:v>
                </c:pt>
                <c:pt idx="442">
                  <c:v>269153.48039269145</c:v>
                </c:pt>
                <c:pt idx="443">
                  <c:v>275422.87033381703</c:v>
                </c:pt>
                <c:pt idx="444">
                  <c:v>281838.29312644573</c:v>
                </c:pt>
                <c:pt idx="445">
                  <c:v>288403.1503126609</c:v>
                </c:pt>
                <c:pt idx="446">
                  <c:v>295120.92266663886</c:v>
                </c:pt>
                <c:pt idx="447">
                  <c:v>301995.17204020242</c:v>
                </c:pt>
                <c:pt idx="448">
                  <c:v>309029.54325135931</c:v>
                </c:pt>
                <c:pt idx="449">
                  <c:v>316227.7660168382</c:v>
                </c:pt>
                <c:pt idx="450">
                  <c:v>323593.65692962846</c:v>
                </c:pt>
                <c:pt idx="451">
                  <c:v>331131.12148259126</c:v>
                </c:pt>
                <c:pt idx="452">
                  <c:v>338844.15613920329</c:v>
                </c:pt>
                <c:pt idx="453">
                  <c:v>346736.85045253241</c:v>
                </c:pt>
                <c:pt idx="454">
                  <c:v>354813.38923357555</c:v>
                </c:pt>
                <c:pt idx="455">
                  <c:v>363078.05477010203</c:v>
                </c:pt>
                <c:pt idx="456">
                  <c:v>371535.2290971732</c:v>
                </c:pt>
                <c:pt idx="457">
                  <c:v>380189.39632056188</c:v>
                </c:pt>
                <c:pt idx="458">
                  <c:v>389045.14499428123</c:v>
                </c:pt>
                <c:pt idx="459">
                  <c:v>398107.17055349716</c:v>
                </c:pt>
                <c:pt idx="460">
                  <c:v>407380.27780411334</c:v>
                </c:pt>
                <c:pt idx="461">
                  <c:v>416869.38347033598</c:v>
                </c:pt>
                <c:pt idx="462">
                  <c:v>426579.51880159322</c:v>
                </c:pt>
                <c:pt idx="463">
                  <c:v>436515.83224016649</c:v>
                </c:pt>
                <c:pt idx="464">
                  <c:v>446683.59215096442</c:v>
                </c:pt>
                <c:pt idx="465">
                  <c:v>457088.18961487547</c:v>
                </c:pt>
                <c:pt idx="466">
                  <c:v>467735.14128719864</c:v>
                </c:pt>
                <c:pt idx="467">
                  <c:v>478630.09232263872</c:v>
                </c:pt>
                <c:pt idx="468">
                  <c:v>489778.81936844654</c:v>
                </c:pt>
                <c:pt idx="469">
                  <c:v>501187.23362727347</c:v>
                </c:pt>
                <c:pt idx="470">
                  <c:v>512861.38399136515</c:v>
                </c:pt>
                <c:pt idx="471">
                  <c:v>524807.46024977288</c:v>
                </c:pt>
                <c:pt idx="472">
                  <c:v>537031.7963702539</c:v>
                </c:pt>
                <c:pt idx="473">
                  <c:v>549540.87385762564</c:v>
                </c:pt>
                <c:pt idx="474">
                  <c:v>562341.32519035018</c:v>
                </c:pt>
                <c:pt idx="475">
                  <c:v>575439.93733715697</c:v>
                </c:pt>
                <c:pt idx="476">
                  <c:v>588843.65535558888</c:v>
                </c:pt>
                <c:pt idx="477">
                  <c:v>602559.58607435878</c:v>
                </c:pt>
                <c:pt idx="478">
                  <c:v>616595.00186148309</c:v>
                </c:pt>
                <c:pt idx="479">
                  <c:v>630957.34448019415</c:v>
                </c:pt>
                <c:pt idx="480">
                  <c:v>645654.22903465747</c:v>
                </c:pt>
                <c:pt idx="481">
                  <c:v>660693.44800759677</c:v>
                </c:pt>
                <c:pt idx="482">
                  <c:v>676082.97539198259</c:v>
                </c:pt>
                <c:pt idx="483">
                  <c:v>691830.97091893724</c:v>
                </c:pt>
                <c:pt idx="484">
                  <c:v>707945.78438413853</c:v>
                </c:pt>
                <c:pt idx="485">
                  <c:v>724435.96007499192</c:v>
                </c:pt>
                <c:pt idx="486">
                  <c:v>741310.24130091805</c:v>
                </c:pt>
                <c:pt idx="487">
                  <c:v>758577.57502918423</c:v>
                </c:pt>
                <c:pt idx="488">
                  <c:v>776247.11662869214</c:v>
                </c:pt>
                <c:pt idx="489">
                  <c:v>794328.23472428333</c:v>
                </c:pt>
                <c:pt idx="490">
                  <c:v>812830.51616410096</c:v>
                </c:pt>
                <c:pt idx="491">
                  <c:v>831763.77110267128</c:v>
                </c:pt>
                <c:pt idx="492">
                  <c:v>851138.03820237669</c:v>
                </c:pt>
                <c:pt idx="493">
                  <c:v>870963.58995608077</c:v>
                </c:pt>
                <c:pt idx="494">
                  <c:v>891250.93813374708</c:v>
                </c:pt>
                <c:pt idx="495">
                  <c:v>912010.83935591124</c:v>
                </c:pt>
                <c:pt idx="496">
                  <c:v>933254.30079699249</c:v>
                </c:pt>
                <c:pt idx="497">
                  <c:v>954992.58602143743</c:v>
                </c:pt>
                <c:pt idx="498">
                  <c:v>977237.22095581202</c:v>
                </c:pt>
                <c:pt idx="499">
                  <c:v>1000000</c:v>
                </c:pt>
                <c:pt idx="500">
                  <c:v>1023292.9922807553</c:v>
                </c:pt>
                <c:pt idx="501">
                  <c:v>1047128.5480509007</c:v>
                </c:pt>
                <c:pt idx="502">
                  <c:v>1071519.3052376076</c:v>
                </c:pt>
                <c:pt idx="503">
                  <c:v>1096478.196143186</c:v>
                </c:pt>
                <c:pt idx="504">
                  <c:v>1122018.4543019643</c:v>
                </c:pt>
                <c:pt idx="505">
                  <c:v>1148153.6214968837</c:v>
                </c:pt>
                <c:pt idx="506">
                  <c:v>1174897.5549395324</c:v>
                </c:pt>
                <c:pt idx="507">
                  <c:v>1202264.4346174158</c:v>
                </c:pt>
                <c:pt idx="508">
                  <c:v>1230268.770812382</c:v>
                </c:pt>
                <c:pt idx="509">
                  <c:v>1258925.4117941677</c:v>
                </c:pt>
                <c:pt idx="510">
                  <c:v>1288249.5516931366</c:v>
                </c:pt>
                <c:pt idx="511">
                  <c:v>1318256.7385564097</c:v>
                </c:pt>
                <c:pt idx="512">
                  <c:v>1348962.8825916562</c:v>
                </c:pt>
                <c:pt idx="513">
                  <c:v>1380384.2646028849</c:v>
                </c:pt>
                <c:pt idx="514">
                  <c:v>1412537.5446227565</c:v>
                </c:pt>
                <c:pt idx="515">
                  <c:v>1445439.7707459298</c:v>
                </c:pt>
                <c:pt idx="516">
                  <c:v>1479108.3881682095</c:v>
                </c:pt>
                <c:pt idx="517">
                  <c:v>1513561.2484362102</c:v>
                </c:pt>
                <c:pt idx="518">
                  <c:v>1548816.6189124861</c:v>
                </c:pt>
                <c:pt idx="519">
                  <c:v>1584893.1924611153</c:v>
                </c:pt>
                <c:pt idx="520">
                  <c:v>1621810.0973589318</c:v>
                </c:pt>
                <c:pt idx="521">
                  <c:v>1659586.9074375622</c:v>
                </c:pt>
                <c:pt idx="522">
                  <c:v>1698243.6524617488</c:v>
                </c:pt>
                <c:pt idx="523">
                  <c:v>1737800.8287493798</c:v>
                </c:pt>
                <c:pt idx="524">
                  <c:v>1778279.4100389241</c:v>
                </c:pt>
                <c:pt idx="525">
                  <c:v>1819700.8586099846</c:v>
                </c:pt>
                <c:pt idx="526">
                  <c:v>1862087.1366628683</c:v>
                </c:pt>
                <c:pt idx="527">
                  <c:v>1905460.7179632513</c:v>
                </c:pt>
                <c:pt idx="528">
                  <c:v>1949844.5997580495</c:v>
                </c:pt>
                <c:pt idx="529">
                  <c:v>1995262.31496888</c:v>
                </c:pt>
                <c:pt idx="530">
                  <c:v>2041737.9446695296</c:v>
                </c:pt>
                <c:pt idx="531">
                  <c:v>2089296.1308540432</c:v>
                </c:pt>
                <c:pt idx="532">
                  <c:v>2137962.0895022359</c:v>
                </c:pt>
                <c:pt idx="533">
                  <c:v>2187761.6239495561</c:v>
                </c:pt>
                <c:pt idx="534">
                  <c:v>2238721.1385683389</c:v>
                </c:pt>
                <c:pt idx="535">
                  <c:v>2290867.6527677765</c:v>
                </c:pt>
                <c:pt idx="536">
                  <c:v>2344228.8153199251</c:v>
                </c:pt>
                <c:pt idx="537">
                  <c:v>2398832.9190194933</c:v>
                </c:pt>
                <c:pt idx="538">
                  <c:v>2454708.915685033</c:v>
                </c:pt>
                <c:pt idx="539">
                  <c:v>2511886.431509587</c:v>
                </c:pt>
                <c:pt idx="540">
                  <c:v>2570395.782768866</c:v>
                </c:pt>
                <c:pt idx="541">
                  <c:v>2630267.9918953842</c:v>
                </c:pt>
              </c:numCache>
            </c:numRef>
          </c:xVal>
          <c:yVal>
            <c:numRef>
              <c:f>Loop_Modeling!$AU$19:$AU$560</c:f>
              <c:numCache>
                <c:formatCode>General</c:formatCode>
                <c:ptCount val="542"/>
                <c:pt idx="0">
                  <c:v>89.205810008963795</c:v>
                </c:pt>
                <c:pt idx="1">
                  <c:v>89.187318157407191</c:v>
                </c:pt>
                <c:pt idx="2">
                  <c:v>89.168396090743585</c:v>
                </c:pt>
                <c:pt idx="3">
                  <c:v>89.149033824817195</c:v>
                </c:pt>
                <c:pt idx="4">
                  <c:v>89.129221145543497</c:v>
                </c:pt>
                <c:pt idx="5">
                  <c:v>89.108947603741228</c:v>
                </c:pt>
                <c:pt idx="6">
                  <c:v>89.088202509857766</c:v>
                </c:pt>
                <c:pt idx="7">
                  <c:v>89.066974928585708</c:v>
                </c:pt>
                <c:pt idx="8">
                  <c:v>89.045253673369459</c:v>
                </c:pt>
                <c:pt idx="9">
                  <c:v>89.023027300800521</c:v>
                </c:pt>
                <c:pt idx="10">
                  <c:v>89.000284104899663</c:v>
                </c:pt>
                <c:pt idx="11">
                  <c:v>88.97701211128485</c:v>
                </c:pt>
                <c:pt idx="12">
                  <c:v>88.953199071223551</c:v>
                </c:pt>
                <c:pt idx="13">
                  <c:v>88.928832455568283</c:v>
                </c:pt>
                <c:pt idx="14">
                  <c:v>88.903899448573867</c:v>
                </c:pt>
                <c:pt idx="15">
                  <c:v>88.87838694159575</c:v>
                </c:pt>
                <c:pt idx="16">
                  <c:v>88.852281526668023</c:v>
                </c:pt>
                <c:pt idx="17">
                  <c:v>88.825569489960316</c:v>
                </c:pt>
                <c:pt idx="18">
                  <c:v>88.798236805113035</c:v>
                </c:pt>
                <c:pt idx="19">
                  <c:v>88.770269126449691</c:v>
                </c:pt>
                <c:pt idx="20">
                  <c:v>88.741651782066427</c:v>
                </c:pt>
                <c:pt idx="21">
                  <c:v>88.712369766797877</c:v>
                </c:pt>
                <c:pt idx="22">
                  <c:v>88.682407735059357</c:v>
                </c:pt>
                <c:pt idx="23">
                  <c:v>88.651749993565318</c:v>
                </c:pt>
                <c:pt idx="24">
                  <c:v>88.620380493924173</c:v>
                </c:pt>
                <c:pt idx="25">
                  <c:v>88.5882828251098</c:v>
                </c:pt>
                <c:pt idx="26">
                  <c:v>88.555440205810584</c:v>
                </c:pt>
                <c:pt idx="27">
                  <c:v>88.521835476656562</c:v>
                </c:pt>
                <c:pt idx="28">
                  <c:v>88.487451092325912</c:v>
                </c:pt>
                <c:pt idx="29">
                  <c:v>88.452269113532452</c:v>
                </c:pt>
                <c:pt idx="30">
                  <c:v>88.416271198895529</c:v>
                </c:pt>
                <c:pt idx="31">
                  <c:v>88.379438596694754</c:v>
                </c:pt>
                <c:pt idx="32">
                  <c:v>88.341752136512042</c:v>
                </c:pt>
                <c:pt idx="33">
                  <c:v>88.303192220763734</c:v>
                </c:pt>
                <c:pt idx="34">
                  <c:v>88.263738816126477</c:v>
                </c:pt>
                <c:pt idx="35">
                  <c:v>88.223371444860504</c:v>
                </c:pt>
                <c:pt idx="36">
                  <c:v>88.182069176034901</c:v>
                </c:pt>
                <c:pt idx="37">
                  <c:v>88.139810616659858</c:v>
                </c:pt>
                <c:pt idx="38">
                  <c:v>88.09657390273135</c:v>
                </c:pt>
                <c:pt idx="39">
                  <c:v>88.052336690194664</c:v>
                </c:pt>
                <c:pt idx="40">
                  <c:v>88.007076145833878</c:v>
                </c:pt>
                <c:pt idx="41">
                  <c:v>87.960768938094816</c:v>
                </c:pt>
                <c:pt idx="42">
                  <c:v>87.913391227850241</c:v>
                </c:pt>
                <c:pt idx="43">
                  <c:v>87.864918659116782</c:v>
                </c:pt>
                <c:pt idx="44">
                  <c:v>87.815326349733937</c:v>
                </c:pt>
                <c:pt idx="45">
                  <c:v>87.764588882016682</c:v>
                </c:pt>
                <c:pt idx="46">
                  <c:v>87.712680293394541</c:v>
                </c:pt>
                <c:pt idx="47">
                  <c:v>87.659574067050158</c:v>
                </c:pt>
                <c:pt idx="48">
                  <c:v>87.605243122573512</c:v>
                </c:pt>
                <c:pt idx="49">
                  <c:v>87.549659806646886</c:v>
                </c:pt>
                <c:pt idx="50">
                  <c:v>87.492795883779692</c:v>
                </c:pt>
                <c:pt idx="51">
                  <c:v>87.434622527111628</c:v>
                </c:pt>
                <c:pt idx="52">
                  <c:v>87.375110309305555</c:v>
                </c:pt>
                <c:pt idx="53">
                  <c:v>87.314229193553373</c:v>
                </c:pt>
                <c:pt idx="54">
                  <c:v>87.251948524718671</c:v>
                </c:pt>
                <c:pt idx="55">
                  <c:v>87.188237020644237</c:v>
                </c:pt>
                <c:pt idx="56">
                  <c:v>87.123062763651916</c:v>
                </c:pt>
                <c:pt idx="57">
                  <c:v>87.056393192267208</c:v>
                </c:pt>
                <c:pt idx="58">
                  <c:v>86.988195093202108</c:v>
                </c:pt>
                <c:pt idx="59">
                  <c:v>86.918434593631829</c:v>
                </c:pt>
                <c:pt idx="60">
                  <c:v>86.847077153805515</c:v>
                </c:pt>
                <c:pt idx="61">
                  <c:v>86.774087560032143</c:v>
                </c:pt>
                <c:pt idx="62">
                  <c:v>86.699429918087702</c:v>
                </c:pt>
                <c:pt idx="63">
                  <c:v>86.62306764709119</c:v>
                </c:pt>
                <c:pt idx="64">
                  <c:v>86.544963473902726</c:v>
                </c:pt>
                <c:pt idx="65">
                  <c:v>86.46507942809869</c:v>
                </c:pt>
                <c:pt idx="66">
                  <c:v>86.383376837584208</c:v>
                </c:pt>
                <c:pt idx="67">
                  <c:v>86.299816324907283</c:v>
                </c:pt>
                <c:pt idx="68">
                  <c:v>86.214357804342299</c:v>
                </c:pt>
                <c:pt idx="69">
                  <c:v>86.12696047981747</c:v>
                </c:pt>
                <c:pt idx="70">
                  <c:v>86.037582843763275</c:v>
                </c:pt>
                <c:pt idx="71">
                  <c:v>85.946182676966075</c:v>
                </c:pt>
                <c:pt idx="72">
                  <c:v>85.852717049515661</c:v>
                </c:pt>
                <c:pt idx="73">
                  <c:v>85.757142322941732</c:v>
                </c:pt>
                <c:pt idx="74">
                  <c:v>85.659414153640398</c:v>
                </c:pt>
                <c:pt idx="75">
                  <c:v>85.559487497697944</c:v>
                </c:pt>
                <c:pt idx="76">
                  <c:v>85.457316617225516</c:v>
                </c:pt>
                <c:pt idx="77">
                  <c:v>85.352855088327019</c:v>
                </c:pt>
                <c:pt idx="78">
                  <c:v>85.24605581082777</c:v>
                </c:pt>
                <c:pt idx="79">
                  <c:v>85.136871019900795</c:v>
                </c:pt>
                <c:pt idx="80">
                  <c:v>85.02525229973341</c:v>
                </c:pt>
                <c:pt idx="81">
                  <c:v>84.911150599389231</c:v>
                </c:pt>
                <c:pt idx="82">
                  <c:v>84.794516251024234</c:v>
                </c:pt>
                <c:pt idx="83">
                  <c:v>84.675298990627937</c:v>
                </c:pt>
                <c:pt idx="84">
                  <c:v>84.553447981468651</c:v>
                </c:pt>
                <c:pt idx="85">
                  <c:v>84.428911840431311</c:v>
                </c:pt>
                <c:pt idx="86">
                  <c:v>84.301638667446127</c:v>
                </c:pt>
                <c:pt idx="87">
                  <c:v>84.171576078216304</c:v>
                </c:pt>
                <c:pt idx="88">
                  <c:v>84.038671240463003</c:v>
                </c:pt>
                <c:pt idx="89">
                  <c:v>83.902870913915379</c:v>
                </c:pt>
                <c:pt idx="90">
                  <c:v>83.764121494284979</c:v>
                </c:pt>
                <c:pt idx="91">
                  <c:v>83.622369061473819</c:v>
                </c:pt>
                <c:pt idx="92">
                  <c:v>83.477559432273537</c:v>
                </c:pt>
                <c:pt idx="93">
                  <c:v>83.32963821782738</c:v>
                </c:pt>
                <c:pt idx="94">
                  <c:v>83.178550886132768</c:v>
                </c:pt>
                <c:pt idx="95">
                  <c:v>83.024242829873074</c:v>
                </c:pt>
                <c:pt idx="96">
                  <c:v>82.866659439878575</c:v>
                </c:pt>
                <c:pt idx="97">
                  <c:v>82.70574618452153</c:v>
                </c:pt>
                <c:pt idx="98">
                  <c:v>82.54144869536114</c:v>
                </c:pt>
                <c:pt idx="99">
                  <c:v>82.373712859359458</c:v>
                </c:pt>
                <c:pt idx="100">
                  <c:v>82.202484917997808</c:v>
                </c:pt>
                <c:pt idx="101">
                  <c:v>82.027711573624927</c:v>
                </c:pt>
                <c:pt idx="102">
                  <c:v>81.849340103373891</c:v>
                </c:pt>
                <c:pt idx="103">
                  <c:v>81.667318480985557</c:v>
                </c:pt>
                <c:pt idx="104">
                  <c:v>81.481595506876673</c:v>
                </c:pt>
                <c:pt idx="105">
                  <c:v>81.292120946787875</c:v>
                </c:pt>
                <c:pt idx="106">
                  <c:v>81.098845679342304</c:v>
                </c:pt>
                <c:pt idx="107">
                  <c:v>80.901721852836531</c:v>
                </c:pt>
                <c:pt idx="108">
                  <c:v>80.700703051577719</c:v>
                </c:pt>
                <c:pt idx="109">
                  <c:v>80.49574447206183</c:v>
                </c:pt>
                <c:pt idx="110">
                  <c:v>80.286803109273521</c:v>
                </c:pt>
                <c:pt idx="111">
                  <c:v>80.073837953363551</c:v>
                </c:pt>
                <c:pt idx="112">
                  <c:v>79.856810196931193</c:v>
                </c:pt>
                <c:pt idx="113">
                  <c:v>79.635683453109692</c:v>
                </c:pt>
                <c:pt idx="114">
                  <c:v>79.410423984609906</c:v>
                </c:pt>
                <c:pt idx="115">
                  <c:v>79.181000943837915</c:v>
                </c:pt>
                <c:pt idx="116">
                  <c:v>78.947386624145636</c:v>
                </c:pt>
                <c:pt idx="117">
                  <c:v>78.709556722223454</c:v>
                </c:pt>
                <c:pt idx="118">
                  <c:v>78.467490611568508</c:v>
                </c:pt>
                <c:pt idx="119">
                  <c:v>78.221171626900329</c:v>
                </c:pt>
                <c:pt idx="120">
                  <c:v>77.970587359304801</c:v>
                </c:pt>
                <c:pt idx="121">
                  <c:v>77.715729961803049</c:v>
                </c:pt>
                <c:pt idx="122">
                  <c:v>77.456596464944482</c:v>
                </c:pt>
                <c:pt idx="123">
                  <c:v>77.19318910191059</c:v>
                </c:pt>
                <c:pt idx="124">
                  <c:v>76.925515642505815</c:v>
                </c:pt>
                <c:pt idx="125">
                  <c:v>76.653589735283433</c:v>
                </c:pt>
                <c:pt idx="126">
                  <c:v>76.377431256921156</c:v>
                </c:pt>
                <c:pt idx="127">
                  <c:v>76.09706666781949</c:v>
                </c:pt>
                <c:pt idx="128">
                  <c:v>75.812529372742233</c:v>
                </c:pt>
                <c:pt idx="129">
                  <c:v>75.523860085166831</c:v>
                </c:pt>
                <c:pt idx="130">
                  <c:v>75.231107193838326</c:v>
                </c:pt>
                <c:pt idx="131">
                  <c:v>74.934327129859057</c:v>
                </c:pt>
                <c:pt idx="132">
                  <c:v>74.633584732462964</c:v>
                </c:pt>
                <c:pt idx="133">
                  <c:v>74.328953611453784</c:v>
                </c:pt>
                <c:pt idx="134">
                  <c:v>74.020516504097841</c:v>
                </c:pt>
                <c:pt idx="135">
                  <c:v>73.708365624092096</c:v>
                </c:pt>
                <c:pt idx="136">
                  <c:v>73.392603000044289</c:v>
                </c:pt>
                <c:pt idx="137">
                  <c:v>73.073340800737924</c:v>
                </c:pt>
                <c:pt idx="138">
                  <c:v>72.750701644290231</c:v>
                </c:pt>
                <c:pt idx="139">
                  <c:v>72.424818888156253</c:v>
                </c:pt>
                <c:pt idx="140">
                  <c:v>72.095836896801657</c:v>
                </c:pt>
                <c:pt idx="141">
                  <c:v>71.763911283740484</c:v>
                </c:pt>
                <c:pt idx="142">
                  <c:v>71.429209124540535</c:v>
                </c:pt>
                <c:pt idx="143">
                  <c:v>71.091909137320656</c:v>
                </c:pt>
                <c:pt idx="144">
                  <c:v>70.752201827217149</c:v>
                </c:pt>
                <c:pt idx="145">
                  <c:v>70.410289591285391</c:v>
                </c:pt>
                <c:pt idx="146">
                  <c:v>70.066386780313991</c:v>
                </c:pt>
                <c:pt idx="147">
                  <c:v>69.720719714093775</c:v>
                </c:pt>
                <c:pt idx="148">
                  <c:v>69.373526646772405</c:v>
                </c:pt>
                <c:pt idx="149">
                  <c:v>69.025057679069192</c:v>
                </c:pt>
                <c:pt idx="150">
                  <c:v>68.675574614306569</c:v>
                </c:pt>
                <c:pt idx="151">
                  <c:v>68.325350755444603</c:v>
                </c:pt>
                <c:pt idx="152">
                  <c:v>67.974670640579149</c:v>
                </c:pt>
                <c:pt idx="153">
                  <c:v>67.62382971468277</c:v>
                </c:pt>
                <c:pt idx="154">
                  <c:v>67.273133935742706</c:v>
                </c:pt>
                <c:pt idx="155">
                  <c:v>66.922899313846841</c:v>
                </c:pt>
                <c:pt idx="156">
                  <c:v>66.573451382227802</c:v>
                </c:pt>
                <c:pt idx="157">
                  <c:v>66.225124599757663</c:v>
                </c:pt>
                <c:pt idx="158">
                  <c:v>65.878261684905596</c:v>
                </c:pt>
                <c:pt idx="159">
                  <c:v>65.53321288171675</c:v>
                </c:pt>
                <c:pt idx="160">
                  <c:v>65.190335158931248</c:v>
                </c:pt>
                <c:pt idx="161">
                  <c:v>64.849991343953931</c:v>
                </c:pt>
                <c:pt idx="162">
                  <c:v>64.512549193958662</c:v>
                </c:pt>
                <c:pt idx="163">
                  <c:v>64.178380407010934</c:v>
                </c:pt>
                <c:pt idx="164">
                  <c:v>63.847859576650613</c:v>
                </c:pt>
                <c:pt idx="165">
                  <c:v>63.521363093961931</c:v>
                </c:pt>
                <c:pt idx="166">
                  <c:v>63.199268001661004</c:v>
                </c:pt>
                <c:pt idx="167">
                  <c:v>62.881950805262164</c:v>
                </c:pt>
                <c:pt idx="168">
                  <c:v>62.569786246821828</c:v>
                </c:pt>
                <c:pt idx="169">
                  <c:v>62.263146047192883</c:v>
                </c:pt>
                <c:pt idx="170">
                  <c:v>61.96239762306503</c:v>
                </c:pt>
                <c:pt idx="171">
                  <c:v>61.667902785391831</c:v>
                </c:pt>
                <c:pt idx="172">
                  <c:v>61.380016426037159</c:v>
                </c:pt>
                <c:pt idx="173">
                  <c:v>61.099085199653388</c:v>
                </c:pt>
                <c:pt idx="174">
                  <c:v>60.82544620793383</c:v>
                </c:pt>
                <c:pt idx="175">
                  <c:v>60.559425693416479</c:v>
                </c:pt>
                <c:pt idx="176">
                  <c:v>60.301337750018106</c:v>
                </c:pt>
                <c:pt idx="177">
                  <c:v>60.051483057392353</c:v>
                </c:pt>
                <c:pt idx="178">
                  <c:v>59.810147646080338</c:v>
                </c:pt>
                <c:pt idx="179">
                  <c:v>59.577601700231185</c:v>
                </c:pt>
                <c:pt idx="180">
                  <c:v>59.354098404429024</c:v>
                </c:pt>
                <c:pt idx="181">
                  <c:v>59.139872840879917</c:v>
                </c:pt>
                <c:pt idx="182">
                  <c:v>58.935140942893135</c:v>
                </c:pt>
                <c:pt idx="183">
                  <c:v>58.740098510222957</c:v>
                </c:pt>
                <c:pt idx="184">
                  <c:v>58.55492029145627</c:v>
                </c:pt>
                <c:pt idx="185">
                  <c:v>58.379759138216507</c:v>
                </c:pt>
                <c:pt idx="186">
                  <c:v>58.214745235526806</c:v>
                </c:pt>
                <c:pt idx="187">
                  <c:v>58.059985412227043</c:v>
                </c:pt>
                <c:pt idx="188">
                  <c:v>57.915562534886277</c:v>
                </c:pt>
                <c:pt idx="189">
                  <c:v>57.781534988190224</c:v>
                </c:pt>
                <c:pt idx="190">
                  <c:v>57.65793624431776</c:v>
                </c:pt>
                <c:pt idx="191">
                  <c:v>57.544774523346796</c:v>
                </c:pt>
                <c:pt idx="192">
                  <c:v>57.442032546267924</c:v>
                </c:pt>
                <c:pt idx="193">
                  <c:v>57.349667381703981</c:v>
                </c:pt>
                <c:pt idx="194">
                  <c:v>57.267610386974326</c:v>
                </c:pt>
                <c:pt idx="195">
                  <c:v>57.195767243662509</c:v>
                </c:pt>
                <c:pt idx="196">
                  <c:v>57.134018087386011</c:v>
                </c:pt>
                <c:pt idx="197">
                  <c:v>57.082217730986414</c:v>
                </c:pt>
                <c:pt idx="198">
                  <c:v>57.040195979900226</c:v>
                </c:pt>
                <c:pt idx="199">
                  <c:v>57.007758037989639</c:v>
                </c:pt>
                <c:pt idx="200">
                  <c:v>56.984685001650234</c:v>
                </c:pt>
                <c:pt idx="201">
                  <c:v>56.970734439543023</c:v>
                </c:pt>
                <c:pt idx="202">
                  <c:v>56.965641054830094</c:v>
                </c:pt>
                <c:pt idx="203">
                  <c:v>56.969117426337966</c:v>
                </c:pt>
                <c:pt idx="204">
                  <c:v>56.980854824619627</c:v>
                </c:pt>
                <c:pt idx="205">
                  <c:v>57.00052409844362</c:v>
                </c:pt>
                <c:pt idx="206">
                  <c:v>57.027776626817278</c:v>
                </c:pt>
                <c:pt idx="207">
                  <c:v>57.062245331247539</c:v>
                </c:pt>
                <c:pt idx="208">
                  <c:v>57.103545742558495</c:v>
                </c:pt>
                <c:pt idx="209">
                  <c:v>57.151277116244913</c:v>
                </c:pt>
                <c:pt idx="210">
                  <c:v>57.205023590021298</c:v>
                </c:pt>
                <c:pt idx="211">
                  <c:v>57.264355376963074</c:v>
                </c:pt>
                <c:pt idx="212">
                  <c:v>57.328829987406316</c:v>
                </c:pt>
                <c:pt idx="213">
                  <c:v>57.397993472610942</c:v>
                </c:pt>
                <c:pt idx="214">
                  <c:v>57.471381683065964</c:v>
                </c:pt>
                <c:pt idx="215">
                  <c:v>57.54852153427403</c:v>
                </c:pt>
                <c:pt idx="216">
                  <c:v>57.628932272851166</c:v>
                </c:pt>
                <c:pt idx="217">
                  <c:v>57.712126735854312</c:v>
                </c:pt>
                <c:pt idx="218">
                  <c:v>57.797612596387175</c:v>
                </c:pt>
                <c:pt idx="219">
                  <c:v>57.884893588741136</c:v>
                </c:pt>
                <c:pt idx="220">
                  <c:v>57.973470706586262</c:v>
                </c:pt>
                <c:pt idx="221">
                  <c:v>58.062843368056342</c:v>
                </c:pt>
                <c:pt idx="222">
                  <c:v>58.152510541961938</c:v>
                </c:pt>
                <c:pt idx="223">
                  <c:v>58.24197182978309</c:v>
                </c:pt>
                <c:pt idx="224">
                  <c:v>58.330728498584349</c:v>
                </c:pt>
                <c:pt idx="225">
                  <c:v>58.418284460503507</c:v>
                </c:pt>
                <c:pt idx="226">
                  <c:v>58.50414719501488</c:v>
                </c:pt>
                <c:pt idx="227">
                  <c:v>58.587828610740942</c:v>
                </c:pt>
                <c:pt idx="228">
                  <c:v>58.668845844165624</c:v>
                </c:pt>
                <c:pt idx="229">
                  <c:v>58.74672199320127</c:v>
                </c:pt>
                <c:pt idx="230">
                  <c:v>58.820986784151643</c:v>
                </c:pt>
                <c:pt idx="231">
                  <c:v>58.891177171191892</c:v>
                </c:pt>
                <c:pt idx="232">
                  <c:v>58.956837868064781</c:v>
                </c:pt>
                <c:pt idx="233">
                  <c:v>59.017521812227329</c:v>
                </c:pt>
                <c:pt idx="234">
                  <c:v>59.072790562206123</c:v>
                </c:pt>
                <c:pt idx="235">
                  <c:v>59.122214629403466</c:v>
                </c:pt>
                <c:pt idx="236">
                  <c:v>59.165373746041624</c:v>
                </c:pt>
                <c:pt idx="237">
                  <c:v>59.20185707134064</c:v>
                </c:pt>
                <c:pt idx="238">
                  <c:v>59.231263338387478</c:v>
                </c:pt>
                <c:pt idx="239">
                  <c:v>59.253200944474237</c:v>
                </c:pt>
                <c:pt idx="240">
                  <c:v>59.267287987953644</c:v>
                </c:pt>
                <c:pt idx="241">
                  <c:v>59.273152254889816</c:v>
                </c:pt>
                <c:pt idx="242">
                  <c:v>59.270431158961273</c:v>
                </c:pt>
                <c:pt idx="243">
                  <c:v>59.2587716382221</c:v>
                </c:pt>
                <c:pt idx="244">
                  <c:v>59.237830012406988</c:v>
                </c:pt>
                <c:pt idx="245">
                  <c:v>59.207271804550892</c:v>
                </c:pt>
                <c:pt idx="246">
                  <c:v>59.166771530690056</c:v>
                </c:pt>
                <c:pt idx="247">
                  <c:v>59.116012461423864</c:v>
                </c:pt>
                <c:pt idx="248">
                  <c:v>59.05468635906383</c:v>
                </c:pt>
                <c:pt idx="249">
                  <c:v>58.982493194037851</c:v>
                </c:pt>
                <c:pt idx="250">
                  <c:v>58.899140844128205</c:v>
                </c:pt>
                <c:pt idx="251">
                  <c:v>58.804344780010993</c:v>
                </c:pt>
                <c:pt idx="252">
                  <c:v>58.697827740450187</c:v>
                </c:pt>
                <c:pt idx="253">
                  <c:v>58.579319400354557</c:v>
                </c:pt>
                <c:pt idx="254">
                  <c:v>58.448556034767257</c:v>
                </c:pt>
                <c:pt idx="255">
                  <c:v>58.305280181700823</c:v>
                </c:pt>
                <c:pt idx="256">
                  <c:v>58.149240306580936</c:v>
                </c:pt>
                <c:pt idx="257">
                  <c:v>57.980190470894307</c:v>
                </c:pt>
                <c:pt idx="258">
                  <c:v>57.797890007490153</c:v>
                </c:pt>
                <c:pt idx="259">
                  <c:v>57.602103204816665</c:v>
                </c:pt>
                <c:pt idx="260">
                  <c:v>57.392599002232025</c:v>
                </c:pt>
                <c:pt idx="261">
                  <c:v>57.169150698374203</c:v>
                </c:pt>
                <c:pt idx="262">
                  <c:v>56.931535674438344</c:v>
                </c:pt>
                <c:pt idx="263">
                  <c:v>56.679535134066036</c:v>
                </c:pt>
                <c:pt idx="264">
                  <c:v>56.412933861436883</c:v>
                </c:pt>
                <c:pt idx="265">
                  <c:v>56.131519999014607</c:v>
                </c:pt>
                <c:pt idx="266">
                  <c:v>55.835084846301967</c:v>
                </c:pt>
                <c:pt idx="267">
                  <c:v>55.523422680843396</c:v>
                </c:pt>
                <c:pt idx="268">
                  <c:v>55.196330602618431</c:v>
                </c:pt>
                <c:pt idx="269">
                  <c:v>54.853608402877292</c:v>
                </c:pt>
                <c:pt idx="270">
                  <c:v>54.495058458386815</c:v>
                </c:pt>
                <c:pt idx="271">
                  <c:v>54.120485651967975</c:v>
                </c:pt>
                <c:pt idx="272">
                  <c:v>53.729697320141874</c:v>
                </c:pt>
                <c:pt idx="273">
                  <c:v>53.322503228618956</c:v>
                </c:pt>
                <c:pt idx="274">
                  <c:v>52.898715576310671</c:v>
                </c:pt>
                <c:pt idx="275">
                  <c:v>52.458149028465861</c:v>
                </c:pt>
                <c:pt idx="276">
                  <c:v>52.000620779481089</c:v>
                </c:pt>
                <c:pt idx="277">
                  <c:v>51.525950645861798</c:v>
                </c:pt>
                <c:pt idx="278">
                  <c:v>51.033961189753661</c:v>
                </c:pt>
                <c:pt idx="279">
                  <c:v>50.524477873391184</c:v>
                </c:pt>
                <c:pt idx="280">
                  <c:v>49.997329244742865</c:v>
                </c:pt>
                <c:pt idx="281">
                  <c:v>49.45234715456305</c:v>
                </c:pt>
                <c:pt idx="282">
                  <c:v>48.889367004968165</c:v>
                </c:pt>
                <c:pt idx="283">
                  <c:v>48.308228029586225</c:v>
                </c:pt>
                <c:pt idx="284">
                  <c:v>47.708773605217026</c:v>
                </c:pt>
                <c:pt idx="285">
                  <c:v>47.090851594851337</c:v>
                </c:pt>
                <c:pt idx="286">
                  <c:v>46.454314721775248</c:v>
                </c:pt>
                <c:pt idx="287">
                  <c:v>45.799020974368929</c:v>
                </c:pt>
                <c:pt idx="288">
                  <c:v>45.124834041071317</c:v>
                </c:pt>
                <c:pt idx="289">
                  <c:v>44.431623774833774</c:v>
                </c:pt>
                <c:pt idx="290">
                  <c:v>43.719266686230569</c:v>
                </c:pt>
                <c:pt idx="291">
                  <c:v>42.987646464217029</c:v>
                </c:pt>
                <c:pt idx="292">
                  <c:v>42.236654523340249</c:v>
                </c:pt>
                <c:pt idx="293">
                  <c:v>41.46619057601044</c:v>
                </c:pt>
                <c:pt idx="294">
                  <c:v>40.676163228223139</c:v>
                </c:pt>
                <c:pt idx="295">
                  <c:v>39.866490596901286</c:v>
                </c:pt>
                <c:pt idx="296">
                  <c:v>39.037100946788492</c:v>
                </c:pt>
                <c:pt idx="297">
                  <c:v>38.187933344567178</c:v>
                </c:pt>
                <c:pt idx="298">
                  <c:v>37.31893832763361</c:v>
                </c:pt>
                <c:pt idx="299">
                  <c:v>36.4300785846807</c:v>
                </c:pt>
                <c:pt idx="300">
                  <c:v>35.521329644975118</c:v>
                </c:pt>
                <c:pt idx="301">
                  <c:v>34.592680572940971</c:v>
                </c:pt>
                <c:pt idx="302">
                  <c:v>33.644134664387167</c:v>
                </c:pt>
                <c:pt idx="303">
                  <c:v>32.675710140440287</c:v>
                </c:pt>
                <c:pt idx="304">
                  <c:v>31.687440834987452</c:v>
                </c:pt>
                <c:pt idx="305">
                  <c:v>30.679376871172732</c:v>
                </c:pt>
                <c:pt idx="306">
                  <c:v>29.651585322254622</c:v>
                </c:pt>
                <c:pt idx="307">
                  <c:v>28.604150851915485</c:v>
                </c:pt>
                <c:pt idx="308">
                  <c:v>27.537176328915031</c:v>
                </c:pt>
                <c:pt idx="309">
                  <c:v>26.450783410818879</c:v>
                </c:pt>
                <c:pt idx="310">
                  <c:v>25.345113091401078</c:v>
                </c:pt>
                <c:pt idx="311">
                  <c:v>24.220326206232965</c:v>
                </c:pt>
                <c:pt idx="312">
                  <c:v>23.076603890921124</c:v>
                </c:pt>
                <c:pt idx="313">
                  <c:v>21.914147986470226</c:v>
                </c:pt>
                <c:pt idx="314">
                  <c:v>20.733181386296661</c:v>
                </c:pt>
                <c:pt idx="315">
                  <c:v>19.533948319549317</c:v>
                </c:pt>
                <c:pt idx="316">
                  <c:v>18.316714565564325</c:v>
                </c:pt>
                <c:pt idx="317">
                  <c:v>17.081767594534234</c:v>
                </c:pt>
                <c:pt idx="318">
                  <c:v>15.829416629781822</c:v>
                </c:pt>
                <c:pt idx="319">
                  <c:v>14.559992627414152</c:v>
                </c:pt>
                <c:pt idx="320">
                  <c:v>13.273848169580033</c:v>
                </c:pt>
                <c:pt idx="321">
                  <c:v>11.971357268072559</c:v>
                </c:pt>
                <c:pt idx="322">
                  <c:v>10.652915075611391</c:v>
                </c:pt>
                <c:pt idx="323">
                  <c:v>9.3189375027662056</c:v>
                </c:pt>
                <c:pt idx="324">
                  <c:v>7.9698607392043241</c:v>
                </c:pt>
                <c:pt idx="325">
                  <c:v>6.6061406786940386</c:v>
                </c:pt>
                <c:pt idx="326">
                  <c:v>5.2282522480919447</c:v>
                </c:pt>
                <c:pt idx="327">
                  <c:v>3.8366886413723011</c:v>
                </c:pt>
                <c:pt idx="328">
                  <c:v>2.4319604606328156</c:v>
                </c:pt>
                <c:pt idx="329">
                  <c:v>1.0145947668671182</c:v>
                </c:pt>
                <c:pt idx="330">
                  <c:v>-0.41486595580247493</c:v>
                </c:pt>
                <c:pt idx="331">
                  <c:v>-1.8558649178854911</c:v>
                </c:pt>
                <c:pt idx="332">
                  <c:v>-3.3078322188548848</c:v>
                </c:pt>
                <c:pt idx="333">
                  <c:v>-4.7701861118233762</c:v>
                </c:pt>
                <c:pt idx="334">
                  <c:v>-6.2423343315386406</c:v>
                </c:pt>
                <c:pt idx="335">
                  <c:v>-7.7236754779650516</c:v>
                </c:pt>
                <c:pt idx="336">
                  <c:v>-9.2136004470414452</c:v>
                </c:pt>
                <c:pt idx="337">
                  <c:v>-10.711493899647994</c:v>
                </c:pt>
                <c:pt idx="338">
                  <c:v>-12.216735759304246</c:v>
                </c:pt>
                <c:pt idx="339">
                  <c:v>-13.728702728721684</c:v>
                </c:pt>
                <c:pt idx="340">
                  <c:v>-15.246769815054966</c:v>
                </c:pt>
                <c:pt idx="341">
                  <c:v>-16.770311853489403</c:v>
                </c:pt>
                <c:pt idx="342">
                  <c:v>-18.298705018735649</c:v>
                </c:pt>
                <c:pt idx="343">
                  <c:v>-19.83132831402796</c:v>
                </c:pt>
                <c:pt idx="344">
                  <c:v>-21.367565027393912</c:v>
                </c:pt>
                <c:pt idx="345">
                  <c:v>-22.906804145184335</c:v>
                </c:pt>
                <c:pt idx="346">
                  <c:v>-24.448441713264192</c:v>
                </c:pt>
                <c:pt idx="347">
                  <c:v>-25.99188213669937</c:v>
                </c:pt>
                <c:pt idx="348">
                  <c:v>-27.536539409366465</c:v>
                </c:pt>
                <c:pt idx="349">
                  <c:v>-29.081838265550587</c:v>
                </c:pt>
                <c:pt idx="350">
                  <c:v>-30.627215246341652</c:v>
                </c:pt>
                <c:pt idx="351">
                  <c:v>-32.172119674431798</c:v>
                </c:pt>
                <c:pt idx="352">
                  <c:v>-33.716014531789995</c:v>
                </c:pt>
                <c:pt idx="353">
                  <c:v>-35.258377235580944</c:v>
                </c:pt>
                <c:pt idx="354">
                  <c:v>-36.798700308653174</c:v>
                </c:pt>
                <c:pt idx="355">
                  <c:v>-38.336491941866214</c:v>
                </c:pt>
                <c:pt idx="356">
                  <c:v>-39.871276446518927</c:v>
                </c:pt>
                <c:pt idx="357">
                  <c:v>-41.402594596104656</c:v>
                </c:pt>
                <c:pt idx="358">
                  <c:v>-42.930003857580154</c:v>
                </c:pt>
                <c:pt idx="359">
                  <c:v>-44.453078513283849</c:v>
                </c:pt>
                <c:pt idx="360">
                  <c:v>-45.971409675545509</c:v>
                </c:pt>
                <c:pt idx="361">
                  <c:v>-47.484605196886648</c:v>
                </c:pt>
                <c:pt idx="362">
                  <c:v>-48.992289479570388</c:v>
                </c:pt>
                <c:pt idx="363">
                  <c:v>-50.494103188982116</c:v>
                </c:pt>
                <c:pt idx="364">
                  <c:v>-51.989702876078454</c:v>
                </c:pt>
                <c:pt idx="365">
                  <c:v>-53.478760514764396</c:v>
                </c:pt>
                <c:pt idx="366">
                  <c:v>-54.960962960659991</c:v>
                </c:pt>
                <c:pt idx="367">
                  <c:v>-56.436011338214477</c:v>
                </c:pt>
                <c:pt idx="368">
                  <c:v>-57.90362036360343</c:v>
                </c:pt>
                <c:pt idx="369">
                  <c:v>-59.363517611180576</c:v>
                </c:pt>
                <c:pt idx="370">
                  <c:v>-60.815442731595731</c:v>
                </c:pt>
                <c:pt idx="371">
                  <c:v>-62.259146629911463</c:v>
                </c:pt>
                <c:pt idx="372">
                  <c:v>-63.694390612213027</c:v>
                </c:pt>
                <c:pt idx="373">
                  <c:v>-65.120945509310303</c:v>
                </c:pt>
                <c:pt idx="374">
                  <c:v>-66.538590786164775</c:v>
                </c:pt>
                <c:pt idx="375">
                  <c:v>-67.947113645632214</c:v>
                </c:pt>
                <c:pt idx="376">
                  <c:v>-69.346308135020863</c:v>
                </c:pt>
                <c:pt idx="377">
                  <c:v>-70.735974263803797</c:v>
                </c:pt>
                <c:pt idx="378">
                  <c:v>-72.11591714061332</c:v>
                </c:pt>
                <c:pt idx="379">
                  <c:v>-73.485946137354688</c:v>
                </c:pt>
                <c:pt idx="380">
                  <c:v>-74.84587408796645</c:v>
                </c:pt>
                <c:pt idx="381">
                  <c:v>-76.195516528948119</c:v>
                </c:pt>
                <c:pt idx="382">
                  <c:v>-77.534690988366222</c:v>
                </c:pt>
                <c:pt idx="383">
                  <c:v>-78.863216329542738</c:v>
                </c:pt>
                <c:pt idx="384">
                  <c:v>-80.180912155116928</c:v>
                </c:pt>
                <c:pt idx="385">
                  <c:v>-81.487598276595037</c:v>
                </c:pt>
                <c:pt idx="386">
                  <c:v>-82.783094253894632</c:v>
                </c:pt>
                <c:pt idx="387">
                  <c:v>-84.067219008742683</c:v>
                </c:pt>
                <c:pt idx="388">
                  <c:v>-85.339790515120868</c:v>
                </c:pt>
                <c:pt idx="389">
                  <c:v>-86.600625569233685</c:v>
                </c:pt>
                <c:pt idx="390">
                  <c:v>-87.849539640781146</c:v>
                </c:pt>
                <c:pt idx="391">
                  <c:v>-89.086346806568045</c:v>
                </c:pt>
                <c:pt idx="392">
                  <c:v>-90.31085976674315</c:v>
                </c:pt>
                <c:pt idx="393">
                  <c:v>-91.522889943238695</c:v>
                </c:pt>
                <c:pt idx="394">
                  <c:v>-92.722247659232252</c:v>
                </c:pt>
                <c:pt idx="395">
                  <c:v>-93.908742397754125</c:v>
                </c:pt>
                <c:pt idx="396">
                  <c:v>-95.082183136864785</c:v>
                </c:pt>
                <c:pt idx="397">
                  <c:v>-96.242378758172421</c:v>
                </c:pt>
                <c:pt idx="398">
                  <c:v>-97.3891385248414</c:v>
                </c:pt>
                <c:pt idx="399">
                  <c:v>-98.522272624667835</c:v>
                </c:pt>
                <c:pt idx="400">
                  <c:v>-99.641592773286163</c:v>
                </c:pt>
                <c:pt idx="401">
                  <c:v>-100.7469128721002</c:v>
                </c:pt>
                <c:pt idx="402">
                  <c:v>-101.83804971515049</c:v>
                </c:pt>
                <c:pt idx="403">
                  <c:v>-102.91482373879258</c:v>
                </c:pt>
                <c:pt idx="404">
                  <c:v>-103.97705980781097</c:v>
                </c:pt>
                <c:pt idx="405">
                  <c:v>-105.02458803141144</c:v>
                </c:pt>
                <c:pt idx="406">
                  <c:v>-106.05724460242899</c:v>
                </c:pt>
                <c:pt idx="407">
                  <c:v>-107.07487265304358</c:v>
                </c:pt>
                <c:pt idx="408">
                  <c:v>-108.07732312034612</c:v>
                </c:pt>
                <c:pt idx="409">
                  <c:v>-109.06445561518288</c:v>
                </c:pt>
                <c:pt idx="410">
                  <c:v>-110.03613928788118</c:v>
                </c:pt>
                <c:pt idx="411">
                  <c:v>-110.99225368467143</c:v>
                </c:pt>
                <c:pt idx="412">
                  <c:v>-111.93268958889362</c:v>
                </c:pt>
                <c:pt idx="413">
                  <c:v>-112.8573498413853</c:v>
                </c:pt>
                <c:pt idx="414">
                  <c:v>-113.76615013478934</c:v>
                </c:pt>
                <c:pt idx="415">
                  <c:v>-114.65901977689272</c:v>
                </c:pt>
                <c:pt idx="416">
                  <c:v>-115.53590241849373</c:v>
                </c:pt>
                <c:pt idx="417">
                  <c:v>-116.39675674168421</c:v>
                </c:pt>
                <c:pt idx="418">
                  <c:v>-117.24155710484132</c:v>
                </c:pt>
                <c:pt idx="419">
                  <c:v>-118.07029414098746</c:v>
                </c:pt>
                <c:pt idx="420">
                  <c:v>-118.88297530658916</c:v>
                </c:pt>
                <c:pt idx="421">
                  <c:v>-119.67962537817854</c:v>
                </c:pt>
                <c:pt idx="422">
                  <c:v>-120.46028689454106</c:v>
                </c:pt>
                <c:pt idx="423">
                  <c:v>-121.22502054250869</c:v>
                </c:pt>
                <c:pt idx="424">
                  <c:v>-121.97390548465459</c:v>
                </c:pt>
                <c:pt idx="425">
                  <c:v>-122.70703962744413</c:v>
                </c:pt>
                <c:pt idx="426">
                  <c:v>-123.42453982858855</c:v>
                </c:pt>
                <c:pt idx="427">
                  <c:v>-124.12654204251942</c:v>
                </c:pt>
                <c:pt idx="428">
                  <c:v>-124.81320140305615</c:v>
                </c:pt>
                <c:pt idx="429">
                  <c:v>-125.48469224244698</c:v>
                </c:pt>
                <c:pt idx="430">
                  <c:v>-126.14120804604968</c:v>
                </c:pt>
                <c:pt idx="431">
                  <c:v>-126.78296134201082</c:v>
                </c:pt>
                <c:pt idx="432">
                  <c:v>-127.41018352534326</c:v>
                </c:pt>
                <c:pt idx="433">
                  <c:v>-128.02312461587246</c:v>
                </c:pt>
                <c:pt idx="434">
                  <c:v>-128.62205294956223</c:v>
                </c:pt>
                <c:pt idx="435">
                  <c:v>-129.20725480279989</c:v>
                </c:pt>
                <c:pt idx="436">
                  <c:v>-129.77903394929018</c:v>
                </c:pt>
                <c:pt idx="437">
                  <c:v>-130.33771114928751</c:v>
                </c:pt>
                <c:pt idx="438">
                  <c:v>-130.88362357103097</c:v>
                </c:pt>
                <c:pt idx="439">
                  <c:v>-131.41712414437055</c:v>
                </c:pt>
                <c:pt idx="440">
                  <c:v>-131.93858084676592</c:v>
                </c:pt>
                <c:pt idx="441">
                  <c:v>-132.44837592204888</c:v>
                </c:pt>
                <c:pt idx="442">
                  <c:v>-132.9469050326091</c:v>
                </c:pt>
                <c:pt idx="443">
                  <c:v>-133.43457634595342</c:v>
                </c:pt>
                <c:pt idx="444">
                  <c:v>-133.91180955694838</c:v>
                </c:pt>
                <c:pt idx="445">
                  <c:v>-134.37903484743293</c:v>
                </c:pt>
                <c:pt idx="446">
                  <c:v>-134.8366917853314</c:v>
                </c:pt>
                <c:pt idx="447">
                  <c:v>-135.28522816585428</c:v>
                </c:pt>
                <c:pt idx="448">
                  <c:v>-135.72509879788527</c:v>
                </c:pt>
                <c:pt idx="449">
                  <c:v>-136.1567642391812</c:v>
                </c:pt>
                <c:pt idx="450">
                  <c:v>-136.58068948455582</c:v>
                </c:pt>
                <c:pt idx="451">
                  <c:v>-136.99734261179313</c:v>
                </c:pt>
                <c:pt idx="452">
                  <c:v>-137.40719339059035</c:v>
                </c:pt>
                <c:pt idx="453">
                  <c:v>-137.81071186040191</c:v>
                </c:pt>
                <c:pt idx="454">
                  <c:v>-138.20836688359572</c:v>
                </c:pt>
                <c:pt idx="455">
                  <c:v>-138.60062468084863</c:v>
                </c:pt>
                <c:pt idx="456">
                  <c:v>-138.98794735619632</c:v>
                </c:pt>
                <c:pt idx="457">
                  <c:v>-139.37079141957767</c:v>
                </c:pt>
                <c:pt idx="458">
                  <c:v>-139.749606315096</c:v>
                </c:pt>
                <c:pt idx="459">
                  <c:v>-140.12483296352281</c:v>
                </c:pt>
                <c:pt idx="460">
                  <c:v>-140.49690232780392</c:v>
                </c:pt>
                <c:pt idx="461">
                  <c:v>-140.86623401047723</c:v>
                </c:pt>
                <c:pt idx="462">
                  <c:v>-141.23323489196659</c:v>
                </c:pt>
                <c:pt idx="463">
                  <c:v>-141.59829781868996</c:v>
                </c:pt>
                <c:pt idx="464">
                  <c:v>-141.9618003497705</c:v>
                </c:pt>
                <c:pt idx="465">
                  <c:v>-142.3241035709238</c:v>
                </c:pt>
                <c:pt idx="466">
                  <c:v>-142.68555098373974</c:v>
                </c:pt>
                <c:pt idx="467">
                  <c:v>-143.04646747816724</c:v>
                </c:pt>
                <c:pt idx="468">
                  <c:v>-143.40715839545672</c:v>
                </c:pt>
                <c:pt idx="469">
                  <c:v>-143.76790868821854</c:v>
                </c:pt>
                <c:pt idx="470">
                  <c:v>-144.12898218352839</c:v>
                </c:pt>
                <c:pt idx="471">
                  <c:v>-144.49062095425145</c:v>
                </c:pt>
                <c:pt idx="472">
                  <c:v>-144.85304480288713</c:v>
                </c:pt>
                <c:pt idx="473">
                  <c:v>-145.2164508613437</c:v>
                </c:pt>
                <c:pt idx="474">
                  <c:v>-145.58101330908812</c:v>
                </c:pt>
                <c:pt idx="475">
                  <c:v>-145.94688321113446</c:v>
                </c:pt>
                <c:pt idx="476">
                  <c:v>-146.31418847631667</c:v>
                </c:pt>
                <c:pt idx="477">
                  <c:v>-146.68303393527569</c:v>
                </c:pt>
                <c:pt idx="478">
                  <c:v>-147.05350153657361</c:v>
                </c:pt>
                <c:pt idx="479">
                  <c:v>-147.42565065834395</c:v>
                </c:pt>
                <c:pt idx="480">
                  <c:v>-147.79951853192492</c:v>
                </c:pt>
                <c:pt idx="481">
                  <c:v>-148.17512077298679</c:v>
                </c:pt>
                <c:pt idx="482">
                  <c:v>-148.55245201479849</c:v>
                </c:pt>
                <c:pt idx="483">
                  <c:v>-148.93148663746359</c:v>
                </c:pt>
                <c:pt idx="484">
                  <c:v>-149.31217958623245</c:v>
                </c:pt>
                <c:pt idx="485">
                  <c:v>-149.69446727133325</c:v>
                </c:pt>
                <c:pt idx="486">
                  <c:v>-150.0782685412255</c:v>
                </c:pt>
                <c:pt idx="487">
                  <c:v>-150.4634857207019</c:v>
                </c:pt>
                <c:pt idx="488">
                  <c:v>-150.85000570491468</c:v>
                </c:pt>
                <c:pt idx="489">
                  <c:v>-151.23770110015016</c:v>
                </c:pt>
                <c:pt idx="490">
                  <c:v>-151.62643140201925</c:v>
                </c:pt>
                <c:pt idx="491">
                  <c:v>-152.01604420169272</c:v>
                </c:pt>
                <c:pt idx="492">
                  <c:v>-152.4063764108765</c:v>
                </c:pt>
                <c:pt idx="493">
                  <c:v>-152.79725549636569</c:v>
                </c:pt>
                <c:pt idx="494">
                  <c:v>-153.18850071529073</c:v>
                </c:pt>
                <c:pt idx="495">
                  <c:v>-153.57992434249169</c:v>
                </c:pt>
                <c:pt idx="496">
                  <c:v>-153.97133288189349</c:v>
                </c:pt>
                <c:pt idx="497">
                  <c:v>-154.36252825423904</c:v>
                </c:pt>
                <c:pt idx="498">
                  <c:v>-154.75330895409712</c:v>
                </c:pt>
                <c:pt idx="499">
                  <c:v>-155.14347116966456</c:v>
                </c:pt>
                <c:pt idx="500">
                  <c:v>-155.53280985953765</c:v>
                </c:pt>
                <c:pt idx="501">
                  <c:v>-155.92111978129299</c:v>
                </c:pt>
                <c:pt idx="502">
                  <c:v>-156.30819646743262</c:v>
                </c:pt>
                <c:pt idx="503">
                  <c:v>-156.69383714493907</c:v>
                </c:pt>
                <c:pt idx="504">
                  <c:v>-157.07784159540176</c:v>
                </c:pt>
                <c:pt idx="505">
                  <c:v>-157.46001295337263</c:v>
                </c:pt>
                <c:pt idx="506">
                  <c:v>-157.84015844127424</c:v>
                </c:pt>
                <c:pt idx="507">
                  <c:v>-158.21809003985612</c:v>
                </c:pt>
                <c:pt idx="508">
                  <c:v>-158.59362509378221</c:v>
                </c:pt>
                <c:pt idx="509">
                  <c:v>-158.96658685254434</c:v>
                </c:pt>
                <c:pt idx="510">
                  <c:v>-159.33680494739806</c:v>
                </c:pt>
                <c:pt idx="511">
                  <c:v>-159.70411580552801</c:v>
                </c:pt>
                <c:pt idx="512">
                  <c:v>-160.06836300307398</c:v>
                </c:pt>
                <c:pt idx="513">
                  <c:v>-160.42939755903799</c:v>
                </c:pt>
                <c:pt idx="514">
                  <c:v>-160.7870781724246</c:v>
                </c:pt>
                <c:pt idx="515">
                  <c:v>-161.14127140524567</c:v>
                </c:pt>
                <c:pt idx="516">
                  <c:v>-161.49185181425571</c:v>
                </c:pt>
                <c:pt idx="517">
                  <c:v>-161.83870203445872</c:v>
                </c:pt>
                <c:pt idx="518">
                  <c:v>-162.18171281756409</c:v>
                </c:pt>
                <c:pt idx="519">
                  <c:v>-162.52078302865985</c:v>
                </c:pt>
                <c:pt idx="520">
                  <c:v>-162.85581960441783</c:v>
                </c:pt>
                <c:pt idx="521">
                  <c:v>-163.18673747615938</c:v>
                </c:pt>
                <c:pt idx="522">
                  <c:v>-163.51345946108759</c:v>
                </c:pt>
                <c:pt idx="523">
                  <c:v>-163.83591612493629</c:v>
                </c:pt>
                <c:pt idx="524">
                  <c:v>-164.15404561921486</c:v>
                </c:pt>
                <c:pt idx="525">
                  <c:v>-164.46779349611978</c:v>
                </c:pt>
                <c:pt idx="526">
                  <c:v>-164.77711250406867</c:v>
                </c:pt>
                <c:pt idx="527">
                  <c:v>-165.08196236667652</c:v>
                </c:pt>
                <c:pt idx="528">
                  <c:v>-165.38230954784294</c:v>
                </c:pt>
                <c:pt idx="529">
                  <c:v>-165.67812700547293</c:v>
                </c:pt>
                <c:pt idx="530">
                  <c:v>-165.96939393617697</c:v>
                </c:pt>
                <c:pt idx="531">
                  <c:v>-166.25609551314196</c:v>
                </c:pt>
                <c:pt idx="532">
                  <c:v>-166.53822261919072</c:v>
                </c:pt>
                <c:pt idx="533">
                  <c:v>-166.81577157688315</c:v>
                </c:pt>
                <c:pt idx="534">
                  <c:v>-167.0887438773448</c:v>
                </c:pt>
                <c:pt idx="535">
                  <c:v>-167.35714590934927</c:v>
                </c:pt>
                <c:pt idx="536">
                  <c:v>-167.62098869002423</c:v>
                </c:pt>
                <c:pt idx="537">
                  <c:v>-167.88028759840248</c:v>
                </c:pt>
                <c:pt idx="538">
                  <c:v>-168.13506211289032</c:v>
                </c:pt>
                <c:pt idx="539">
                  <c:v>-168.38533555359825</c:v>
                </c:pt>
                <c:pt idx="540">
                  <c:v>-168.631134830344</c:v>
                </c:pt>
                <c:pt idx="541">
                  <c:v>-168.87249019702236</c:v>
                </c:pt>
              </c:numCache>
            </c:numRef>
          </c:yVal>
          <c:smooth val="1"/>
          <c:extLst>
            <c:ext xmlns:c16="http://schemas.microsoft.com/office/drawing/2014/chart" uri="{C3380CC4-5D6E-409C-BE32-E72D297353CC}">
              <c16:uniqueId val="{00000001-F188-4D39-B62C-FFCB026FFDB3}"/>
            </c:ext>
          </c:extLst>
        </c:ser>
        <c:dLbls>
          <c:showLegendKey val="0"/>
          <c:showVal val="0"/>
          <c:showCatName val="0"/>
          <c:showSerName val="0"/>
          <c:showPercent val="0"/>
          <c:showBubbleSize val="0"/>
        </c:dLbls>
        <c:axId val="161005952"/>
        <c:axId val="160987776"/>
      </c:scatterChart>
      <c:valAx>
        <c:axId val="160959104"/>
        <c:scaling>
          <c:logBase val="10"/>
          <c:orientation val="minMax"/>
          <c:max val="2200000"/>
          <c:min val="10"/>
        </c:scaling>
        <c:delete val="0"/>
        <c:axPos val="b"/>
        <c:minorGridlines/>
        <c:title>
          <c:tx>
            <c:rich>
              <a:bodyPr/>
              <a:lstStyle/>
              <a:p>
                <a:pPr>
                  <a:defRPr/>
                </a:pPr>
                <a:r>
                  <a:rPr lang="en-US"/>
                  <a:t>Frequency</a:t>
                </a:r>
                <a:r>
                  <a:rPr lang="en-US" baseline="0"/>
                  <a:t> (Hz)</a:t>
                </a:r>
                <a:endParaRPr lang="en-US"/>
              </a:p>
            </c:rich>
          </c:tx>
          <c:overlay val="0"/>
        </c:title>
        <c:numFmt formatCode="0" sourceLinked="0"/>
        <c:majorTickMark val="out"/>
        <c:minorTickMark val="none"/>
        <c:tickLblPos val="low"/>
        <c:crossAx val="160985856"/>
        <c:crosses val="autoZero"/>
        <c:crossBetween val="midCat"/>
      </c:valAx>
      <c:valAx>
        <c:axId val="160985856"/>
        <c:scaling>
          <c:orientation val="minMax"/>
          <c:max val="40"/>
          <c:min val="-40"/>
        </c:scaling>
        <c:delete val="0"/>
        <c:axPos val="l"/>
        <c:majorGridlines/>
        <c:minorGridlines/>
        <c:title>
          <c:tx>
            <c:rich>
              <a:bodyPr rot="-5400000" vert="horz"/>
              <a:lstStyle/>
              <a:p>
                <a:pPr>
                  <a:defRPr/>
                </a:pPr>
                <a:r>
                  <a:rPr lang="en-US">
                    <a:solidFill>
                      <a:srgbClr val="FF0000"/>
                    </a:solidFill>
                  </a:rPr>
                  <a:t>Gain</a:t>
                </a:r>
                <a:r>
                  <a:rPr lang="en-US" baseline="0">
                    <a:solidFill>
                      <a:srgbClr val="FF0000"/>
                    </a:solidFill>
                  </a:rPr>
                  <a:t> (dB)</a:t>
                </a:r>
                <a:endParaRPr lang="en-US">
                  <a:solidFill>
                    <a:srgbClr val="FF0000"/>
                  </a:solidFill>
                </a:endParaRPr>
              </a:p>
            </c:rich>
          </c:tx>
          <c:overlay val="0"/>
        </c:title>
        <c:numFmt formatCode="General" sourceLinked="0"/>
        <c:majorTickMark val="out"/>
        <c:minorTickMark val="none"/>
        <c:tickLblPos val="nextTo"/>
        <c:txPr>
          <a:bodyPr/>
          <a:lstStyle/>
          <a:p>
            <a:pPr>
              <a:defRPr>
                <a:solidFill>
                  <a:srgbClr val="FF0000"/>
                </a:solidFill>
              </a:defRPr>
            </a:pPr>
            <a:endParaRPr lang="en-US"/>
          </a:p>
        </c:txPr>
        <c:crossAx val="160959104"/>
        <c:crosses val="autoZero"/>
        <c:crossBetween val="midCat"/>
        <c:majorUnit val="20"/>
        <c:minorUnit val="10"/>
      </c:valAx>
      <c:valAx>
        <c:axId val="160987776"/>
        <c:scaling>
          <c:orientation val="minMax"/>
          <c:max val="180"/>
          <c:min val="-180"/>
        </c:scaling>
        <c:delete val="0"/>
        <c:axPos val="r"/>
        <c:numFmt formatCode="General" sourceLinked="1"/>
        <c:majorTickMark val="out"/>
        <c:minorTickMark val="none"/>
        <c:tickLblPos val="nextTo"/>
        <c:txPr>
          <a:bodyPr/>
          <a:lstStyle/>
          <a:p>
            <a:pPr>
              <a:defRPr>
                <a:solidFill>
                  <a:schemeClr val="tx1">
                    <a:lumMod val="95000"/>
                    <a:lumOff val="5000"/>
                  </a:schemeClr>
                </a:solidFill>
              </a:defRPr>
            </a:pPr>
            <a:endParaRPr lang="en-US"/>
          </a:p>
        </c:txPr>
        <c:crossAx val="161005952"/>
        <c:crosses val="max"/>
        <c:crossBetween val="midCat"/>
        <c:majorUnit val="90"/>
        <c:minorUnit val="45"/>
      </c:valAx>
      <c:valAx>
        <c:axId val="161005952"/>
        <c:scaling>
          <c:logBase val="10"/>
          <c:orientation val="minMax"/>
        </c:scaling>
        <c:delete val="1"/>
        <c:axPos val="b"/>
        <c:numFmt formatCode="0.00" sourceLinked="1"/>
        <c:majorTickMark val="out"/>
        <c:minorTickMark val="none"/>
        <c:tickLblPos val="nextTo"/>
        <c:crossAx val="160987776"/>
        <c:crosses val="autoZero"/>
        <c:crossBetween val="midCat"/>
      </c:valAx>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2400"/>
            </a:pPr>
            <a:r>
              <a:rPr lang="el-GR" sz="2400"/>
              <a:t>η</a:t>
            </a:r>
            <a:endParaRPr lang="en-US" sz="2400"/>
          </a:p>
        </c:rich>
      </c:tx>
      <c:layout>
        <c:manualLayout>
          <c:xMode val="edge"/>
          <c:yMode val="edge"/>
          <c:x val="9.2321838295158831E-2"/>
          <c:y val="6.7069081153588199E-3"/>
        </c:manualLayout>
      </c:layout>
      <c:overlay val="1"/>
    </c:title>
    <c:autoTitleDeleted val="0"/>
    <c:plotArea>
      <c:layout>
        <c:manualLayout>
          <c:layoutTarget val="inner"/>
          <c:xMode val="edge"/>
          <c:yMode val="edge"/>
          <c:x val="9.4343575816580413E-2"/>
          <c:y val="0.12777504924560487"/>
          <c:w val="0.82170691922728745"/>
          <c:h val="0.74982770867653059"/>
        </c:manualLayout>
      </c:layout>
      <c:scatterChart>
        <c:scatterStyle val="smoothMarker"/>
        <c:varyColors val="0"/>
        <c:ser>
          <c:idx val="0"/>
          <c:order val="0"/>
          <c:tx>
            <c:v>Eff</c:v>
          </c:tx>
          <c:spPr>
            <a:ln>
              <a:solidFill>
                <a:srgbClr val="FF0000"/>
              </a:solidFill>
            </a:ln>
          </c:spPr>
          <c:marker>
            <c:symbol val="none"/>
          </c:marker>
          <c:xVal>
            <c:numRef>
              <c:f>Eff_vs_IOUT!$S$7:$S$157</c:f>
              <c:numCache>
                <c:formatCode>General</c:formatCode>
                <c:ptCount val="151"/>
                <c:pt idx="0">
                  <c:v>0</c:v>
                </c:pt>
                <c:pt idx="1">
                  <c:v>3.3999999999999996E-2</c:v>
                </c:pt>
                <c:pt idx="2">
                  <c:v>6.7999999999999991E-2</c:v>
                </c:pt>
                <c:pt idx="3">
                  <c:v>0.10199999999999998</c:v>
                </c:pt>
                <c:pt idx="4">
                  <c:v>0.13599999999999998</c:v>
                </c:pt>
                <c:pt idx="5">
                  <c:v>0.16999999999999998</c:v>
                </c:pt>
                <c:pt idx="6">
                  <c:v>0.20399999999999996</c:v>
                </c:pt>
                <c:pt idx="7">
                  <c:v>0.23799999999999996</c:v>
                </c:pt>
                <c:pt idx="8">
                  <c:v>0.27199999999999996</c:v>
                </c:pt>
                <c:pt idx="9">
                  <c:v>0.30599999999999994</c:v>
                </c:pt>
                <c:pt idx="10">
                  <c:v>0.33999999999999997</c:v>
                </c:pt>
                <c:pt idx="11">
                  <c:v>0.37399999999999994</c:v>
                </c:pt>
                <c:pt idx="12">
                  <c:v>0.40799999999999992</c:v>
                </c:pt>
                <c:pt idx="13">
                  <c:v>0.44199999999999995</c:v>
                </c:pt>
                <c:pt idx="14">
                  <c:v>0.47599999999999992</c:v>
                </c:pt>
                <c:pt idx="15">
                  <c:v>0.5099999999999999</c:v>
                </c:pt>
                <c:pt idx="16">
                  <c:v>0.54399999999999993</c:v>
                </c:pt>
                <c:pt idx="17">
                  <c:v>0.57799999999999996</c:v>
                </c:pt>
                <c:pt idx="18">
                  <c:v>0.61199999999999988</c:v>
                </c:pt>
                <c:pt idx="19">
                  <c:v>0.64599999999999991</c:v>
                </c:pt>
                <c:pt idx="20">
                  <c:v>0.67999999999999994</c:v>
                </c:pt>
                <c:pt idx="21">
                  <c:v>0.71399999999999986</c:v>
                </c:pt>
                <c:pt idx="22">
                  <c:v>0.74799999999999989</c:v>
                </c:pt>
                <c:pt idx="23">
                  <c:v>0.78199999999999992</c:v>
                </c:pt>
                <c:pt idx="24">
                  <c:v>0.81599999999999984</c:v>
                </c:pt>
                <c:pt idx="25">
                  <c:v>0.84999999999999987</c:v>
                </c:pt>
                <c:pt idx="26">
                  <c:v>0.8839999999999999</c:v>
                </c:pt>
                <c:pt idx="27">
                  <c:v>0.91799999999999993</c:v>
                </c:pt>
                <c:pt idx="28">
                  <c:v>0.95199999999999985</c:v>
                </c:pt>
                <c:pt idx="29">
                  <c:v>0.98599999999999988</c:v>
                </c:pt>
                <c:pt idx="30">
                  <c:v>1.0199999999999998</c:v>
                </c:pt>
                <c:pt idx="31">
                  <c:v>1.0539999999999998</c:v>
                </c:pt>
                <c:pt idx="32">
                  <c:v>1.0879999999999999</c:v>
                </c:pt>
                <c:pt idx="33">
                  <c:v>1.1219999999999999</c:v>
                </c:pt>
                <c:pt idx="34">
                  <c:v>1.1559999999999999</c:v>
                </c:pt>
                <c:pt idx="35">
                  <c:v>1.19</c:v>
                </c:pt>
                <c:pt idx="36">
                  <c:v>1.2239999999999998</c:v>
                </c:pt>
                <c:pt idx="37">
                  <c:v>1.2579999999999998</c:v>
                </c:pt>
                <c:pt idx="38">
                  <c:v>1.2919999999999998</c:v>
                </c:pt>
                <c:pt idx="39">
                  <c:v>1.3259999999999998</c:v>
                </c:pt>
                <c:pt idx="40">
                  <c:v>1.3599999999999999</c:v>
                </c:pt>
                <c:pt idx="41">
                  <c:v>1.3939999999999999</c:v>
                </c:pt>
                <c:pt idx="42">
                  <c:v>1.4279999999999997</c:v>
                </c:pt>
                <c:pt idx="43">
                  <c:v>1.4619999999999997</c:v>
                </c:pt>
                <c:pt idx="44">
                  <c:v>1.4959999999999998</c:v>
                </c:pt>
                <c:pt idx="45">
                  <c:v>1.5299999999999998</c:v>
                </c:pt>
                <c:pt idx="46">
                  <c:v>1.5639999999999998</c:v>
                </c:pt>
                <c:pt idx="47">
                  <c:v>1.5979999999999999</c:v>
                </c:pt>
                <c:pt idx="48">
                  <c:v>1.6319999999999997</c:v>
                </c:pt>
                <c:pt idx="49">
                  <c:v>1.6659999999999997</c:v>
                </c:pt>
                <c:pt idx="50">
                  <c:v>1.6999999999999997</c:v>
                </c:pt>
                <c:pt idx="51">
                  <c:v>1.7339999999999998</c:v>
                </c:pt>
                <c:pt idx="52">
                  <c:v>1.7679999999999998</c:v>
                </c:pt>
                <c:pt idx="53">
                  <c:v>1.8019999999999998</c:v>
                </c:pt>
                <c:pt idx="54">
                  <c:v>1.8359999999999999</c:v>
                </c:pt>
                <c:pt idx="55">
                  <c:v>1.8699999999999997</c:v>
                </c:pt>
                <c:pt idx="56">
                  <c:v>1.9039999999999997</c:v>
                </c:pt>
                <c:pt idx="57">
                  <c:v>1.9379999999999997</c:v>
                </c:pt>
                <c:pt idx="58">
                  <c:v>1.9719999999999998</c:v>
                </c:pt>
                <c:pt idx="59">
                  <c:v>2.0059999999999998</c:v>
                </c:pt>
                <c:pt idx="60">
                  <c:v>2.0399999999999996</c:v>
                </c:pt>
                <c:pt idx="61">
                  <c:v>2.0739999999999998</c:v>
                </c:pt>
                <c:pt idx="62">
                  <c:v>2.1079999999999997</c:v>
                </c:pt>
                <c:pt idx="63">
                  <c:v>2.1419999999999999</c:v>
                </c:pt>
                <c:pt idx="64">
                  <c:v>2.1759999999999997</c:v>
                </c:pt>
                <c:pt idx="65">
                  <c:v>2.2099999999999995</c:v>
                </c:pt>
                <c:pt idx="66">
                  <c:v>2.2439999999999998</c:v>
                </c:pt>
                <c:pt idx="67">
                  <c:v>2.2779999999999996</c:v>
                </c:pt>
                <c:pt idx="68">
                  <c:v>2.3119999999999998</c:v>
                </c:pt>
                <c:pt idx="69">
                  <c:v>2.3459999999999996</c:v>
                </c:pt>
                <c:pt idx="70">
                  <c:v>2.38</c:v>
                </c:pt>
                <c:pt idx="71">
                  <c:v>2.4139999999999997</c:v>
                </c:pt>
                <c:pt idx="72">
                  <c:v>2.4479999999999995</c:v>
                </c:pt>
                <c:pt idx="73">
                  <c:v>2.4819999999999998</c:v>
                </c:pt>
                <c:pt idx="74">
                  <c:v>2.5159999999999996</c:v>
                </c:pt>
                <c:pt idx="75">
                  <c:v>2.5499999999999998</c:v>
                </c:pt>
                <c:pt idx="76">
                  <c:v>2.5839999999999996</c:v>
                </c:pt>
                <c:pt idx="77">
                  <c:v>2.6179999999999994</c:v>
                </c:pt>
                <c:pt idx="78">
                  <c:v>2.6519999999999997</c:v>
                </c:pt>
                <c:pt idx="79">
                  <c:v>2.6859999999999995</c:v>
                </c:pt>
                <c:pt idx="80">
                  <c:v>2.7199999999999998</c:v>
                </c:pt>
                <c:pt idx="81">
                  <c:v>2.7539999999999996</c:v>
                </c:pt>
                <c:pt idx="82">
                  <c:v>2.7879999999999998</c:v>
                </c:pt>
                <c:pt idx="83">
                  <c:v>2.8219999999999996</c:v>
                </c:pt>
                <c:pt idx="84">
                  <c:v>2.8559999999999994</c:v>
                </c:pt>
                <c:pt idx="85">
                  <c:v>2.8899999999999997</c:v>
                </c:pt>
                <c:pt idx="86">
                  <c:v>2.9239999999999995</c:v>
                </c:pt>
                <c:pt idx="87">
                  <c:v>2.9579999999999997</c:v>
                </c:pt>
                <c:pt idx="88">
                  <c:v>2.9919999999999995</c:v>
                </c:pt>
                <c:pt idx="89">
                  <c:v>3.0259999999999998</c:v>
                </c:pt>
                <c:pt idx="90">
                  <c:v>3.0599999999999996</c:v>
                </c:pt>
                <c:pt idx="91">
                  <c:v>3.0939999999999994</c:v>
                </c:pt>
                <c:pt idx="92">
                  <c:v>3.1279999999999997</c:v>
                </c:pt>
                <c:pt idx="93">
                  <c:v>3.1619999999999995</c:v>
                </c:pt>
                <c:pt idx="94">
                  <c:v>3.1959999999999997</c:v>
                </c:pt>
                <c:pt idx="95">
                  <c:v>3.2299999999999995</c:v>
                </c:pt>
                <c:pt idx="96">
                  <c:v>3.2639999999999993</c:v>
                </c:pt>
                <c:pt idx="97">
                  <c:v>3.2979999999999996</c:v>
                </c:pt>
                <c:pt idx="98">
                  <c:v>3.3319999999999994</c:v>
                </c:pt>
                <c:pt idx="99">
                  <c:v>3.3659999999999997</c:v>
                </c:pt>
                <c:pt idx="100">
                  <c:v>3.3999999999999995</c:v>
                </c:pt>
                <c:pt idx="101">
                  <c:v>3.4339999999999997</c:v>
                </c:pt>
                <c:pt idx="102">
                  <c:v>3.4679999999999995</c:v>
                </c:pt>
                <c:pt idx="103">
                  <c:v>3.5019999999999993</c:v>
                </c:pt>
                <c:pt idx="104">
                  <c:v>3.5359999999999996</c:v>
                </c:pt>
                <c:pt idx="105">
                  <c:v>3.5699999999999994</c:v>
                </c:pt>
                <c:pt idx="106">
                  <c:v>3.6039999999999996</c:v>
                </c:pt>
                <c:pt idx="107">
                  <c:v>3.6379999999999995</c:v>
                </c:pt>
                <c:pt idx="108">
                  <c:v>3.6719999999999997</c:v>
                </c:pt>
                <c:pt idx="109">
                  <c:v>3.7059999999999995</c:v>
                </c:pt>
                <c:pt idx="110">
                  <c:v>3.7399999999999993</c:v>
                </c:pt>
                <c:pt idx="111">
                  <c:v>3.7739999999999996</c:v>
                </c:pt>
                <c:pt idx="112">
                  <c:v>3.8079999999999994</c:v>
                </c:pt>
                <c:pt idx="113">
                  <c:v>3.8419999999999996</c:v>
                </c:pt>
                <c:pt idx="114">
                  <c:v>3.8759999999999994</c:v>
                </c:pt>
                <c:pt idx="115">
                  <c:v>3.9099999999999997</c:v>
                </c:pt>
                <c:pt idx="116">
                  <c:v>3.9439999999999995</c:v>
                </c:pt>
                <c:pt idx="117">
                  <c:v>3.9779999999999993</c:v>
                </c:pt>
                <c:pt idx="118">
                  <c:v>4.0119999999999996</c:v>
                </c:pt>
                <c:pt idx="119">
                  <c:v>4.0459999999999994</c:v>
                </c:pt>
                <c:pt idx="120">
                  <c:v>4.0799999999999992</c:v>
                </c:pt>
                <c:pt idx="121">
                  <c:v>4.1139999999999999</c:v>
                </c:pt>
                <c:pt idx="122">
                  <c:v>4.1479999999999997</c:v>
                </c:pt>
                <c:pt idx="123">
                  <c:v>4.1819999999999995</c:v>
                </c:pt>
                <c:pt idx="124">
                  <c:v>4.2159999999999993</c:v>
                </c:pt>
                <c:pt idx="125">
                  <c:v>4.2499999999999991</c:v>
                </c:pt>
                <c:pt idx="126">
                  <c:v>4.2839999999999998</c:v>
                </c:pt>
                <c:pt idx="127">
                  <c:v>4.3179999999999996</c:v>
                </c:pt>
                <c:pt idx="128">
                  <c:v>4.3519999999999994</c:v>
                </c:pt>
                <c:pt idx="129">
                  <c:v>4.3859999999999992</c:v>
                </c:pt>
                <c:pt idx="130">
                  <c:v>4.419999999999999</c:v>
                </c:pt>
                <c:pt idx="131">
                  <c:v>4.4539999999999997</c:v>
                </c:pt>
                <c:pt idx="132">
                  <c:v>4.4879999999999995</c:v>
                </c:pt>
                <c:pt idx="133">
                  <c:v>4.5219999999999994</c:v>
                </c:pt>
                <c:pt idx="134">
                  <c:v>4.5559999999999992</c:v>
                </c:pt>
                <c:pt idx="135">
                  <c:v>4.589999999999999</c:v>
                </c:pt>
                <c:pt idx="136">
                  <c:v>4.6239999999999997</c:v>
                </c:pt>
                <c:pt idx="137">
                  <c:v>4.6579999999999995</c:v>
                </c:pt>
                <c:pt idx="138">
                  <c:v>4.6919999999999993</c:v>
                </c:pt>
                <c:pt idx="139">
                  <c:v>4.7259999999999991</c:v>
                </c:pt>
                <c:pt idx="140">
                  <c:v>4.76</c:v>
                </c:pt>
                <c:pt idx="141">
                  <c:v>4.7939999999999996</c:v>
                </c:pt>
                <c:pt idx="142">
                  <c:v>4.8279999999999994</c:v>
                </c:pt>
                <c:pt idx="143">
                  <c:v>4.8619999999999992</c:v>
                </c:pt>
                <c:pt idx="144">
                  <c:v>4.895999999999999</c:v>
                </c:pt>
                <c:pt idx="145">
                  <c:v>4.93</c:v>
                </c:pt>
                <c:pt idx="146">
                  <c:v>4.9639999999999995</c:v>
                </c:pt>
                <c:pt idx="147">
                  <c:v>4.9979999999999993</c:v>
                </c:pt>
                <c:pt idx="148">
                  <c:v>5.0319999999999991</c:v>
                </c:pt>
                <c:pt idx="149">
                  <c:v>5.0659999999999989</c:v>
                </c:pt>
                <c:pt idx="150">
                  <c:v>5.0999999999999996</c:v>
                </c:pt>
              </c:numCache>
            </c:numRef>
          </c:xVal>
          <c:yVal>
            <c:numRef>
              <c:f>Eff_vs_IOUT!$AT$7:$AT$157</c:f>
              <c:numCache>
                <c:formatCode>General</c:formatCode>
                <c:ptCount val="151"/>
                <c:pt idx="0">
                  <c:v>0</c:v>
                </c:pt>
                <c:pt idx="1">
                  <c:v>64.98734363793865</c:v>
                </c:pt>
                <c:pt idx="2">
                  <c:v>76.312835366500735</c:v>
                </c:pt>
                <c:pt idx="3">
                  <c:v>80.99497845550907</c:v>
                </c:pt>
                <c:pt idx="4">
                  <c:v>83.542624478431733</c:v>
                </c:pt>
                <c:pt idx="5">
                  <c:v>85.138362667741404</c:v>
                </c:pt>
                <c:pt idx="6">
                  <c:v>86.227896652509173</c:v>
                </c:pt>
                <c:pt idx="7">
                  <c:v>87.016522436887527</c:v>
                </c:pt>
                <c:pt idx="8">
                  <c:v>87.611906586417064</c:v>
                </c:pt>
                <c:pt idx="9">
                  <c:v>88.075927419720117</c:v>
                </c:pt>
                <c:pt idx="10">
                  <c:v>88.446661245943503</c:v>
                </c:pt>
                <c:pt idx="11">
                  <c:v>88.748813541490009</c:v>
                </c:pt>
                <c:pt idx="12">
                  <c:v>88.999108423366735</c:v>
                </c:pt>
                <c:pt idx="13">
                  <c:v>89.209266895179681</c:v>
                </c:pt>
                <c:pt idx="14">
                  <c:v>89.387744813848599</c:v>
                </c:pt>
                <c:pt idx="15">
                  <c:v>89.540793897147893</c:v>
                </c:pt>
                <c:pt idx="16">
                  <c:v>89.673134550917112</c:v>
                </c:pt>
                <c:pt idx="17">
                  <c:v>89.78839662137753</c:v>
                </c:pt>
                <c:pt idx="18">
                  <c:v>89.678219008597608</c:v>
                </c:pt>
                <c:pt idx="19">
                  <c:v>89.755584856187596</c:v>
                </c:pt>
                <c:pt idx="20">
                  <c:v>89.821277478461624</c:v>
                </c:pt>
                <c:pt idx="21">
                  <c:v>89.876933838265899</c:v>
                </c:pt>
                <c:pt idx="22">
                  <c:v>89.923899409627083</c:v>
                </c:pt>
                <c:pt idx="23">
                  <c:v>89.963290291268237</c:v>
                </c:pt>
                <c:pt idx="24">
                  <c:v>89.996040086397841</c:v>
                </c:pt>
                <c:pt idx="25">
                  <c:v>90.022935736456859</c:v>
                </c:pt>
                <c:pt idx="26">
                  <c:v>90.044645230592053</c:v>
                </c:pt>
                <c:pt idx="27">
                  <c:v>90.061739261547771</c:v>
                </c:pt>
                <c:pt idx="28">
                  <c:v>90.074708316689893</c:v>
                </c:pt>
                <c:pt idx="29">
                  <c:v>90.083976288666932</c:v>
                </c:pt>
                <c:pt idx="30">
                  <c:v>90.089911405418505</c:v>
                </c:pt>
                <c:pt idx="31">
                  <c:v>90.092835075909022</c:v>
                </c:pt>
                <c:pt idx="32">
                  <c:v>90.093029101002656</c:v>
                </c:pt>
                <c:pt idx="33">
                  <c:v>90.090741591457018</c:v>
                </c:pt>
                <c:pt idx="34">
                  <c:v>90.086191855631554</c:v>
                </c:pt>
                <c:pt idx="35">
                  <c:v>90.079574460270848</c:v>
                </c:pt>
                <c:pt idx="36">
                  <c:v>90.071062623106542</c:v>
                </c:pt>
                <c:pt idx="37">
                  <c:v>90.060811062124486</c:v>
                </c:pt>
                <c:pt idx="38">
                  <c:v>90.048958400376847</c:v>
                </c:pt>
                <c:pt idx="39">
                  <c:v>90.035629205175283</c:v>
                </c:pt>
                <c:pt idx="40">
                  <c:v>90.020935724913954</c:v>
                </c:pt>
                <c:pt idx="41">
                  <c:v>90.004979374568876</c:v>
                </c:pt>
                <c:pt idx="42">
                  <c:v>89.987852011303048</c:v>
                </c:pt>
                <c:pt idx="43">
                  <c:v>89.969637033980902</c:v>
                </c:pt>
                <c:pt idx="44">
                  <c:v>89.950410334314526</c:v>
                </c:pt>
                <c:pt idx="45">
                  <c:v>89.930241122485043</c:v>
                </c:pt>
                <c:pt idx="46">
                  <c:v>89.909192646150245</c:v>
                </c:pt>
                <c:pt idx="47">
                  <c:v>89.887322818561572</c:v>
                </c:pt>
                <c:pt idx="48">
                  <c:v>89.864684768918607</c:v>
                </c:pt>
                <c:pt idx="49">
                  <c:v>89.841327325965608</c:v>
                </c:pt>
                <c:pt idx="50">
                  <c:v>89.817295444090192</c:v>
                </c:pt>
                <c:pt idx="51">
                  <c:v>89.792630579744994</c:v>
                </c:pt>
                <c:pt idx="52">
                  <c:v>89.767371024820264</c:v>
                </c:pt>
                <c:pt idx="53">
                  <c:v>89.741552202603884</c:v>
                </c:pt>
                <c:pt idx="54">
                  <c:v>89.715206931137203</c:v>
                </c:pt>
                <c:pt idx="55">
                  <c:v>89.68836565808148</c:v>
                </c:pt>
                <c:pt idx="56">
                  <c:v>89.661056670627076</c:v>
                </c:pt>
                <c:pt idx="57">
                  <c:v>89.633306283485254</c:v>
                </c:pt>
                <c:pt idx="58">
                  <c:v>89.605139007587127</c:v>
                </c:pt>
                <c:pt idx="59">
                  <c:v>89.576577701760513</c:v>
                </c:pt>
                <c:pt idx="60">
                  <c:v>89.54764370935564</c:v>
                </c:pt>
                <c:pt idx="61">
                  <c:v>89.518356981533657</c:v>
                </c:pt>
                <c:pt idx="62">
                  <c:v>89.488736188712764</c:v>
                </c:pt>
                <c:pt idx="63">
                  <c:v>89.458798821477913</c:v>
                </c:pt>
                <c:pt idx="64">
                  <c:v>89.428561282098414</c:v>
                </c:pt>
                <c:pt idx="65">
                  <c:v>89.398038967657612</c:v>
                </c:pt>
                <c:pt idx="66">
                  <c:v>89.367246345678069</c:v>
                </c:pt>
                <c:pt idx="67">
                  <c:v>89.336197023020986</c:v>
                </c:pt>
                <c:pt idx="68">
                  <c:v>89.304903808747412</c:v>
                </c:pt>
                <c:pt idx="69">
                  <c:v>89.273378771549744</c:v>
                </c:pt>
                <c:pt idx="70">
                  <c:v>89.241633292293102</c:v>
                </c:pt>
                <c:pt idx="71">
                  <c:v>89.209678112145156</c:v>
                </c:pt>
                <c:pt idx="72">
                  <c:v>89.177523376721027</c:v>
                </c:pt>
                <c:pt idx="73">
                  <c:v>89.14517867662272</c:v>
                </c:pt>
                <c:pt idx="74">
                  <c:v>89.112653084711866</c:v>
                </c:pt>
                <c:pt idx="75">
                  <c:v>89.079955190419298</c:v>
                </c:pt>
                <c:pt idx="76">
                  <c:v>89.047093131362033</c:v>
                </c:pt>
                <c:pt idx="77">
                  <c:v>89.014074622511657</c:v>
                </c:pt>
                <c:pt idx="78">
                  <c:v>88.980906983132115</c:v>
                </c:pt>
                <c:pt idx="79">
                  <c:v>88.947597161683461</c:v>
                </c:pt>
                <c:pt idx="80">
                  <c:v>88.91415175886867</c:v>
                </c:pt>
                <c:pt idx="81">
                  <c:v>88.880577048983085</c:v>
                </c:pt>
                <c:pt idx="82">
                  <c:v>88.84687899971027</c:v>
                </c:pt>
                <c:pt idx="83">
                  <c:v>88.813063290494981</c:v>
                </c:pt>
                <c:pt idx="84">
                  <c:v>88.779135329610853</c:v>
                </c:pt>
                <c:pt idx="85">
                  <c:v>88.745100270029909</c:v>
                </c:pt>
                <c:pt idx="86">
                  <c:v>88.710963024190832</c:v>
                </c:pt>
                <c:pt idx="87">
                  <c:v>88.676728277754009</c:v>
                </c:pt>
                <c:pt idx="88">
                  <c:v>88.642400502423897</c:v>
                </c:pt>
                <c:pt idx="89">
                  <c:v>88.607983967911068</c:v>
                </c:pt>
                <c:pt idx="90">
                  <c:v>88.573482753101217</c:v>
                </c:pt>
                <c:pt idx="91">
                  <c:v>88.538900756491245</c:v>
                </c:pt>
                <c:pt idx="92">
                  <c:v>88.504241705948289</c:v>
                </c:pt>
                <c:pt idx="93">
                  <c:v>88.469509167842048</c:v>
                </c:pt>
                <c:pt idx="94">
                  <c:v>88.434706555597302</c:v>
                </c:pt>
                <c:pt idx="95">
                  <c:v>88.399837137708715</c:v>
                </c:pt>
                <c:pt idx="96">
                  <c:v>88.36490404525712</c:v>
                </c:pt>
                <c:pt idx="97">
                  <c:v>88.329910278963197</c:v>
                </c:pt>
                <c:pt idx="98">
                  <c:v>88.294858715811159</c:v>
                </c:pt>
                <c:pt idx="99">
                  <c:v>88.259752115273002</c:v>
                </c:pt>
                <c:pt idx="100">
                  <c:v>88.224593125160965</c:v>
                </c:pt>
                <c:pt idx="101">
                  <c:v>88.189384287133819</c:v>
                </c:pt>
                <c:pt idx="102">
                  <c:v>88.154128041880895</c:v>
                </c:pt>
                <c:pt idx="103">
                  <c:v>88.11882673400531</c:v>
                </c:pt>
                <c:pt idx="104">
                  <c:v>88.083482616626767</c:v>
                </c:pt>
                <c:pt idx="105">
                  <c:v>88.048097855722474</c:v>
                </c:pt>
                <c:pt idx="106">
                  <c:v>88.012674534223493</c:v>
                </c:pt>
                <c:pt idx="107">
                  <c:v>87.977214655882236</c:v>
                </c:pt>
                <c:pt idx="108">
                  <c:v>87.94172014892608</c:v>
                </c:pt>
                <c:pt idx="109">
                  <c:v>87.906192869510761</c:v>
                </c:pt>
                <c:pt idx="110">
                  <c:v>87.870634604986051</c:v>
                </c:pt>
                <c:pt idx="111">
                  <c:v>87.835047076985774</c:v>
                </c:pt>
                <c:pt idx="112">
                  <c:v>87.799431944352861</c:v>
                </c:pt>
                <c:pt idx="113">
                  <c:v>87.763790805909778</c:v>
                </c:pt>
                <c:pt idx="114">
                  <c:v>87.728125203083707</c:v>
                </c:pt>
                <c:pt idx="115">
                  <c:v>87.692436622395263</c:v>
                </c:pt>
                <c:pt idx="116">
                  <c:v>87.656726497819108</c:v>
                </c:pt>
                <c:pt idx="117">
                  <c:v>87.620996213023773</c:v>
                </c:pt>
                <c:pt idx="118">
                  <c:v>87.585247103498219</c:v>
                </c:pt>
                <c:pt idx="119">
                  <c:v>87.549480458571594</c:v>
                </c:pt>
                <c:pt idx="120">
                  <c:v>87.513697523332098</c:v>
                </c:pt>
                <c:pt idx="121">
                  <c:v>87.4778995004515</c:v>
                </c:pt>
                <c:pt idx="122">
                  <c:v>87.442087551919826</c:v>
                </c:pt>
                <c:pt idx="123">
                  <c:v>87.406262800696027</c:v>
                </c:pt>
                <c:pt idx="124">
                  <c:v>87.370426332278925</c:v>
                </c:pt>
                <c:pt idx="125">
                  <c:v>87.334579196203094</c:v>
                </c:pt>
                <c:pt idx="126">
                  <c:v>87.298722407463742</c:v>
                </c:pt>
                <c:pt idx="127">
                  <c:v>87.262856947874454</c:v>
                </c:pt>
                <c:pt idx="128">
                  <c:v>87.226983767361631</c:v>
                </c:pt>
                <c:pt idx="129">
                  <c:v>87.191103785198791</c:v>
                </c:pt>
                <c:pt idx="130">
                  <c:v>87.15521789118425</c:v>
                </c:pt>
                <c:pt idx="131">
                  <c:v>87.119326946764929</c:v>
                </c:pt>
                <c:pt idx="132">
                  <c:v>87.083431786109273</c:v>
                </c:pt>
                <c:pt idx="133">
                  <c:v>87.047533217131985</c:v>
                </c:pt>
                <c:pt idx="134">
                  <c:v>87.011632022472938</c:v>
                </c:pt>
                <c:pt idx="135">
                  <c:v>86.975728960432818</c:v>
                </c:pt>
                <c:pt idx="136">
                  <c:v>86.93982476586757</c:v>
                </c:pt>
                <c:pt idx="137">
                  <c:v>86.903920151043735</c:v>
                </c:pt>
                <c:pt idx="138">
                  <c:v>86.868015806456924</c:v>
                </c:pt>
                <c:pt idx="139">
                  <c:v>86.832112401614765</c:v>
                </c:pt>
                <c:pt idx="140">
                  <c:v>86.79621058578671</c:v>
                </c:pt>
                <c:pt idx="141">
                  <c:v>86.760310988721756</c:v>
                </c:pt>
                <c:pt idx="142">
                  <c:v>86.724414221336204</c:v>
                </c:pt>
                <c:pt idx="143">
                  <c:v>86.688520876372408</c:v>
                </c:pt>
                <c:pt idx="144">
                  <c:v>86.652631529030316</c:v>
                </c:pt>
                <c:pt idx="145">
                  <c:v>86.616746737572839</c:v>
                </c:pt>
                <c:pt idx="146">
                  <c:v>86.580867043906522</c:v>
                </c:pt>
                <c:pt idx="147">
                  <c:v>86.544992974138566</c:v>
                </c:pt>
                <c:pt idx="148">
                  <c:v>86.509125039111211</c:v>
                </c:pt>
                <c:pt idx="149">
                  <c:v>86.473263734914795</c:v>
                </c:pt>
                <c:pt idx="150">
                  <c:v>86.43740954338034</c:v>
                </c:pt>
              </c:numCache>
            </c:numRef>
          </c:yVal>
          <c:smooth val="0"/>
          <c:extLst>
            <c:ext xmlns:c16="http://schemas.microsoft.com/office/drawing/2014/chart" uri="{C3380CC4-5D6E-409C-BE32-E72D297353CC}">
              <c16:uniqueId val="{00000000-D428-476F-9D9B-414A5D21B4D3}"/>
            </c:ext>
          </c:extLst>
        </c:ser>
        <c:dLbls>
          <c:showLegendKey val="0"/>
          <c:showVal val="0"/>
          <c:showCatName val="0"/>
          <c:showSerName val="0"/>
          <c:showPercent val="0"/>
          <c:showBubbleSize val="0"/>
        </c:dLbls>
        <c:axId val="161084544"/>
        <c:axId val="161086080"/>
      </c:scatterChart>
      <c:scatterChart>
        <c:scatterStyle val="smoothMarker"/>
        <c:varyColors val="0"/>
        <c:ser>
          <c:idx val="1"/>
          <c:order val="1"/>
          <c:tx>
            <c:v>MOSFET</c:v>
          </c:tx>
          <c:spPr>
            <a:ln>
              <a:solidFill>
                <a:schemeClr val="tx2">
                  <a:lumMod val="75000"/>
                </a:schemeClr>
              </a:solidFill>
              <a:prstDash val="dashDot"/>
            </a:ln>
          </c:spPr>
          <c:marker>
            <c:symbol val="none"/>
          </c:marker>
          <c:xVal>
            <c:numRef>
              <c:f>Eff_vs_IOUT!$S$7:$S$157</c:f>
              <c:numCache>
                <c:formatCode>General</c:formatCode>
                <c:ptCount val="151"/>
                <c:pt idx="0">
                  <c:v>0</c:v>
                </c:pt>
                <c:pt idx="1">
                  <c:v>3.3999999999999996E-2</c:v>
                </c:pt>
                <c:pt idx="2">
                  <c:v>6.7999999999999991E-2</c:v>
                </c:pt>
                <c:pt idx="3">
                  <c:v>0.10199999999999998</c:v>
                </c:pt>
                <c:pt idx="4">
                  <c:v>0.13599999999999998</c:v>
                </c:pt>
                <c:pt idx="5">
                  <c:v>0.16999999999999998</c:v>
                </c:pt>
                <c:pt idx="6">
                  <c:v>0.20399999999999996</c:v>
                </c:pt>
                <c:pt idx="7">
                  <c:v>0.23799999999999996</c:v>
                </c:pt>
                <c:pt idx="8">
                  <c:v>0.27199999999999996</c:v>
                </c:pt>
                <c:pt idx="9">
                  <c:v>0.30599999999999994</c:v>
                </c:pt>
                <c:pt idx="10">
                  <c:v>0.33999999999999997</c:v>
                </c:pt>
                <c:pt idx="11">
                  <c:v>0.37399999999999994</c:v>
                </c:pt>
                <c:pt idx="12">
                  <c:v>0.40799999999999992</c:v>
                </c:pt>
                <c:pt idx="13">
                  <c:v>0.44199999999999995</c:v>
                </c:pt>
                <c:pt idx="14">
                  <c:v>0.47599999999999992</c:v>
                </c:pt>
                <c:pt idx="15">
                  <c:v>0.5099999999999999</c:v>
                </c:pt>
                <c:pt idx="16">
                  <c:v>0.54399999999999993</c:v>
                </c:pt>
                <c:pt idx="17">
                  <c:v>0.57799999999999996</c:v>
                </c:pt>
                <c:pt idx="18">
                  <c:v>0.61199999999999988</c:v>
                </c:pt>
                <c:pt idx="19">
                  <c:v>0.64599999999999991</c:v>
                </c:pt>
                <c:pt idx="20">
                  <c:v>0.67999999999999994</c:v>
                </c:pt>
                <c:pt idx="21">
                  <c:v>0.71399999999999986</c:v>
                </c:pt>
                <c:pt idx="22">
                  <c:v>0.74799999999999989</c:v>
                </c:pt>
                <c:pt idx="23">
                  <c:v>0.78199999999999992</c:v>
                </c:pt>
                <c:pt idx="24">
                  <c:v>0.81599999999999984</c:v>
                </c:pt>
                <c:pt idx="25">
                  <c:v>0.84999999999999987</c:v>
                </c:pt>
                <c:pt idx="26">
                  <c:v>0.8839999999999999</c:v>
                </c:pt>
                <c:pt idx="27">
                  <c:v>0.91799999999999993</c:v>
                </c:pt>
                <c:pt idx="28">
                  <c:v>0.95199999999999985</c:v>
                </c:pt>
                <c:pt idx="29">
                  <c:v>0.98599999999999988</c:v>
                </c:pt>
                <c:pt idx="30">
                  <c:v>1.0199999999999998</c:v>
                </c:pt>
                <c:pt idx="31">
                  <c:v>1.0539999999999998</c:v>
                </c:pt>
                <c:pt idx="32">
                  <c:v>1.0879999999999999</c:v>
                </c:pt>
                <c:pt idx="33">
                  <c:v>1.1219999999999999</c:v>
                </c:pt>
                <c:pt idx="34">
                  <c:v>1.1559999999999999</c:v>
                </c:pt>
                <c:pt idx="35">
                  <c:v>1.19</c:v>
                </c:pt>
                <c:pt idx="36">
                  <c:v>1.2239999999999998</c:v>
                </c:pt>
                <c:pt idx="37">
                  <c:v>1.2579999999999998</c:v>
                </c:pt>
                <c:pt idx="38">
                  <c:v>1.2919999999999998</c:v>
                </c:pt>
                <c:pt idx="39">
                  <c:v>1.3259999999999998</c:v>
                </c:pt>
                <c:pt idx="40">
                  <c:v>1.3599999999999999</c:v>
                </c:pt>
                <c:pt idx="41">
                  <c:v>1.3939999999999999</c:v>
                </c:pt>
                <c:pt idx="42">
                  <c:v>1.4279999999999997</c:v>
                </c:pt>
                <c:pt idx="43">
                  <c:v>1.4619999999999997</c:v>
                </c:pt>
                <c:pt idx="44">
                  <c:v>1.4959999999999998</c:v>
                </c:pt>
                <c:pt idx="45">
                  <c:v>1.5299999999999998</c:v>
                </c:pt>
                <c:pt idx="46">
                  <c:v>1.5639999999999998</c:v>
                </c:pt>
                <c:pt idx="47">
                  <c:v>1.5979999999999999</c:v>
                </c:pt>
                <c:pt idx="48">
                  <c:v>1.6319999999999997</c:v>
                </c:pt>
                <c:pt idx="49">
                  <c:v>1.6659999999999997</c:v>
                </c:pt>
                <c:pt idx="50">
                  <c:v>1.6999999999999997</c:v>
                </c:pt>
                <c:pt idx="51">
                  <c:v>1.7339999999999998</c:v>
                </c:pt>
                <c:pt idx="52">
                  <c:v>1.7679999999999998</c:v>
                </c:pt>
                <c:pt idx="53">
                  <c:v>1.8019999999999998</c:v>
                </c:pt>
                <c:pt idx="54">
                  <c:v>1.8359999999999999</c:v>
                </c:pt>
                <c:pt idx="55">
                  <c:v>1.8699999999999997</c:v>
                </c:pt>
                <c:pt idx="56">
                  <c:v>1.9039999999999997</c:v>
                </c:pt>
                <c:pt idx="57">
                  <c:v>1.9379999999999997</c:v>
                </c:pt>
                <c:pt idx="58">
                  <c:v>1.9719999999999998</c:v>
                </c:pt>
                <c:pt idx="59">
                  <c:v>2.0059999999999998</c:v>
                </c:pt>
                <c:pt idx="60">
                  <c:v>2.0399999999999996</c:v>
                </c:pt>
                <c:pt idx="61">
                  <c:v>2.0739999999999998</c:v>
                </c:pt>
                <c:pt idx="62">
                  <c:v>2.1079999999999997</c:v>
                </c:pt>
                <c:pt idx="63">
                  <c:v>2.1419999999999999</c:v>
                </c:pt>
                <c:pt idx="64">
                  <c:v>2.1759999999999997</c:v>
                </c:pt>
                <c:pt idx="65">
                  <c:v>2.2099999999999995</c:v>
                </c:pt>
                <c:pt idx="66">
                  <c:v>2.2439999999999998</c:v>
                </c:pt>
                <c:pt idx="67">
                  <c:v>2.2779999999999996</c:v>
                </c:pt>
                <c:pt idx="68">
                  <c:v>2.3119999999999998</c:v>
                </c:pt>
                <c:pt idx="69">
                  <c:v>2.3459999999999996</c:v>
                </c:pt>
                <c:pt idx="70">
                  <c:v>2.38</c:v>
                </c:pt>
                <c:pt idx="71">
                  <c:v>2.4139999999999997</c:v>
                </c:pt>
                <c:pt idx="72">
                  <c:v>2.4479999999999995</c:v>
                </c:pt>
                <c:pt idx="73">
                  <c:v>2.4819999999999998</c:v>
                </c:pt>
                <c:pt idx="74">
                  <c:v>2.5159999999999996</c:v>
                </c:pt>
                <c:pt idx="75">
                  <c:v>2.5499999999999998</c:v>
                </c:pt>
                <c:pt idx="76">
                  <c:v>2.5839999999999996</c:v>
                </c:pt>
                <c:pt idx="77">
                  <c:v>2.6179999999999994</c:v>
                </c:pt>
                <c:pt idx="78">
                  <c:v>2.6519999999999997</c:v>
                </c:pt>
                <c:pt idx="79">
                  <c:v>2.6859999999999995</c:v>
                </c:pt>
                <c:pt idx="80">
                  <c:v>2.7199999999999998</c:v>
                </c:pt>
                <c:pt idx="81">
                  <c:v>2.7539999999999996</c:v>
                </c:pt>
                <c:pt idx="82">
                  <c:v>2.7879999999999998</c:v>
                </c:pt>
                <c:pt idx="83">
                  <c:v>2.8219999999999996</c:v>
                </c:pt>
                <c:pt idx="84">
                  <c:v>2.8559999999999994</c:v>
                </c:pt>
                <c:pt idx="85">
                  <c:v>2.8899999999999997</c:v>
                </c:pt>
                <c:pt idx="86">
                  <c:v>2.9239999999999995</c:v>
                </c:pt>
                <c:pt idx="87">
                  <c:v>2.9579999999999997</c:v>
                </c:pt>
                <c:pt idx="88">
                  <c:v>2.9919999999999995</c:v>
                </c:pt>
                <c:pt idx="89">
                  <c:v>3.0259999999999998</c:v>
                </c:pt>
                <c:pt idx="90">
                  <c:v>3.0599999999999996</c:v>
                </c:pt>
                <c:pt idx="91">
                  <c:v>3.0939999999999994</c:v>
                </c:pt>
                <c:pt idx="92">
                  <c:v>3.1279999999999997</c:v>
                </c:pt>
                <c:pt idx="93">
                  <c:v>3.1619999999999995</c:v>
                </c:pt>
                <c:pt idx="94">
                  <c:v>3.1959999999999997</c:v>
                </c:pt>
                <c:pt idx="95">
                  <c:v>3.2299999999999995</c:v>
                </c:pt>
                <c:pt idx="96">
                  <c:v>3.2639999999999993</c:v>
                </c:pt>
                <c:pt idx="97">
                  <c:v>3.2979999999999996</c:v>
                </c:pt>
                <c:pt idx="98">
                  <c:v>3.3319999999999994</c:v>
                </c:pt>
                <c:pt idx="99">
                  <c:v>3.3659999999999997</c:v>
                </c:pt>
                <c:pt idx="100">
                  <c:v>3.3999999999999995</c:v>
                </c:pt>
                <c:pt idx="101">
                  <c:v>3.4339999999999997</c:v>
                </c:pt>
                <c:pt idx="102">
                  <c:v>3.4679999999999995</c:v>
                </c:pt>
                <c:pt idx="103">
                  <c:v>3.5019999999999993</c:v>
                </c:pt>
                <c:pt idx="104">
                  <c:v>3.5359999999999996</c:v>
                </c:pt>
                <c:pt idx="105">
                  <c:v>3.5699999999999994</c:v>
                </c:pt>
                <c:pt idx="106">
                  <c:v>3.6039999999999996</c:v>
                </c:pt>
                <c:pt idx="107">
                  <c:v>3.6379999999999995</c:v>
                </c:pt>
                <c:pt idx="108">
                  <c:v>3.6719999999999997</c:v>
                </c:pt>
                <c:pt idx="109">
                  <c:v>3.7059999999999995</c:v>
                </c:pt>
                <c:pt idx="110">
                  <c:v>3.7399999999999993</c:v>
                </c:pt>
                <c:pt idx="111">
                  <c:v>3.7739999999999996</c:v>
                </c:pt>
                <c:pt idx="112">
                  <c:v>3.8079999999999994</c:v>
                </c:pt>
                <c:pt idx="113">
                  <c:v>3.8419999999999996</c:v>
                </c:pt>
                <c:pt idx="114">
                  <c:v>3.8759999999999994</c:v>
                </c:pt>
                <c:pt idx="115">
                  <c:v>3.9099999999999997</c:v>
                </c:pt>
                <c:pt idx="116">
                  <c:v>3.9439999999999995</c:v>
                </c:pt>
                <c:pt idx="117">
                  <c:v>3.9779999999999993</c:v>
                </c:pt>
                <c:pt idx="118">
                  <c:v>4.0119999999999996</c:v>
                </c:pt>
                <c:pt idx="119">
                  <c:v>4.0459999999999994</c:v>
                </c:pt>
                <c:pt idx="120">
                  <c:v>4.0799999999999992</c:v>
                </c:pt>
                <c:pt idx="121">
                  <c:v>4.1139999999999999</c:v>
                </c:pt>
                <c:pt idx="122">
                  <c:v>4.1479999999999997</c:v>
                </c:pt>
                <c:pt idx="123">
                  <c:v>4.1819999999999995</c:v>
                </c:pt>
                <c:pt idx="124">
                  <c:v>4.2159999999999993</c:v>
                </c:pt>
                <c:pt idx="125">
                  <c:v>4.2499999999999991</c:v>
                </c:pt>
                <c:pt idx="126">
                  <c:v>4.2839999999999998</c:v>
                </c:pt>
                <c:pt idx="127">
                  <c:v>4.3179999999999996</c:v>
                </c:pt>
                <c:pt idx="128">
                  <c:v>4.3519999999999994</c:v>
                </c:pt>
                <c:pt idx="129">
                  <c:v>4.3859999999999992</c:v>
                </c:pt>
                <c:pt idx="130">
                  <c:v>4.419999999999999</c:v>
                </c:pt>
                <c:pt idx="131">
                  <c:v>4.4539999999999997</c:v>
                </c:pt>
                <c:pt idx="132">
                  <c:v>4.4879999999999995</c:v>
                </c:pt>
                <c:pt idx="133">
                  <c:v>4.5219999999999994</c:v>
                </c:pt>
                <c:pt idx="134">
                  <c:v>4.5559999999999992</c:v>
                </c:pt>
                <c:pt idx="135">
                  <c:v>4.589999999999999</c:v>
                </c:pt>
                <c:pt idx="136">
                  <c:v>4.6239999999999997</c:v>
                </c:pt>
                <c:pt idx="137">
                  <c:v>4.6579999999999995</c:v>
                </c:pt>
                <c:pt idx="138">
                  <c:v>4.6919999999999993</c:v>
                </c:pt>
                <c:pt idx="139">
                  <c:v>4.7259999999999991</c:v>
                </c:pt>
                <c:pt idx="140">
                  <c:v>4.76</c:v>
                </c:pt>
                <c:pt idx="141">
                  <c:v>4.7939999999999996</c:v>
                </c:pt>
                <c:pt idx="142">
                  <c:v>4.8279999999999994</c:v>
                </c:pt>
                <c:pt idx="143">
                  <c:v>4.8619999999999992</c:v>
                </c:pt>
                <c:pt idx="144">
                  <c:v>4.895999999999999</c:v>
                </c:pt>
                <c:pt idx="145">
                  <c:v>4.93</c:v>
                </c:pt>
                <c:pt idx="146">
                  <c:v>4.9639999999999995</c:v>
                </c:pt>
                <c:pt idx="147">
                  <c:v>4.9979999999999993</c:v>
                </c:pt>
                <c:pt idx="148">
                  <c:v>5.0319999999999991</c:v>
                </c:pt>
                <c:pt idx="149">
                  <c:v>5.0659999999999989</c:v>
                </c:pt>
                <c:pt idx="150">
                  <c:v>5.0999999999999996</c:v>
                </c:pt>
              </c:numCache>
            </c:numRef>
          </c:xVal>
          <c:yVal>
            <c:numRef>
              <c:f>Eff_vs_IOUT!$AI$7:$AI$157</c:f>
              <c:numCache>
                <c:formatCode>General</c:formatCode>
                <c:ptCount val="151"/>
                <c:pt idx="0">
                  <c:v>0</c:v>
                </c:pt>
                <c:pt idx="1">
                  <c:v>2.6654934675109057E-2</c:v>
                </c:pt>
                <c:pt idx="2">
                  <c:v>5.36429707696967E-2</c:v>
                </c:pt>
                <c:pt idx="3">
                  <c:v>8.0847852717895088E-2</c:v>
                </c:pt>
                <c:pt idx="4">
                  <c:v>0.10822809462953809</c:v>
                </c:pt>
                <c:pt idx="5">
                  <c:v>0.13575971995102623</c:v>
                </c:pt>
                <c:pt idx="6">
                  <c:v>0.16342655118362084</c:v>
                </c:pt>
                <c:pt idx="7">
                  <c:v>0.19121671201397472</c:v>
                </c:pt>
                <c:pt idx="8">
                  <c:v>0.21912100061490486</c:v>
                </c:pt>
                <c:pt idx="9">
                  <c:v>0.24713201375693991</c:v>
                </c:pt>
                <c:pt idx="10">
                  <c:v>0.27524362698883142</c:v>
                </c:pt>
                <c:pt idx="11">
                  <c:v>0.30345066377314889</c:v>
                </c:pt>
                <c:pt idx="12">
                  <c:v>0.33174867342915759</c:v>
                </c:pt>
                <c:pt idx="13">
                  <c:v>0.36013377576444988</c:v>
                </c:pt>
                <c:pt idx="14">
                  <c:v>0.38860254864907001</c:v>
                </c:pt>
                <c:pt idx="15">
                  <c:v>0.41715194437319936</c:v>
                </c:pt>
                <c:pt idx="16">
                  <c:v>0.44577922595096725</c:v>
                </c:pt>
                <c:pt idx="17">
                  <c:v>0.47448191764009157</c:v>
                </c:pt>
                <c:pt idx="18">
                  <c:v>0.50872667519617432</c:v>
                </c:pt>
                <c:pt idx="19">
                  <c:v>0.53826308115028487</c:v>
                </c:pt>
                <c:pt idx="20">
                  <c:v>0.56797697684824833</c:v>
                </c:pt>
                <c:pt idx="21">
                  <c:v>0.59786836229006435</c:v>
                </c:pt>
                <c:pt idx="22">
                  <c:v>0.62793723747573338</c:v>
                </c:pt>
                <c:pt idx="23">
                  <c:v>0.65818360240525531</c:v>
                </c:pt>
                <c:pt idx="24">
                  <c:v>0.68860745707862991</c:v>
                </c:pt>
                <c:pt idx="25">
                  <c:v>0.7192088014958572</c:v>
                </c:pt>
                <c:pt idx="26">
                  <c:v>0.74998763565693749</c:v>
                </c:pt>
                <c:pt idx="27">
                  <c:v>0.78094395956187068</c:v>
                </c:pt>
                <c:pt idx="28">
                  <c:v>0.81207777321065633</c:v>
                </c:pt>
                <c:pt idx="29">
                  <c:v>0.8433890766032951</c:v>
                </c:pt>
                <c:pt idx="30">
                  <c:v>0.87487786973978643</c:v>
                </c:pt>
                <c:pt idx="31">
                  <c:v>0.90654415262013088</c:v>
                </c:pt>
                <c:pt idx="32">
                  <c:v>0.9383879252443279</c:v>
                </c:pt>
                <c:pt idx="33">
                  <c:v>0.97040918761237771</c:v>
                </c:pt>
                <c:pt idx="34">
                  <c:v>1.0026079397242806</c:v>
                </c:pt>
                <c:pt idx="35">
                  <c:v>1.0349841815800362</c:v>
                </c:pt>
                <c:pt idx="36">
                  <c:v>1.0675379131796443</c:v>
                </c:pt>
                <c:pt idx="37">
                  <c:v>1.1002691345231055</c:v>
                </c:pt>
                <c:pt idx="38">
                  <c:v>1.1331778456104196</c:v>
                </c:pt>
                <c:pt idx="39">
                  <c:v>1.1662640464415863</c:v>
                </c:pt>
                <c:pt idx="40">
                  <c:v>1.199527737016606</c:v>
                </c:pt>
                <c:pt idx="41">
                  <c:v>1.2329689173354783</c:v>
                </c:pt>
                <c:pt idx="42">
                  <c:v>1.2665875873982031</c:v>
                </c:pt>
                <c:pt idx="43">
                  <c:v>1.3003837472047814</c:v>
                </c:pt>
                <c:pt idx="44">
                  <c:v>1.334357396755212</c:v>
                </c:pt>
                <c:pt idx="45">
                  <c:v>1.3685085360494957</c:v>
                </c:pt>
                <c:pt idx="46">
                  <c:v>1.4028371650876321</c:v>
                </c:pt>
                <c:pt idx="47">
                  <c:v>1.4373432838696214</c:v>
                </c:pt>
                <c:pt idx="48">
                  <c:v>1.4720268923954636</c:v>
                </c:pt>
                <c:pt idx="49">
                  <c:v>1.5068879906651582</c:v>
                </c:pt>
                <c:pt idx="50">
                  <c:v>1.5419265786787058</c:v>
                </c:pt>
                <c:pt idx="51">
                  <c:v>1.5771426564361064</c:v>
                </c:pt>
                <c:pt idx="52">
                  <c:v>1.6125362239373595</c:v>
                </c:pt>
                <c:pt idx="53">
                  <c:v>1.648107281182466</c:v>
                </c:pt>
                <c:pt idx="54">
                  <c:v>1.6838558281714249</c:v>
                </c:pt>
                <c:pt idx="55">
                  <c:v>1.719781864904236</c:v>
                </c:pt>
                <c:pt idx="56">
                  <c:v>1.7558853913809007</c:v>
                </c:pt>
                <c:pt idx="57">
                  <c:v>1.7921664076014185</c:v>
                </c:pt>
                <c:pt idx="58">
                  <c:v>1.8286249135657884</c:v>
                </c:pt>
                <c:pt idx="59">
                  <c:v>1.8652609092740113</c:v>
                </c:pt>
                <c:pt idx="60">
                  <c:v>1.9020743947260867</c:v>
                </c:pt>
                <c:pt idx="61">
                  <c:v>1.9390653699220155</c:v>
                </c:pt>
                <c:pt idx="62">
                  <c:v>1.9762338348617972</c:v>
                </c:pt>
                <c:pt idx="63">
                  <c:v>2.0135797895454308</c:v>
                </c:pt>
                <c:pt idx="64">
                  <c:v>2.0511032339729183</c:v>
                </c:pt>
                <c:pt idx="65">
                  <c:v>2.0888041681442577</c:v>
                </c:pt>
                <c:pt idx="66">
                  <c:v>2.1266825920594505</c:v>
                </c:pt>
                <c:pt idx="67">
                  <c:v>2.1647385057184962</c:v>
                </c:pt>
                <c:pt idx="68">
                  <c:v>2.2029719091213944</c:v>
                </c:pt>
                <c:pt idx="69">
                  <c:v>2.2413828022681455</c:v>
                </c:pt>
                <c:pt idx="70">
                  <c:v>2.2799711851587494</c:v>
                </c:pt>
                <c:pt idx="71">
                  <c:v>2.3187370577932058</c:v>
                </c:pt>
                <c:pt idx="72">
                  <c:v>2.3576804201715151</c:v>
                </c:pt>
                <c:pt idx="73">
                  <c:v>2.3968012722936782</c:v>
                </c:pt>
                <c:pt idx="74">
                  <c:v>2.4360996141596925</c:v>
                </c:pt>
                <c:pt idx="75">
                  <c:v>2.4755754457695609</c:v>
                </c:pt>
                <c:pt idx="76">
                  <c:v>2.5152287671232809</c:v>
                </c:pt>
                <c:pt idx="77">
                  <c:v>2.5550595782208543</c:v>
                </c:pt>
                <c:pt idx="78">
                  <c:v>2.595067879062281</c:v>
                </c:pt>
                <c:pt idx="79">
                  <c:v>2.6352536696475601</c:v>
                </c:pt>
                <c:pt idx="80">
                  <c:v>2.6756169499766922</c:v>
                </c:pt>
                <c:pt idx="81">
                  <c:v>2.7161577200496763</c:v>
                </c:pt>
                <c:pt idx="82">
                  <c:v>2.7568759798665146</c:v>
                </c:pt>
                <c:pt idx="83">
                  <c:v>2.7977717294272049</c:v>
                </c:pt>
                <c:pt idx="84">
                  <c:v>2.8388449687317481</c:v>
                </c:pt>
                <c:pt idx="85">
                  <c:v>2.8800956977801442</c:v>
                </c:pt>
                <c:pt idx="86">
                  <c:v>2.9215239165723927</c:v>
                </c:pt>
                <c:pt idx="87">
                  <c:v>2.9631296251084942</c:v>
                </c:pt>
                <c:pt idx="88">
                  <c:v>3.0049128233884481</c:v>
                </c:pt>
                <c:pt idx="89">
                  <c:v>3.0468735114122563</c:v>
                </c:pt>
                <c:pt idx="90">
                  <c:v>3.089011689179916</c:v>
                </c:pt>
                <c:pt idx="91">
                  <c:v>3.1313273566914286</c:v>
                </c:pt>
                <c:pt idx="92">
                  <c:v>3.1738205139467945</c:v>
                </c:pt>
                <c:pt idx="93">
                  <c:v>3.216491160946013</c:v>
                </c:pt>
                <c:pt idx="94">
                  <c:v>3.2593392976890847</c:v>
                </c:pt>
                <c:pt idx="95">
                  <c:v>3.3023649241760085</c:v>
                </c:pt>
                <c:pt idx="96">
                  <c:v>3.3455680404067856</c:v>
                </c:pt>
                <c:pt idx="97">
                  <c:v>3.3889486463814151</c:v>
                </c:pt>
                <c:pt idx="98">
                  <c:v>3.4325067420998971</c:v>
                </c:pt>
                <c:pt idx="99">
                  <c:v>3.4762423275622325</c:v>
                </c:pt>
                <c:pt idx="100">
                  <c:v>3.5201554027684203</c:v>
                </c:pt>
                <c:pt idx="101">
                  <c:v>3.5642459677184619</c:v>
                </c:pt>
                <c:pt idx="102">
                  <c:v>3.6085140224123551</c:v>
                </c:pt>
                <c:pt idx="103">
                  <c:v>3.652959566850102</c:v>
                </c:pt>
                <c:pt idx="104">
                  <c:v>3.6975826010317014</c:v>
                </c:pt>
                <c:pt idx="105">
                  <c:v>3.7423831249571533</c:v>
                </c:pt>
                <c:pt idx="106">
                  <c:v>3.7873611386264594</c:v>
                </c:pt>
                <c:pt idx="107">
                  <c:v>3.8325166420396171</c:v>
                </c:pt>
                <c:pt idx="108">
                  <c:v>3.8778496351966272</c:v>
                </c:pt>
                <c:pt idx="109">
                  <c:v>3.9233601180974906</c:v>
                </c:pt>
                <c:pt idx="110">
                  <c:v>3.9690480907422057</c:v>
                </c:pt>
                <c:pt idx="111">
                  <c:v>4.0149135531307758</c:v>
                </c:pt>
                <c:pt idx="112">
                  <c:v>4.0609565052631975</c:v>
                </c:pt>
                <c:pt idx="113">
                  <c:v>4.1071769471394717</c:v>
                </c:pt>
                <c:pt idx="114">
                  <c:v>4.1535748787596001</c:v>
                </c:pt>
                <c:pt idx="115">
                  <c:v>4.20015030012358</c:v>
                </c:pt>
                <c:pt idx="116">
                  <c:v>4.2469032112314125</c:v>
                </c:pt>
                <c:pt idx="117">
                  <c:v>4.2938336120830982</c:v>
                </c:pt>
                <c:pt idx="118">
                  <c:v>4.3409415026786373</c:v>
                </c:pt>
                <c:pt idx="119">
                  <c:v>4.3882268830180289</c:v>
                </c:pt>
                <c:pt idx="120">
                  <c:v>4.4356897531012729</c:v>
                </c:pt>
                <c:pt idx="121">
                  <c:v>4.4833301129283711</c:v>
                </c:pt>
                <c:pt idx="122">
                  <c:v>4.5311479624993201</c:v>
                </c:pt>
                <c:pt idx="123">
                  <c:v>4.5791433018141223</c:v>
                </c:pt>
                <c:pt idx="124">
                  <c:v>4.6273161308727779</c:v>
                </c:pt>
                <c:pt idx="125">
                  <c:v>4.6756664496752869</c:v>
                </c:pt>
                <c:pt idx="126">
                  <c:v>4.7241942582216474</c:v>
                </c:pt>
                <c:pt idx="127">
                  <c:v>4.7728995565118622</c:v>
                </c:pt>
                <c:pt idx="128">
                  <c:v>4.8217823445459285</c:v>
                </c:pt>
                <c:pt idx="129">
                  <c:v>4.8708426223238472</c:v>
                </c:pt>
                <c:pt idx="130">
                  <c:v>4.9200803898456194</c:v>
                </c:pt>
                <c:pt idx="131">
                  <c:v>4.9694956471112466</c:v>
                </c:pt>
                <c:pt idx="132">
                  <c:v>5.0190883941207236</c:v>
                </c:pt>
                <c:pt idx="133">
                  <c:v>5.068858630874054</c:v>
                </c:pt>
                <c:pt idx="134">
                  <c:v>5.1188063573712386</c:v>
                </c:pt>
                <c:pt idx="135">
                  <c:v>5.1689315736122747</c:v>
                </c:pt>
                <c:pt idx="136">
                  <c:v>5.2192342795971651</c:v>
                </c:pt>
                <c:pt idx="137">
                  <c:v>5.2697144753259062</c:v>
                </c:pt>
                <c:pt idx="138">
                  <c:v>5.3203721607985024</c:v>
                </c:pt>
                <c:pt idx="139">
                  <c:v>5.3712073360149493</c:v>
                </c:pt>
                <c:pt idx="140">
                  <c:v>5.4222200009752504</c:v>
                </c:pt>
                <c:pt idx="141">
                  <c:v>5.473410155679403</c:v>
                </c:pt>
                <c:pt idx="142">
                  <c:v>5.5247778001274082</c:v>
                </c:pt>
                <c:pt idx="143">
                  <c:v>5.5763229343192684</c:v>
                </c:pt>
                <c:pt idx="144">
                  <c:v>5.6280455582549793</c:v>
                </c:pt>
                <c:pt idx="145">
                  <c:v>5.6799456719345436</c:v>
                </c:pt>
                <c:pt idx="146">
                  <c:v>5.7320232753579621</c:v>
                </c:pt>
                <c:pt idx="147">
                  <c:v>5.7842783685252313</c:v>
                </c:pt>
                <c:pt idx="148">
                  <c:v>5.8367109514363538</c:v>
                </c:pt>
                <c:pt idx="149">
                  <c:v>5.8893210240913287</c:v>
                </c:pt>
                <c:pt idx="150">
                  <c:v>5.9421085864901597</c:v>
                </c:pt>
              </c:numCache>
            </c:numRef>
          </c:yVal>
          <c:smooth val="1"/>
          <c:extLst>
            <c:ext xmlns:c16="http://schemas.microsoft.com/office/drawing/2014/chart" uri="{C3380CC4-5D6E-409C-BE32-E72D297353CC}">
              <c16:uniqueId val="{00000001-D428-476F-9D9B-414A5D21B4D3}"/>
            </c:ext>
          </c:extLst>
        </c:ser>
        <c:ser>
          <c:idx val="2"/>
          <c:order val="2"/>
          <c:tx>
            <c:v>Diode</c:v>
          </c:tx>
          <c:spPr>
            <a:ln>
              <a:solidFill>
                <a:schemeClr val="bg2">
                  <a:lumMod val="50000"/>
                </a:schemeClr>
              </a:solidFill>
              <a:prstDash val="sysDash"/>
            </a:ln>
          </c:spPr>
          <c:marker>
            <c:symbol val="none"/>
          </c:marker>
          <c:xVal>
            <c:numRef>
              <c:f>Eff_vs_IOUT!$S$7:$S$157</c:f>
              <c:numCache>
                <c:formatCode>General</c:formatCode>
                <c:ptCount val="151"/>
                <c:pt idx="0">
                  <c:v>0</c:v>
                </c:pt>
                <c:pt idx="1">
                  <c:v>3.3999999999999996E-2</c:v>
                </c:pt>
                <c:pt idx="2">
                  <c:v>6.7999999999999991E-2</c:v>
                </c:pt>
                <c:pt idx="3">
                  <c:v>0.10199999999999998</c:v>
                </c:pt>
                <c:pt idx="4">
                  <c:v>0.13599999999999998</c:v>
                </c:pt>
                <c:pt idx="5">
                  <c:v>0.16999999999999998</c:v>
                </c:pt>
                <c:pt idx="6">
                  <c:v>0.20399999999999996</c:v>
                </c:pt>
                <c:pt idx="7">
                  <c:v>0.23799999999999996</c:v>
                </c:pt>
                <c:pt idx="8">
                  <c:v>0.27199999999999996</c:v>
                </c:pt>
                <c:pt idx="9">
                  <c:v>0.30599999999999994</c:v>
                </c:pt>
                <c:pt idx="10">
                  <c:v>0.33999999999999997</c:v>
                </c:pt>
                <c:pt idx="11">
                  <c:v>0.37399999999999994</c:v>
                </c:pt>
                <c:pt idx="12">
                  <c:v>0.40799999999999992</c:v>
                </c:pt>
                <c:pt idx="13">
                  <c:v>0.44199999999999995</c:v>
                </c:pt>
                <c:pt idx="14">
                  <c:v>0.47599999999999992</c:v>
                </c:pt>
                <c:pt idx="15">
                  <c:v>0.5099999999999999</c:v>
                </c:pt>
                <c:pt idx="16">
                  <c:v>0.54399999999999993</c:v>
                </c:pt>
                <c:pt idx="17">
                  <c:v>0.57799999999999996</c:v>
                </c:pt>
                <c:pt idx="18">
                  <c:v>0.61199999999999988</c:v>
                </c:pt>
                <c:pt idx="19">
                  <c:v>0.64599999999999991</c:v>
                </c:pt>
                <c:pt idx="20">
                  <c:v>0.67999999999999994</c:v>
                </c:pt>
                <c:pt idx="21">
                  <c:v>0.71399999999999986</c:v>
                </c:pt>
                <c:pt idx="22">
                  <c:v>0.74799999999999989</c:v>
                </c:pt>
                <c:pt idx="23">
                  <c:v>0.78199999999999992</c:v>
                </c:pt>
                <c:pt idx="24">
                  <c:v>0.81599999999999984</c:v>
                </c:pt>
                <c:pt idx="25">
                  <c:v>0.84999999999999987</c:v>
                </c:pt>
                <c:pt idx="26">
                  <c:v>0.8839999999999999</c:v>
                </c:pt>
                <c:pt idx="27">
                  <c:v>0.91799999999999993</c:v>
                </c:pt>
                <c:pt idx="28">
                  <c:v>0.95199999999999985</c:v>
                </c:pt>
                <c:pt idx="29">
                  <c:v>0.98599999999999988</c:v>
                </c:pt>
                <c:pt idx="30">
                  <c:v>1.0199999999999998</c:v>
                </c:pt>
                <c:pt idx="31">
                  <c:v>1.0539999999999998</c:v>
                </c:pt>
                <c:pt idx="32">
                  <c:v>1.0879999999999999</c:v>
                </c:pt>
                <c:pt idx="33">
                  <c:v>1.1219999999999999</c:v>
                </c:pt>
                <c:pt idx="34">
                  <c:v>1.1559999999999999</c:v>
                </c:pt>
                <c:pt idx="35">
                  <c:v>1.19</c:v>
                </c:pt>
                <c:pt idx="36">
                  <c:v>1.2239999999999998</c:v>
                </c:pt>
                <c:pt idx="37">
                  <c:v>1.2579999999999998</c:v>
                </c:pt>
                <c:pt idx="38">
                  <c:v>1.2919999999999998</c:v>
                </c:pt>
                <c:pt idx="39">
                  <c:v>1.3259999999999998</c:v>
                </c:pt>
                <c:pt idx="40">
                  <c:v>1.3599999999999999</c:v>
                </c:pt>
                <c:pt idx="41">
                  <c:v>1.3939999999999999</c:v>
                </c:pt>
                <c:pt idx="42">
                  <c:v>1.4279999999999997</c:v>
                </c:pt>
                <c:pt idx="43">
                  <c:v>1.4619999999999997</c:v>
                </c:pt>
                <c:pt idx="44">
                  <c:v>1.4959999999999998</c:v>
                </c:pt>
                <c:pt idx="45">
                  <c:v>1.5299999999999998</c:v>
                </c:pt>
                <c:pt idx="46">
                  <c:v>1.5639999999999998</c:v>
                </c:pt>
                <c:pt idx="47">
                  <c:v>1.5979999999999999</c:v>
                </c:pt>
                <c:pt idx="48">
                  <c:v>1.6319999999999997</c:v>
                </c:pt>
                <c:pt idx="49">
                  <c:v>1.6659999999999997</c:v>
                </c:pt>
                <c:pt idx="50">
                  <c:v>1.6999999999999997</c:v>
                </c:pt>
                <c:pt idx="51">
                  <c:v>1.7339999999999998</c:v>
                </c:pt>
                <c:pt idx="52">
                  <c:v>1.7679999999999998</c:v>
                </c:pt>
                <c:pt idx="53">
                  <c:v>1.8019999999999998</c:v>
                </c:pt>
                <c:pt idx="54">
                  <c:v>1.8359999999999999</c:v>
                </c:pt>
                <c:pt idx="55">
                  <c:v>1.8699999999999997</c:v>
                </c:pt>
                <c:pt idx="56">
                  <c:v>1.9039999999999997</c:v>
                </c:pt>
                <c:pt idx="57">
                  <c:v>1.9379999999999997</c:v>
                </c:pt>
                <c:pt idx="58">
                  <c:v>1.9719999999999998</c:v>
                </c:pt>
                <c:pt idx="59">
                  <c:v>2.0059999999999998</c:v>
                </c:pt>
                <c:pt idx="60">
                  <c:v>2.0399999999999996</c:v>
                </c:pt>
                <c:pt idx="61">
                  <c:v>2.0739999999999998</c:v>
                </c:pt>
                <c:pt idx="62">
                  <c:v>2.1079999999999997</c:v>
                </c:pt>
                <c:pt idx="63">
                  <c:v>2.1419999999999999</c:v>
                </c:pt>
                <c:pt idx="64">
                  <c:v>2.1759999999999997</c:v>
                </c:pt>
                <c:pt idx="65">
                  <c:v>2.2099999999999995</c:v>
                </c:pt>
                <c:pt idx="66">
                  <c:v>2.2439999999999998</c:v>
                </c:pt>
                <c:pt idx="67">
                  <c:v>2.2779999999999996</c:v>
                </c:pt>
                <c:pt idx="68">
                  <c:v>2.3119999999999998</c:v>
                </c:pt>
                <c:pt idx="69">
                  <c:v>2.3459999999999996</c:v>
                </c:pt>
                <c:pt idx="70">
                  <c:v>2.38</c:v>
                </c:pt>
                <c:pt idx="71">
                  <c:v>2.4139999999999997</c:v>
                </c:pt>
                <c:pt idx="72">
                  <c:v>2.4479999999999995</c:v>
                </c:pt>
                <c:pt idx="73">
                  <c:v>2.4819999999999998</c:v>
                </c:pt>
                <c:pt idx="74">
                  <c:v>2.5159999999999996</c:v>
                </c:pt>
                <c:pt idx="75">
                  <c:v>2.5499999999999998</c:v>
                </c:pt>
                <c:pt idx="76">
                  <c:v>2.5839999999999996</c:v>
                </c:pt>
                <c:pt idx="77">
                  <c:v>2.6179999999999994</c:v>
                </c:pt>
                <c:pt idx="78">
                  <c:v>2.6519999999999997</c:v>
                </c:pt>
                <c:pt idx="79">
                  <c:v>2.6859999999999995</c:v>
                </c:pt>
                <c:pt idx="80">
                  <c:v>2.7199999999999998</c:v>
                </c:pt>
                <c:pt idx="81">
                  <c:v>2.7539999999999996</c:v>
                </c:pt>
                <c:pt idx="82">
                  <c:v>2.7879999999999998</c:v>
                </c:pt>
                <c:pt idx="83">
                  <c:v>2.8219999999999996</c:v>
                </c:pt>
                <c:pt idx="84">
                  <c:v>2.8559999999999994</c:v>
                </c:pt>
                <c:pt idx="85">
                  <c:v>2.8899999999999997</c:v>
                </c:pt>
                <c:pt idx="86">
                  <c:v>2.9239999999999995</c:v>
                </c:pt>
                <c:pt idx="87">
                  <c:v>2.9579999999999997</c:v>
                </c:pt>
                <c:pt idx="88">
                  <c:v>2.9919999999999995</c:v>
                </c:pt>
                <c:pt idx="89">
                  <c:v>3.0259999999999998</c:v>
                </c:pt>
                <c:pt idx="90">
                  <c:v>3.0599999999999996</c:v>
                </c:pt>
                <c:pt idx="91">
                  <c:v>3.0939999999999994</c:v>
                </c:pt>
                <c:pt idx="92">
                  <c:v>3.1279999999999997</c:v>
                </c:pt>
                <c:pt idx="93">
                  <c:v>3.1619999999999995</c:v>
                </c:pt>
                <c:pt idx="94">
                  <c:v>3.1959999999999997</c:v>
                </c:pt>
                <c:pt idx="95">
                  <c:v>3.2299999999999995</c:v>
                </c:pt>
                <c:pt idx="96">
                  <c:v>3.2639999999999993</c:v>
                </c:pt>
                <c:pt idx="97">
                  <c:v>3.2979999999999996</c:v>
                </c:pt>
                <c:pt idx="98">
                  <c:v>3.3319999999999994</c:v>
                </c:pt>
                <c:pt idx="99">
                  <c:v>3.3659999999999997</c:v>
                </c:pt>
                <c:pt idx="100">
                  <c:v>3.3999999999999995</c:v>
                </c:pt>
                <c:pt idx="101">
                  <c:v>3.4339999999999997</c:v>
                </c:pt>
                <c:pt idx="102">
                  <c:v>3.4679999999999995</c:v>
                </c:pt>
                <c:pt idx="103">
                  <c:v>3.5019999999999993</c:v>
                </c:pt>
                <c:pt idx="104">
                  <c:v>3.5359999999999996</c:v>
                </c:pt>
                <c:pt idx="105">
                  <c:v>3.5699999999999994</c:v>
                </c:pt>
                <c:pt idx="106">
                  <c:v>3.6039999999999996</c:v>
                </c:pt>
                <c:pt idx="107">
                  <c:v>3.6379999999999995</c:v>
                </c:pt>
                <c:pt idx="108">
                  <c:v>3.6719999999999997</c:v>
                </c:pt>
                <c:pt idx="109">
                  <c:v>3.7059999999999995</c:v>
                </c:pt>
                <c:pt idx="110">
                  <c:v>3.7399999999999993</c:v>
                </c:pt>
                <c:pt idx="111">
                  <c:v>3.7739999999999996</c:v>
                </c:pt>
                <c:pt idx="112">
                  <c:v>3.8079999999999994</c:v>
                </c:pt>
                <c:pt idx="113">
                  <c:v>3.8419999999999996</c:v>
                </c:pt>
                <c:pt idx="114">
                  <c:v>3.8759999999999994</c:v>
                </c:pt>
                <c:pt idx="115">
                  <c:v>3.9099999999999997</c:v>
                </c:pt>
                <c:pt idx="116">
                  <c:v>3.9439999999999995</c:v>
                </c:pt>
                <c:pt idx="117">
                  <c:v>3.9779999999999993</c:v>
                </c:pt>
                <c:pt idx="118">
                  <c:v>4.0119999999999996</c:v>
                </c:pt>
                <c:pt idx="119">
                  <c:v>4.0459999999999994</c:v>
                </c:pt>
                <c:pt idx="120">
                  <c:v>4.0799999999999992</c:v>
                </c:pt>
                <c:pt idx="121">
                  <c:v>4.1139999999999999</c:v>
                </c:pt>
                <c:pt idx="122">
                  <c:v>4.1479999999999997</c:v>
                </c:pt>
                <c:pt idx="123">
                  <c:v>4.1819999999999995</c:v>
                </c:pt>
                <c:pt idx="124">
                  <c:v>4.2159999999999993</c:v>
                </c:pt>
                <c:pt idx="125">
                  <c:v>4.2499999999999991</c:v>
                </c:pt>
                <c:pt idx="126">
                  <c:v>4.2839999999999998</c:v>
                </c:pt>
                <c:pt idx="127">
                  <c:v>4.3179999999999996</c:v>
                </c:pt>
                <c:pt idx="128">
                  <c:v>4.3519999999999994</c:v>
                </c:pt>
                <c:pt idx="129">
                  <c:v>4.3859999999999992</c:v>
                </c:pt>
                <c:pt idx="130">
                  <c:v>4.419999999999999</c:v>
                </c:pt>
                <c:pt idx="131">
                  <c:v>4.4539999999999997</c:v>
                </c:pt>
                <c:pt idx="132">
                  <c:v>4.4879999999999995</c:v>
                </c:pt>
                <c:pt idx="133">
                  <c:v>4.5219999999999994</c:v>
                </c:pt>
                <c:pt idx="134">
                  <c:v>4.5559999999999992</c:v>
                </c:pt>
                <c:pt idx="135">
                  <c:v>4.589999999999999</c:v>
                </c:pt>
                <c:pt idx="136">
                  <c:v>4.6239999999999997</c:v>
                </c:pt>
                <c:pt idx="137">
                  <c:v>4.6579999999999995</c:v>
                </c:pt>
                <c:pt idx="138">
                  <c:v>4.6919999999999993</c:v>
                </c:pt>
                <c:pt idx="139">
                  <c:v>4.7259999999999991</c:v>
                </c:pt>
                <c:pt idx="140">
                  <c:v>4.76</c:v>
                </c:pt>
                <c:pt idx="141">
                  <c:v>4.7939999999999996</c:v>
                </c:pt>
                <c:pt idx="142">
                  <c:v>4.8279999999999994</c:v>
                </c:pt>
                <c:pt idx="143">
                  <c:v>4.8619999999999992</c:v>
                </c:pt>
                <c:pt idx="144">
                  <c:v>4.895999999999999</c:v>
                </c:pt>
                <c:pt idx="145">
                  <c:v>4.93</c:v>
                </c:pt>
                <c:pt idx="146">
                  <c:v>4.9639999999999995</c:v>
                </c:pt>
                <c:pt idx="147">
                  <c:v>4.9979999999999993</c:v>
                </c:pt>
                <c:pt idx="148">
                  <c:v>5.0319999999999991</c:v>
                </c:pt>
                <c:pt idx="149">
                  <c:v>5.0659999999999989</c:v>
                </c:pt>
                <c:pt idx="150">
                  <c:v>5.0999999999999996</c:v>
                </c:pt>
              </c:numCache>
            </c:numRef>
          </c:xVal>
          <c:yVal>
            <c:numRef>
              <c:f>Eff_vs_IOUT!$AN$7:$AN$157</c:f>
              <c:numCache>
                <c:formatCode>General</c:formatCode>
                <c:ptCount val="151"/>
                <c:pt idx="0">
                  <c:v>9.4760000000000011E-2</c:v>
                </c:pt>
                <c:pt idx="1">
                  <c:v>0.11108000000000001</c:v>
                </c:pt>
                <c:pt idx="2">
                  <c:v>0.12740000000000001</c:v>
                </c:pt>
                <c:pt idx="3">
                  <c:v>0.14372000000000001</c:v>
                </c:pt>
                <c:pt idx="4">
                  <c:v>0.16004000000000002</c:v>
                </c:pt>
                <c:pt idx="5">
                  <c:v>0.17636000000000002</c:v>
                </c:pt>
                <c:pt idx="6">
                  <c:v>0.19267999999999999</c:v>
                </c:pt>
                <c:pt idx="7">
                  <c:v>0.20899999999999999</c:v>
                </c:pt>
                <c:pt idx="8">
                  <c:v>0.22531999999999999</c:v>
                </c:pt>
                <c:pt idx="9">
                  <c:v>0.24163999999999997</c:v>
                </c:pt>
                <c:pt idx="10">
                  <c:v>0.25795999999999997</c:v>
                </c:pt>
                <c:pt idx="11">
                  <c:v>0.27427999999999997</c:v>
                </c:pt>
                <c:pt idx="12">
                  <c:v>0.29059999999999997</c:v>
                </c:pt>
                <c:pt idx="13">
                  <c:v>0.30691999999999997</c:v>
                </c:pt>
                <c:pt idx="14">
                  <c:v>0.32323999999999997</c:v>
                </c:pt>
                <c:pt idx="15">
                  <c:v>0.33955999999999997</c:v>
                </c:pt>
                <c:pt idx="16">
                  <c:v>0.35587999999999997</c:v>
                </c:pt>
                <c:pt idx="17">
                  <c:v>0.37219999999999998</c:v>
                </c:pt>
                <c:pt idx="18">
                  <c:v>0.38851999999999992</c:v>
                </c:pt>
                <c:pt idx="19">
                  <c:v>0.40483999999999998</c:v>
                </c:pt>
                <c:pt idx="20">
                  <c:v>0.42115999999999998</c:v>
                </c:pt>
                <c:pt idx="21">
                  <c:v>0.43747999999999992</c:v>
                </c:pt>
                <c:pt idx="22">
                  <c:v>0.45379999999999993</c:v>
                </c:pt>
                <c:pt idx="23">
                  <c:v>0.47011999999999998</c:v>
                </c:pt>
                <c:pt idx="24">
                  <c:v>0.48643999999999993</c:v>
                </c:pt>
                <c:pt idx="25">
                  <c:v>0.50275999999999987</c:v>
                </c:pt>
                <c:pt idx="26">
                  <c:v>0.51907999999999999</c:v>
                </c:pt>
                <c:pt idx="27">
                  <c:v>0.53539999999999999</c:v>
                </c:pt>
                <c:pt idx="28">
                  <c:v>0.55171999999999999</c:v>
                </c:pt>
                <c:pt idx="29">
                  <c:v>0.56803999999999988</c:v>
                </c:pt>
                <c:pt idx="30">
                  <c:v>0.58435999999999988</c:v>
                </c:pt>
                <c:pt idx="31">
                  <c:v>0.60067999999999988</c:v>
                </c:pt>
                <c:pt idx="32">
                  <c:v>0.61699999999999999</c:v>
                </c:pt>
                <c:pt idx="33">
                  <c:v>0.63331999999999988</c:v>
                </c:pt>
                <c:pt idx="34">
                  <c:v>0.64964</c:v>
                </c:pt>
                <c:pt idx="35">
                  <c:v>0.66595999999999989</c:v>
                </c:pt>
                <c:pt idx="36">
                  <c:v>0.68227999999999978</c:v>
                </c:pt>
                <c:pt idx="37">
                  <c:v>0.69859999999999989</c:v>
                </c:pt>
                <c:pt idx="38">
                  <c:v>0.71492</c:v>
                </c:pt>
                <c:pt idx="39">
                  <c:v>0.73123999999999989</c:v>
                </c:pt>
                <c:pt idx="40">
                  <c:v>0.74756</c:v>
                </c:pt>
                <c:pt idx="41">
                  <c:v>0.76387999999999989</c:v>
                </c:pt>
                <c:pt idx="42">
                  <c:v>0.78019999999999978</c:v>
                </c:pt>
                <c:pt idx="43">
                  <c:v>0.79651999999999989</c:v>
                </c:pt>
                <c:pt idx="44">
                  <c:v>0.81283999999999978</c:v>
                </c:pt>
                <c:pt idx="45">
                  <c:v>0.8291599999999999</c:v>
                </c:pt>
                <c:pt idx="46">
                  <c:v>0.84548000000000001</c:v>
                </c:pt>
                <c:pt idx="47">
                  <c:v>0.8617999999999999</c:v>
                </c:pt>
                <c:pt idx="48">
                  <c:v>0.87811999999999979</c:v>
                </c:pt>
                <c:pt idx="49">
                  <c:v>0.8944399999999999</c:v>
                </c:pt>
                <c:pt idx="50">
                  <c:v>0.91075999999999979</c:v>
                </c:pt>
                <c:pt idx="51">
                  <c:v>0.9270799999999999</c:v>
                </c:pt>
                <c:pt idx="52">
                  <c:v>0.94339999999999979</c:v>
                </c:pt>
                <c:pt idx="53">
                  <c:v>0.95971999999999991</c:v>
                </c:pt>
                <c:pt idx="54">
                  <c:v>0.97604000000000002</c:v>
                </c:pt>
                <c:pt idx="55">
                  <c:v>0.99235999999999991</c:v>
                </c:pt>
                <c:pt idx="56">
                  <c:v>1.0086799999999998</c:v>
                </c:pt>
                <c:pt idx="57">
                  <c:v>1.0249999999999999</c:v>
                </c:pt>
                <c:pt idx="58">
                  <c:v>1.0413199999999998</c:v>
                </c:pt>
                <c:pt idx="59">
                  <c:v>1.0576399999999999</c:v>
                </c:pt>
                <c:pt idx="60">
                  <c:v>1.0739599999999998</c:v>
                </c:pt>
                <c:pt idx="61">
                  <c:v>1.0902799999999999</c:v>
                </c:pt>
                <c:pt idx="62">
                  <c:v>1.1065999999999998</c:v>
                </c:pt>
                <c:pt idx="63">
                  <c:v>1.1229199999999999</c:v>
                </c:pt>
                <c:pt idx="64">
                  <c:v>1.1392399999999998</c:v>
                </c:pt>
                <c:pt idx="65">
                  <c:v>1.1555599999999997</c:v>
                </c:pt>
                <c:pt idx="66">
                  <c:v>1.1718799999999998</c:v>
                </c:pt>
                <c:pt idx="67">
                  <c:v>1.1881999999999997</c:v>
                </c:pt>
                <c:pt idx="68">
                  <c:v>1.2045199999999998</c:v>
                </c:pt>
                <c:pt idx="69">
                  <c:v>1.2208399999999997</c:v>
                </c:pt>
                <c:pt idx="70">
                  <c:v>1.2371599999999998</c:v>
                </c:pt>
                <c:pt idx="71">
                  <c:v>1.2534799999999997</c:v>
                </c:pt>
                <c:pt idx="72">
                  <c:v>1.2697999999999996</c:v>
                </c:pt>
                <c:pt idx="73">
                  <c:v>1.2861199999999997</c:v>
                </c:pt>
                <c:pt idx="74">
                  <c:v>1.3024399999999996</c:v>
                </c:pt>
                <c:pt idx="75">
                  <c:v>1.3187599999999999</c:v>
                </c:pt>
                <c:pt idx="76">
                  <c:v>1.3350799999999998</c:v>
                </c:pt>
                <c:pt idx="77">
                  <c:v>1.3513999999999997</c:v>
                </c:pt>
                <c:pt idx="78">
                  <c:v>1.3677199999999998</c:v>
                </c:pt>
                <c:pt idx="79">
                  <c:v>1.3840399999999997</c:v>
                </c:pt>
                <c:pt idx="80">
                  <c:v>1.4003599999999998</c:v>
                </c:pt>
                <c:pt idx="81">
                  <c:v>1.4166799999999997</c:v>
                </c:pt>
                <c:pt idx="82">
                  <c:v>1.4329999999999998</c:v>
                </c:pt>
                <c:pt idx="83">
                  <c:v>1.4493199999999997</c:v>
                </c:pt>
                <c:pt idx="84">
                  <c:v>1.4656399999999996</c:v>
                </c:pt>
                <c:pt idx="85">
                  <c:v>1.4819599999999997</c:v>
                </c:pt>
                <c:pt idx="86">
                  <c:v>1.4982799999999996</c:v>
                </c:pt>
                <c:pt idx="87">
                  <c:v>1.5145999999999997</c:v>
                </c:pt>
                <c:pt idx="88">
                  <c:v>1.5309199999999996</c:v>
                </c:pt>
                <c:pt idx="89">
                  <c:v>1.5472399999999997</c:v>
                </c:pt>
                <c:pt idx="90">
                  <c:v>1.5635599999999996</c:v>
                </c:pt>
                <c:pt idx="91">
                  <c:v>1.5798799999999997</c:v>
                </c:pt>
                <c:pt idx="92">
                  <c:v>1.5961999999999998</c:v>
                </c:pt>
                <c:pt idx="93">
                  <c:v>1.6125199999999997</c:v>
                </c:pt>
                <c:pt idx="94">
                  <c:v>1.6288399999999998</c:v>
                </c:pt>
                <c:pt idx="95">
                  <c:v>1.6451599999999997</c:v>
                </c:pt>
                <c:pt idx="96">
                  <c:v>1.6614799999999996</c:v>
                </c:pt>
                <c:pt idx="97">
                  <c:v>1.6777999999999997</c:v>
                </c:pt>
                <c:pt idx="98">
                  <c:v>1.6941199999999996</c:v>
                </c:pt>
                <c:pt idx="99">
                  <c:v>1.7104399999999997</c:v>
                </c:pt>
                <c:pt idx="100">
                  <c:v>1.7267599999999996</c:v>
                </c:pt>
                <c:pt idx="101">
                  <c:v>1.7430799999999997</c:v>
                </c:pt>
                <c:pt idx="102">
                  <c:v>1.7593999999999996</c:v>
                </c:pt>
                <c:pt idx="103">
                  <c:v>1.7757199999999995</c:v>
                </c:pt>
                <c:pt idx="104">
                  <c:v>1.7920399999999996</c:v>
                </c:pt>
                <c:pt idx="105">
                  <c:v>1.8083599999999995</c:v>
                </c:pt>
                <c:pt idx="106">
                  <c:v>1.8246799999999996</c:v>
                </c:pt>
                <c:pt idx="107">
                  <c:v>1.8409999999999995</c:v>
                </c:pt>
                <c:pt idx="108">
                  <c:v>1.8573199999999999</c:v>
                </c:pt>
                <c:pt idx="109">
                  <c:v>1.8736399999999998</c:v>
                </c:pt>
                <c:pt idx="110">
                  <c:v>1.8899599999999996</c:v>
                </c:pt>
                <c:pt idx="111">
                  <c:v>1.9062799999999998</c:v>
                </c:pt>
                <c:pt idx="112">
                  <c:v>1.9225999999999996</c:v>
                </c:pt>
                <c:pt idx="113">
                  <c:v>1.9389199999999998</c:v>
                </c:pt>
                <c:pt idx="114">
                  <c:v>1.9552399999999996</c:v>
                </c:pt>
                <c:pt idx="115">
                  <c:v>1.9715599999999998</c:v>
                </c:pt>
                <c:pt idx="116">
                  <c:v>1.9878799999999996</c:v>
                </c:pt>
                <c:pt idx="117">
                  <c:v>2.0041999999999995</c:v>
                </c:pt>
                <c:pt idx="118">
                  <c:v>2.0205199999999999</c:v>
                </c:pt>
                <c:pt idx="119">
                  <c:v>2.0368399999999998</c:v>
                </c:pt>
                <c:pt idx="120">
                  <c:v>2.0531599999999997</c:v>
                </c:pt>
                <c:pt idx="121">
                  <c:v>2.06948</c:v>
                </c:pt>
                <c:pt idx="122">
                  <c:v>2.0857999999999999</c:v>
                </c:pt>
                <c:pt idx="123">
                  <c:v>2.1021199999999998</c:v>
                </c:pt>
                <c:pt idx="124">
                  <c:v>2.1184399999999997</c:v>
                </c:pt>
                <c:pt idx="125">
                  <c:v>2.1347599999999995</c:v>
                </c:pt>
                <c:pt idx="126">
                  <c:v>2.1510799999999999</c:v>
                </c:pt>
                <c:pt idx="127">
                  <c:v>2.1673999999999998</c:v>
                </c:pt>
                <c:pt idx="128">
                  <c:v>2.1837199999999997</c:v>
                </c:pt>
                <c:pt idx="129">
                  <c:v>2.2000399999999996</c:v>
                </c:pt>
                <c:pt idx="130">
                  <c:v>2.2163599999999994</c:v>
                </c:pt>
                <c:pt idx="131">
                  <c:v>2.2326799999999998</c:v>
                </c:pt>
                <c:pt idx="132">
                  <c:v>2.2489999999999997</c:v>
                </c:pt>
                <c:pt idx="133">
                  <c:v>2.2653199999999996</c:v>
                </c:pt>
                <c:pt idx="134">
                  <c:v>2.2816399999999994</c:v>
                </c:pt>
                <c:pt idx="135">
                  <c:v>2.2979599999999993</c:v>
                </c:pt>
                <c:pt idx="136">
                  <c:v>2.3142799999999997</c:v>
                </c:pt>
                <c:pt idx="137">
                  <c:v>2.3305999999999996</c:v>
                </c:pt>
                <c:pt idx="138">
                  <c:v>2.3469199999999995</c:v>
                </c:pt>
                <c:pt idx="139">
                  <c:v>2.3632399999999993</c:v>
                </c:pt>
                <c:pt idx="140">
                  <c:v>2.3795599999999997</c:v>
                </c:pt>
                <c:pt idx="141">
                  <c:v>2.3958799999999996</c:v>
                </c:pt>
                <c:pt idx="142">
                  <c:v>2.4121999999999995</c:v>
                </c:pt>
                <c:pt idx="143">
                  <c:v>2.4285199999999993</c:v>
                </c:pt>
                <c:pt idx="144">
                  <c:v>2.4448399999999992</c:v>
                </c:pt>
                <c:pt idx="145">
                  <c:v>2.4611599999999996</c:v>
                </c:pt>
                <c:pt idx="146">
                  <c:v>2.4774799999999995</c:v>
                </c:pt>
                <c:pt idx="147">
                  <c:v>2.4937999999999994</c:v>
                </c:pt>
                <c:pt idx="148">
                  <c:v>2.5101199999999992</c:v>
                </c:pt>
                <c:pt idx="149">
                  <c:v>2.5264399999999996</c:v>
                </c:pt>
                <c:pt idx="150">
                  <c:v>2.5427599999999999</c:v>
                </c:pt>
              </c:numCache>
            </c:numRef>
          </c:yVal>
          <c:smooth val="1"/>
          <c:extLst>
            <c:ext xmlns:c16="http://schemas.microsoft.com/office/drawing/2014/chart" uri="{C3380CC4-5D6E-409C-BE32-E72D297353CC}">
              <c16:uniqueId val="{00000002-D428-476F-9D9B-414A5D21B4D3}"/>
            </c:ext>
          </c:extLst>
        </c:ser>
        <c:ser>
          <c:idx val="3"/>
          <c:order val="3"/>
          <c:tx>
            <c:v>RCS</c:v>
          </c:tx>
          <c:spPr>
            <a:ln>
              <a:solidFill>
                <a:schemeClr val="accent5">
                  <a:lumMod val="75000"/>
                </a:schemeClr>
              </a:solidFill>
              <a:prstDash val="lgDashDotDot"/>
            </a:ln>
          </c:spPr>
          <c:marker>
            <c:symbol val="none"/>
          </c:marker>
          <c:xVal>
            <c:numRef>
              <c:f>Eff_vs_IOUT!$S$7:$S$157</c:f>
              <c:numCache>
                <c:formatCode>General</c:formatCode>
                <c:ptCount val="151"/>
                <c:pt idx="0">
                  <c:v>0</c:v>
                </c:pt>
                <c:pt idx="1">
                  <c:v>3.3999999999999996E-2</c:v>
                </c:pt>
                <c:pt idx="2">
                  <c:v>6.7999999999999991E-2</c:v>
                </c:pt>
                <c:pt idx="3">
                  <c:v>0.10199999999999998</c:v>
                </c:pt>
                <c:pt idx="4">
                  <c:v>0.13599999999999998</c:v>
                </c:pt>
                <c:pt idx="5">
                  <c:v>0.16999999999999998</c:v>
                </c:pt>
                <c:pt idx="6">
                  <c:v>0.20399999999999996</c:v>
                </c:pt>
                <c:pt idx="7">
                  <c:v>0.23799999999999996</c:v>
                </c:pt>
                <c:pt idx="8">
                  <c:v>0.27199999999999996</c:v>
                </c:pt>
                <c:pt idx="9">
                  <c:v>0.30599999999999994</c:v>
                </c:pt>
                <c:pt idx="10">
                  <c:v>0.33999999999999997</c:v>
                </c:pt>
                <c:pt idx="11">
                  <c:v>0.37399999999999994</c:v>
                </c:pt>
                <c:pt idx="12">
                  <c:v>0.40799999999999992</c:v>
                </c:pt>
                <c:pt idx="13">
                  <c:v>0.44199999999999995</c:v>
                </c:pt>
                <c:pt idx="14">
                  <c:v>0.47599999999999992</c:v>
                </c:pt>
                <c:pt idx="15">
                  <c:v>0.5099999999999999</c:v>
                </c:pt>
                <c:pt idx="16">
                  <c:v>0.54399999999999993</c:v>
                </c:pt>
                <c:pt idx="17">
                  <c:v>0.57799999999999996</c:v>
                </c:pt>
                <c:pt idx="18">
                  <c:v>0.61199999999999988</c:v>
                </c:pt>
                <c:pt idx="19">
                  <c:v>0.64599999999999991</c:v>
                </c:pt>
                <c:pt idx="20">
                  <c:v>0.67999999999999994</c:v>
                </c:pt>
                <c:pt idx="21">
                  <c:v>0.71399999999999986</c:v>
                </c:pt>
                <c:pt idx="22">
                  <c:v>0.74799999999999989</c:v>
                </c:pt>
                <c:pt idx="23">
                  <c:v>0.78199999999999992</c:v>
                </c:pt>
                <c:pt idx="24">
                  <c:v>0.81599999999999984</c:v>
                </c:pt>
                <c:pt idx="25">
                  <c:v>0.84999999999999987</c:v>
                </c:pt>
                <c:pt idx="26">
                  <c:v>0.8839999999999999</c:v>
                </c:pt>
                <c:pt idx="27">
                  <c:v>0.91799999999999993</c:v>
                </c:pt>
                <c:pt idx="28">
                  <c:v>0.95199999999999985</c:v>
                </c:pt>
                <c:pt idx="29">
                  <c:v>0.98599999999999988</c:v>
                </c:pt>
                <c:pt idx="30">
                  <c:v>1.0199999999999998</c:v>
                </c:pt>
                <c:pt idx="31">
                  <c:v>1.0539999999999998</c:v>
                </c:pt>
                <c:pt idx="32">
                  <c:v>1.0879999999999999</c:v>
                </c:pt>
                <c:pt idx="33">
                  <c:v>1.1219999999999999</c:v>
                </c:pt>
                <c:pt idx="34">
                  <c:v>1.1559999999999999</c:v>
                </c:pt>
                <c:pt idx="35">
                  <c:v>1.19</c:v>
                </c:pt>
                <c:pt idx="36">
                  <c:v>1.2239999999999998</c:v>
                </c:pt>
                <c:pt idx="37">
                  <c:v>1.2579999999999998</c:v>
                </c:pt>
                <c:pt idx="38">
                  <c:v>1.2919999999999998</c:v>
                </c:pt>
                <c:pt idx="39">
                  <c:v>1.3259999999999998</c:v>
                </c:pt>
                <c:pt idx="40">
                  <c:v>1.3599999999999999</c:v>
                </c:pt>
                <c:pt idx="41">
                  <c:v>1.3939999999999999</c:v>
                </c:pt>
                <c:pt idx="42">
                  <c:v>1.4279999999999997</c:v>
                </c:pt>
                <c:pt idx="43">
                  <c:v>1.4619999999999997</c:v>
                </c:pt>
                <c:pt idx="44">
                  <c:v>1.4959999999999998</c:v>
                </c:pt>
                <c:pt idx="45">
                  <c:v>1.5299999999999998</c:v>
                </c:pt>
                <c:pt idx="46">
                  <c:v>1.5639999999999998</c:v>
                </c:pt>
                <c:pt idx="47">
                  <c:v>1.5979999999999999</c:v>
                </c:pt>
                <c:pt idx="48">
                  <c:v>1.6319999999999997</c:v>
                </c:pt>
                <c:pt idx="49">
                  <c:v>1.6659999999999997</c:v>
                </c:pt>
                <c:pt idx="50">
                  <c:v>1.6999999999999997</c:v>
                </c:pt>
                <c:pt idx="51">
                  <c:v>1.7339999999999998</c:v>
                </c:pt>
                <c:pt idx="52">
                  <c:v>1.7679999999999998</c:v>
                </c:pt>
                <c:pt idx="53">
                  <c:v>1.8019999999999998</c:v>
                </c:pt>
                <c:pt idx="54">
                  <c:v>1.8359999999999999</c:v>
                </c:pt>
                <c:pt idx="55">
                  <c:v>1.8699999999999997</c:v>
                </c:pt>
                <c:pt idx="56">
                  <c:v>1.9039999999999997</c:v>
                </c:pt>
                <c:pt idx="57">
                  <c:v>1.9379999999999997</c:v>
                </c:pt>
                <c:pt idx="58">
                  <c:v>1.9719999999999998</c:v>
                </c:pt>
                <c:pt idx="59">
                  <c:v>2.0059999999999998</c:v>
                </c:pt>
                <c:pt idx="60">
                  <c:v>2.0399999999999996</c:v>
                </c:pt>
                <c:pt idx="61">
                  <c:v>2.0739999999999998</c:v>
                </c:pt>
                <c:pt idx="62">
                  <c:v>2.1079999999999997</c:v>
                </c:pt>
                <c:pt idx="63">
                  <c:v>2.1419999999999999</c:v>
                </c:pt>
                <c:pt idx="64">
                  <c:v>2.1759999999999997</c:v>
                </c:pt>
                <c:pt idx="65">
                  <c:v>2.2099999999999995</c:v>
                </c:pt>
                <c:pt idx="66">
                  <c:v>2.2439999999999998</c:v>
                </c:pt>
                <c:pt idx="67">
                  <c:v>2.2779999999999996</c:v>
                </c:pt>
                <c:pt idx="68">
                  <c:v>2.3119999999999998</c:v>
                </c:pt>
                <c:pt idx="69">
                  <c:v>2.3459999999999996</c:v>
                </c:pt>
                <c:pt idx="70">
                  <c:v>2.38</c:v>
                </c:pt>
                <c:pt idx="71">
                  <c:v>2.4139999999999997</c:v>
                </c:pt>
                <c:pt idx="72">
                  <c:v>2.4479999999999995</c:v>
                </c:pt>
                <c:pt idx="73">
                  <c:v>2.4819999999999998</c:v>
                </c:pt>
                <c:pt idx="74">
                  <c:v>2.5159999999999996</c:v>
                </c:pt>
                <c:pt idx="75">
                  <c:v>2.5499999999999998</c:v>
                </c:pt>
                <c:pt idx="76">
                  <c:v>2.5839999999999996</c:v>
                </c:pt>
                <c:pt idx="77">
                  <c:v>2.6179999999999994</c:v>
                </c:pt>
                <c:pt idx="78">
                  <c:v>2.6519999999999997</c:v>
                </c:pt>
                <c:pt idx="79">
                  <c:v>2.6859999999999995</c:v>
                </c:pt>
                <c:pt idx="80">
                  <c:v>2.7199999999999998</c:v>
                </c:pt>
                <c:pt idx="81">
                  <c:v>2.7539999999999996</c:v>
                </c:pt>
                <c:pt idx="82">
                  <c:v>2.7879999999999998</c:v>
                </c:pt>
                <c:pt idx="83">
                  <c:v>2.8219999999999996</c:v>
                </c:pt>
                <c:pt idx="84">
                  <c:v>2.8559999999999994</c:v>
                </c:pt>
                <c:pt idx="85">
                  <c:v>2.8899999999999997</c:v>
                </c:pt>
                <c:pt idx="86">
                  <c:v>2.9239999999999995</c:v>
                </c:pt>
                <c:pt idx="87">
                  <c:v>2.9579999999999997</c:v>
                </c:pt>
                <c:pt idx="88">
                  <c:v>2.9919999999999995</c:v>
                </c:pt>
                <c:pt idx="89">
                  <c:v>3.0259999999999998</c:v>
                </c:pt>
                <c:pt idx="90">
                  <c:v>3.0599999999999996</c:v>
                </c:pt>
                <c:pt idx="91">
                  <c:v>3.0939999999999994</c:v>
                </c:pt>
                <c:pt idx="92">
                  <c:v>3.1279999999999997</c:v>
                </c:pt>
                <c:pt idx="93">
                  <c:v>3.1619999999999995</c:v>
                </c:pt>
                <c:pt idx="94">
                  <c:v>3.1959999999999997</c:v>
                </c:pt>
                <c:pt idx="95">
                  <c:v>3.2299999999999995</c:v>
                </c:pt>
                <c:pt idx="96">
                  <c:v>3.2639999999999993</c:v>
                </c:pt>
                <c:pt idx="97">
                  <c:v>3.2979999999999996</c:v>
                </c:pt>
                <c:pt idx="98">
                  <c:v>3.3319999999999994</c:v>
                </c:pt>
                <c:pt idx="99">
                  <c:v>3.3659999999999997</c:v>
                </c:pt>
                <c:pt idx="100">
                  <c:v>3.3999999999999995</c:v>
                </c:pt>
                <c:pt idx="101">
                  <c:v>3.4339999999999997</c:v>
                </c:pt>
                <c:pt idx="102">
                  <c:v>3.4679999999999995</c:v>
                </c:pt>
                <c:pt idx="103">
                  <c:v>3.5019999999999993</c:v>
                </c:pt>
                <c:pt idx="104">
                  <c:v>3.5359999999999996</c:v>
                </c:pt>
                <c:pt idx="105">
                  <c:v>3.5699999999999994</c:v>
                </c:pt>
                <c:pt idx="106">
                  <c:v>3.6039999999999996</c:v>
                </c:pt>
                <c:pt idx="107">
                  <c:v>3.6379999999999995</c:v>
                </c:pt>
                <c:pt idx="108">
                  <c:v>3.6719999999999997</c:v>
                </c:pt>
                <c:pt idx="109">
                  <c:v>3.7059999999999995</c:v>
                </c:pt>
                <c:pt idx="110">
                  <c:v>3.7399999999999993</c:v>
                </c:pt>
                <c:pt idx="111">
                  <c:v>3.7739999999999996</c:v>
                </c:pt>
                <c:pt idx="112">
                  <c:v>3.8079999999999994</c:v>
                </c:pt>
                <c:pt idx="113">
                  <c:v>3.8419999999999996</c:v>
                </c:pt>
                <c:pt idx="114">
                  <c:v>3.8759999999999994</c:v>
                </c:pt>
                <c:pt idx="115">
                  <c:v>3.9099999999999997</c:v>
                </c:pt>
                <c:pt idx="116">
                  <c:v>3.9439999999999995</c:v>
                </c:pt>
                <c:pt idx="117">
                  <c:v>3.9779999999999993</c:v>
                </c:pt>
                <c:pt idx="118">
                  <c:v>4.0119999999999996</c:v>
                </c:pt>
                <c:pt idx="119">
                  <c:v>4.0459999999999994</c:v>
                </c:pt>
                <c:pt idx="120">
                  <c:v>4.0799999999999992</c:v>
                </c:pt>
                <c:pt idx="121">
                  <c:v>4.1139999999999999</c:v>
                </c:pt>
                <c:pt idx="122">
                  <c:v>4.1479999999999997</c:v>
                </c:pt>
                <c:pt idx="123">
                  <c:v>4.1819999999999995</c:v>
                </c:pt>
                <c:pt idx="124">
                  <c:v>4.2159999999999993</c:v>
                </c:pt>
                <c:pt idx="125">
                  <c:v>4.2499999999999991</c:v>
                </c:pt>
                <c:pt idx="126">
                  <c:v>4.2839999999999998</c:v>
                </c:pt>
                <c:pt idx="127">
                  <c:v>4.3179999999999996</c:v>
                </c:pt>
                <c:pt idx="128">
                  <c:v>4.3519999999999994</c:v>
                </c:pt>
                <c:pt idx="129">
                  <c:v>4.3859999999999992</c:v>
                </c:pt>
                <c:pt idx="130">
                  <c:v>4.419999999999999</c:v>
                </c:pt>
                <c:pt idx="131">
                  <c:v>4.4539999999999997</c:v>
                </c:pt>
                <c:pt idx="132">
                  <c:v>4.4879999999999995</c:v>
                </c:pt>
                <c:pt idx="133">
                  <c:v>4.5219999999999994</c:v>
                </c:pt>
                <c:pt idx="134">
                  <c:v>4.5559999999999992</c:v>
                </c:pt>
                <c:pt idx="135">
                  <c:v>4.589999999999999</c:v>
                </c:pt>
                <c:pt idx="136">
                  <c:v>4.6239999999999997</c:v>
                </c:pt>
                <c:pt idx="137">
                  <c:v>4.6579999999999995</c:v>
                </c:pt>
                <c:pt idx="138">
                  <c:v>4.6919999999999993</c:v>
                </c:pt>
                <c:pt idx="139">
                  <c:v>4.7259999999999991</c:v>
                </c:pt>
                <c:pt idx="140">
                  <c:v>4.76</c:v>
                </c:pt>
                <c:pt idx="141">
                  <c:v>4.7939999999999996</c:v>
                </c:pt>
                <c:pt idx="142">
                  <c:v>4.8279999999999994</c:v>
                </c:pt>
                <c:pt idx="143">
                  <c:v>4.8619999999999992</c:v>
                </c:pt>
                <c:pt idx="144">
                  <c:v>4.895999999999999</c:v>
                </c:pt>
                <c:pt idx="145">
                  <c:v>4.93</c:v>
                </c:pt>
                <c:pt idx="146">
                  <c:v>4.9639999999999995</c:v>
                </c:pt>
                <c:pt idx="147">
                  <c:v>4.9979999999999993</c:v>
                </c:pt>
                <c:pt idx="148">
                  <c:v>5.0319999999999991</c:v>
                </c:pt>
                <c:pt idx="149">
                  <c:v>5.0659999999999989</c:v>
                </c:pt>
                <c:pt idx="150">
                  <c:v>5.0999999999999996</c:v>
                </c:pt>
              </c:numCache>
            </c:numRef>
          </c:xVal>
          <c:yVal>
            <c:numRef>
              <c:f>Eff_vs_IOUT!$AO$7:$AO$157</c:f>
              <c:numCache>
                <c:formatCode>General</c:formatCode>
                <c:ptCount val="151"/>
                <c:pt idx="0">
                  <c:v>0</c:v>
                </c:pt>
                <c:pt idx="1">
                  <c:v>2.6223194496225957E-4</c:v>
                </c:pt>
                <c:pt idx="2">
                  <c:v>7.4170394610620556E-4</c:v>
                </c:pt>
                <c:pt idx="3">
                  <c:v>1.3625971561267178E-3</c:v>
                </c:pt>
                <c:pt idx="4">
                  <c:v>2.0978555596980778E-3</c:v>
                </c:pt>
                <c:pt idx="5">
                  <c:v>2.9318422740379807E-3</c:v>
                </c:pt>
                <c:pt idx="6">
                  <c:v>3.8540067564908293E-3</c:v>
                </c:pt>
                <c:pt idx="7">
                  <c:v>4.8566035853084121E-3</c:v>
                </c:pt>
                <c:pt idx="8">
                  <c:v>5.9336315688496436E-3</c:v>
                </c:pt>
                <c:pt idx="9">
                  <c:v>7.0802625139810118E-3</c:v>
                </c:pt>
                <c:pt idx="10">
                  <c:v>8.2925022133665781E-3</c:v>
                </c:pt>
                <c:pt idx="11">
                  <c:v>9.5669746643343798E-3</c:v>
                </c:pt>
                <c:pt idx="12">
                  <c:v>1.0900777249013746E-2</c:v>
                </c:pt>
                <c:pt idx="13">
                  <c:v>1.2291379407139012E-2</c:v>
                </c:pt>
                <c:pt idx="14">
                  <c:v>1.3736549314825909E-2</c:v>
                </c:pt>
                <c:pt idx="15">
                  <c:v>1.5234299335236181E-2</c:v>
                </c:pt>
                <c:pt idx="16">
                  <c:v>1.6782844477584612E-2</c:v>
                </c:pt>
                <c:pt idx="17">
                  <c:v>1.8380570127339409E-2</c:v>
                </c:pt>
                <c:pt idx="18">
                  <c:v>2.3592686559893213E-2</c:v>
                </c:pt>
                <c:pt idx="19">
                  <c:v>2.5734138904204281E-2</c:v>
                </c:pt>
                <c:pt idx="20">
                  <c:v>2.7991345429288939E-2</c:v>
                </c:pt>
                <c:pt idx="21">
                  <c:v>3.0364306135147134E-2</c:v>
                </c:pt>
                <c:pt idx="22">
                  <c:v>3.2853021021778943E-2</c:v>
                </c:pt>
                <c:pt idx="23">
                  <c:v>3.5457490089184272E-2</c:v>
                </c:pt>
                <c:pt idx="24">
                  <c:v>3.8177713337363216E-2</c:v>
                </c:pt>
                <c:pt idx="25">
                  <c:v>4.1013690766315711E-2</c:v>
                </c:pt>
                <c:pt idx="26">
                  <c:v>4.3965422376041771E-2</c:v>
                </c:pt>
                <c:pt idx="27">
                  <c:v>4.7032908166541425E-2</c:v>
                </c:pt>
                <c:pt idx="28">
                  <c:v>5.0216148137814602E-2</c:v>
                </c:pt>
                <c:pt idx="29">
                  <c:v>5.35151422898614E-2</c:v>
                </c:pt>
                <c:pt idx="30">
                  <c:v>5.692989062268175E-2</c:v>
                </c:pt>
                <c:pt idx="31">
                  <c:v>6.0460393136275693E-2</c:v>
                </c:pt>
                <c:pt idx="32">
                  <c:v>6.4106649830643209E-2</c:v>
                </c:pt>
                <c:pt idx="33">
                  <c:v>6.7868660705784234E-2</c:v>
                </c:pt>
                <c:pt idx="34">
                  <c:v>7.1746425761698887E-2</c:v>
                </c:pt>
                <c:pt idx="35">
                  <c:v>7.5739944998387099E-2</c:v>
                </c:pt>
                <c:pt idx="36">
                  <c:v>7.9849218415848869E-2</c:v>
                </c:pt>
                <c:pt idx="37">
                  <c:v>8.4074246014084211E-2</c:v>
                </c:pt>
                <c:pt idx="38">
                  <c:v>8.8415027793093182E-2</c:v>
                </c:pt>
                <c:pt idx="39">
                  <c:v>9.287156375287571E-2</c:v>
                </c:pt>
                <c:pt idx="40">
                  <c:v>9.7443853893431728E-2</c:v>
                </c:pt>
                <c:pt idx="41">
                  <c:v>0.10213189821476143</c:v>
                </c:pt>
                <c:pt idx="42">
                  <c:v>0.10693569671686452</c:v>
                </c:pt>
                <c:pt idx="43">
                  <c:v>0.11185524939974138</c:v>
                </c:pt>
                <c:pt idx="44">
                  <c:v>0.11689055626339169</c:v>
                </c:pt>
                <c:pt idx="45">
                  <c:v>0.12204161730781565</c:v>
                </c:pt>
                <c:pt idx="46">
                  <c:v>0.12730843253301305</c:v>
                </c:pt>
                <c:pt idx="47">
                  <c:v>0.1326910019389842</c:v>
                </c:pt>
                <c:pt idx="48">
                  <c:v>0.1381893255257288</c:v>
                </c:pt>
                <c:pt idx="49">
                  <c:v>0.14380340329324706</c:v>
                </c:pt>
                <c:pt idx="50">
                  <c:v>0.14953323524153875</c:v>
                </c:pt>
                <c:pt idx="51">
                  <c:v>0.15537882137060419</c:v>
                </c:pt>
                <c:pt idx="52">
                  <c:v>0.16134016168044307</c:v>
                </c:pt>
                <c:pt idx="53">
                  <c:v>0.16741725617105563</c:v>
                </c:pt>
                <c:pt idx="54">
                  <c:v>0.17361010484244171</c:v>
                </c:pt>
                <c:pt idx="55">
                  <c:v>0.1799187076946013</c:v>
                </c:pt>
                <c:pt idx="56">
                  <c:v>0.18634306472753448</c:v>
                </c:pt>
                <c:pt idx="57">
                  <c:v>0.19288317594124132</c:v>
                </c:pt>
                <c:pt idx="58">
                  <c:v>0.19953904133572159</c:v>
                </c:pt>
                <c:pt idx="59">
                  <c:v>0.20631066091097552</c:v>
                </c:pt>
                <c:pt idx="60">
                  <c:v>0.21319803466700293</c:v>
                </c:pt>
                <c:pt idx="61">
                  <c:v>0.22020116260380415</c:v>
                </c:pt>
                <c:pt idx="62">
                  <c:v>0.22732004472137879</c:v>
                </c:pt>
                <c:pt idx="63">
                  <c:v>0.2345546810197269</c:v>
                </c:pt>
                <c:pt idx="64">
                  <c:v>0.24190507149884879</c:v>
                </c:pt>
                <c:pt idx="65">
                  <c:v>0.24937121615874411</c:v>
                </c:pt>
                <c:pt idx="66">
                  <c:v>0.25695311499941303</c:v>
                </c:pt>
                <c:pt idx="67">
                  <c:v>0.26465076802085541</c:v>
                </c:pt>
                <c:pt idx="68">
                  <c:v>0.27246417522307159</c:v>
                </c:pt>
                <c:pt idx="69">
                  <c:v>0.28039333660606119</c:v>
                </c:pt>
                <c:pt idx="70">
                  <c:v>0.28843825216982438</c:v>
                </c:pt>
                <c:pt idx="71">
                  <c:v>0.29659892191436116</c:v>
                </c:pt>
                <c:pt idx="72">
                  <c:v>0.30487534583967152</c:v>
                </c:pt>
                <c:pt idx="73">
                  <c:v>0.31326752394575552</c:v>
                </c:pt>
                <c:pt idx="74">
                  <c:v>0.321775456232613</c:v>
                </c:pt>
                <c:pt idx="75">
                  <c:v>0.33039914270024412</c:v>
                </c:pt>
                <c:pt idx="76">
                  <c:v>0.3391385833486486</c:v>
                </c:pt>
                <c:pt idx="77">
                  <c:v>0.34799377817782673</c:v>
                </c:pt>
                <c:pt idx="78">
                  <c:v>0.35696472718777861</c:v>
                </c:pt>
                <c:pt idx="79">
                  <c:v>0.36605143037850391</c:v>
                </c:pt>
                <c:pt idx="80">
                  <c:v>0.37525388775000285</c:v>
                </c:pt>
                <c:pt idx="81">
                  <c:v>0.38457209930227526</c:v>
                </c:pt>
                <c:pt idx="82">
                  <c:v>0.39400606503532148</c:v>
                </c:pt>
                <c:pt idx="83">
                  <c:v>0.40355578494914107</c:v>
                </c:pt>
                <c:pt idx="84">
                  <c:v>0.41322125904373436</c:v>
                </c:pt>
                <c:pt idx="85">
                  <c:v>0.42300248731910123</c:v>
                </c:pt>
                <c:pt idx="86">
                  <c:v>0.43289946977524146</c:v>
                </c:pt>
                <c:pt idx="87">
                  <c:v>0.44291220641215545</c:v>
                </c:pt>
                <c:pt idx="88">
                  <c:v>0.45304069722984275</c:v>
                </c:pt>
                <c:pt idx="89">
                  <c:v>0.46328494222830402</c:v>
                </c:pt>
                <c:pt idx="90">
                  <c:v>0.47364494140753849</c:v>
                </c:pt>
                <c:pt idx="91">
                  <c:v>0.48412069476754677</c:v>
                </c:pt>
                <c:pt idx="92">
                  <c:v>0.49471220230832841</c:v>
                </c:pt>
                <c:pt idx="93">
                  <c:v>0.50541946402988391</c:v>
                </c:pt>
                <c:pt idx="94">
                  <c:v>0.51624247993221295</c:v>
                </c:pt>
                <c:pt idx="95">
                  <c:v>0.52718125001531535</c:v>
                </c:pt>
                <c:pt idx="96">
                  <c:v>0.53823577427919134</c:v>
                </c:pt>
                <c:pt idx="97">
                  <c:v>0.54940605272384102</c:v>
                </c:pt>
                <c:pt idx="98">
                  <c:v>0.56069208534926407</c:v>
                </c:pt>
                <c:pt idx="99">
                  <c:v>0.57209387215546104</c:v>
                </c:pt>
                <c:pt idx="100">
                  <c:v>0.58361141314243115</c:v>
                </c:pt>
                <c:pt idx="101">
                  <c:v>0.59524470831017517</c:v>
                </c:pt>
                <c:pt idx="102">
                  <c:v>0.60699375765869257</c:v>
                </c:pt>
                <c:pt idx="103">
                  <c:v>0.61885856118798377</c:v>
                </c:pt>
                <c:pt idx="104">
                  <c:v>0.63083911889804845</c:v>
                </c:pt>
                <c:pt idx="105">
                  <c:v>0.64293543078888649</c:v>
                </c:pt>
                <c:pt idx="106">
                  <c:v>0.65514749686049867</c:v>
                </c:pt>
                <c:pt idx="107">
                  <c:v>0.66747531711288377</c:v>
                </c:pt>
                <c:pt idx="108">
                  <c:v>0.67991889154604257</c:v>
                </c:pt>
                <c:pt idx="109">
                  <c:v>0.69247822015997507</c:v>
                </c:pt>
                <c:pt idx="110">
                  <c:v>0.70515330295468104</c:v>
                </c:pt>
                <c:pt idx="111">
                  <c:v>0.71794413993016082</c:v>
                </c:pt>
                <c:pt idx="112">
                  <c:v>0.73085073108641385</c:v>
                </c:pt>
                <c:pt idx="113">
                  <c:v>0.74387307642344069</c:v>
                </c:pt>
                <c:pt idx="114">
                  <c:v>0.75701117594124123</c:v>
                </c:pt>
                <c:pt idx="115">
                  <c:v>0.77026502963981491</c:v>
                </c:pt>
                <c:pt idx="116">
                  <c:v>0.78363463751916229</c:v>
                </c:pt>
                <c:pt idx="117">
                  <c:v>0.79711999957928337</c:v>
                </c:pt>
                <c:pt idx="118">
                  <c:v>0.81072111582017814</c:v>
                </c:pt>
                <c:pt idx="119">
                  <c:v>0.82443798624184617</c:v>
                </c:pt>
                <c:pt idx="120">
                  <c:v>0.838270610844288</c:v>
                </c:pt>
                <c:pt idx="121">
                  <c:v>0.85221898962750353</c:v>
                </c:pt>
                <c:pt idx="122">
                  <c:v>0.86628312259149232</c:v>
                </c:pt>
                <c:pt idx="123">
                  <c:v>0.8804630097362548</c:v>
                </c:pt>
                <c:pt idx="124">
                  <c:v>0.89475865106179076</c:v>
                </c:pt>
                <c:pt idx="125">
                  <c:v>0.90917004656810052</c:v>
                </c:pt>
                <c:pt idx="126">
                  <c:v>0.92369719625518376</c:v>
                </c:pt>
                <c:pt idx="127">
                  <c:v>0.93834010012304048</c:v>
                </c:pt>
                <c:pt idx="128">
                  <c:v>0.95309875817167067</c:v>
                </c:pt>
                <c:pt idx="129">
                  <c:v>0.96797317040107433</c:v>
                </c:pt>
                <c:pt idx="130">
                  <c:v>0.98296333681125192</c:v>
                </c:pt>
                <c:pt idx="131">
                  <c:v>0.99806925740220342</c:v>
                </c:pt>
                <c:pt idx="132">
                  <c:v>1.0132909321739278</c:v>
                </c:pt>
                <c:pt idx="133">
                  <c:v>1.028628361126426</c:v>
                </c:pt>
                <c:pt idx="134">
                  <c:v>1.0440815442596976</c:v>
                </c:pt>
                <c:pt idx="135">
                  <c:v>1.0596504815737431</c:v>
                </c:pt>
                <c:pt idx="136">
                  <c:v>1.0753351730685625</c:v>
                </c:pt>
                <c:pt idx="137">
                  <c:v>1.0911356187441548</c:v>
                </c:pt>
                <c:pt idx="138">
                  <c:v>1.1070518186005209</c:v>
                </c:pt>
                <c:pt idx="139">
                  <c:v>1.1230837726376606</c:v>
                </c:pt>
                <c:pt idx="140">
                  <c:v>1.1392314808555739</c:v>
                </c:pt>
                <c:pt idx="141">
                  <c:v>1.1554949432542607</c:v>
                </c:pt>
                <c:pt idx="142">
                  <c:v>1.1718741598337206</c:v>
                </c:pt>
                <c:pt idx="143">
                  <c:v>1.1883691305939548</c:v>
                </c:pt>
                <c:pt idx="144">
                  <c:v>1.2049798555349618</c:v>
                </c:pt>
                <c:pt idx="145">
                  <c:v>1.2217063346567429</c:v>
                </c:pt>
                <c:pt idx="146">
                  <c:v>1.2385485679592978</c:v>
                </c:pt>
                <c:pt idx="147">
                  <c:v>1.2555065554426259</c:v>
                </c:pt>
                <c:pt idx="148">
                  <c:v>1.2725802971067273</c:v>
                </c:pt>
                <c:pt idx="149">
                  <c:v>1.2897697929516025</c:v>
                </c:pt>
                <c:pt idx="150">
                  <c:v>1.3070750429772524</c:v>
                </c:pt>
              </c:numCache>
            </c:numRef>
          </c:yVal>
          <c:smooth val="1"/>
          <c:extLst>
            <c:ext xmlns:c16="http://schemas.microsoft.com/office/drawing/2014/chart" uri="{C3380CC4-5D6E-409C-BE32-E72D297353CC}">
              <c16:uniqueId val="{00000003-D428-476F-9D9B-414A5D21B4D3}"/>
            </c:ext>
          </c:extLst>
        </c:ser>
        <c:dLbls>
          <c:showLegendKey val="0"/>
          <c:showVal val="0"/>
          <c:showCatName val="0"/>
          <c:showSerName val="0"/>
          <c:showPercent val="0"/>
          <c:showBubbleSize val="0"/>
        </c:dLbls>
        <c:axId val="162552448"/>
        <c:axId val="162550528"/>
      </c:scatterChart>
      <c:valAx>
        <c:axId val="161084544"/>
        <c:scaling>
          <c:orientation val="minMax"/>
        </c:scaling>
        <c:delete val="0"/>
        <c:axPos val="b"/>
        <c:majorGridlines/>
        <c:numFmt formatCode="General" sourceLinked="1"/>
        <c:majorTickMark val="out"/>
        <c:minorTickMark val="none"/>
        <c:tickLblPos val="nextTo"/>
        <c:crossAx val="161086080"/>
        <c:crosses val="autoZero"/>
        <c:crossBetween val="midCat"/>
      </c:valAx>
      <c:valAx>
        <c:axId val="161086080"/>
        <c:scaling>
          <c:orientation val="minMax"/>
          <c:max val="100"/>
          <c:min val="60"/>
        </c:scaling>
        <c:delete val="0"/>
        <c:axPos val="l"/>
        <c:majorGridlines/>
        <c:title>
          <c:tx>
            <c:rich>
              <a:bodyPr rot="-5400000" vert="horz"/>
              <a:lstStyle/>
              <a:p>
                <a:pPr>
                  <a:defRPr sz="1400"/>
                </a:pPr>
                <a:r>
                  <a:rPr lang="en-US" sz="1400"/>
                  <a:t>Efficiency</a:t>
                </a:r>
                <a:r>
                  <a:rPr lang="en-US" sz="1400" baseline="0"/>
                  <a:t> (%)</a:t>
                </a:r>
                <a:endParaRPr lang="en-US" sz="1400"/>
              </a:p>
            </c:rich>
          </c:tx>
          <c:overlay val="0"/>
        </c:title>
        <c:numFmt formatCode="General" sourceLinked="1"/>
        <c:majorTickMark val="out"/>
        <c:minorTickMark val="none"/>
        <c:tickLblPos val="nextTo"/>
        <c:crossAx val="161084544"/>
        <c:crosses val="autoZero"/>
        <c:crossBetween val="midCat"/>
      </c:valAx>
      <c:valAx>
        <c:axId val="162550528"/>
        <c:scaling>
          <c:orientation val="minMax"/>
        </c:scaling>
        <c:delete val="0"/>
        <c:axPos val="r"/>
        <c:title>
          <c:tx>
            <c:rich>
              <a:bodyPr rot="-5400000" vert="horz"/>
              <a:lstStyle/>
              <a:p>
                <a:pPr>
                  <a:defRPr sz="1400"/>
                </a:pPr>
                <a:r>
                  <a:rPr lang="en-US" sz="1400"/>
                  <a:t>Losses</a:t>
                </a:r>
                <a:r>
                  <a:rPr lang="en-US" sz="1400" baseline="0"/>
                  <a:t> (W)</a:t>
                </a:r>
                <a:endParaRPr lang="en-US" sz="1400"/>
              </a:p>
            </c:rich>
          </c:tx>
          <c:overlay val="0"/>
        </c:title>
        <c:numFmt formatCode="General" sourceLinked="1"/>
        <c:majorTickMark val="out"/>
        <c:minorTickMark val="none"/>
        <c:tickLblPos val="nextTo"/>
        <c:crossAx val="162552448"/>
        <c:crosses val="max"/>
        <c:crossBetween val="midCat"/>
      </c:valAx>
      <c:valAx>
        <c:axId val="162552448"/>
        <c:scaling>
          <c:orientation val="minMax"/>
        </c:scaling>
        <c:delete val="1"/>
        <c:axPos val="b"/>
        <c:title>
          <c:tx>
            <c:rich>
              <a:bodyPr/>
              <a:lstStyle/>
              <a:p>
                <a:pPr>
                  <a:defRPr/>
                </a:pPr>
                <a:r>
                  <a:rPr lang="en-US"/>
                  <a:t>Loac</a:t>
                </a:r>
                <a:r>
                  <a:rPr lang="en-US" baseline="0"/>
                  <a:t> Current (A)</a:t>
                </a:r>
                <a:endParaRPr lang="en-US"/>
              </a:p>
            </c:rich>
          </c:tx>
          <c:overlay val="0"/>
        </c:title>
        <c:numFmt formatCode="General" sourceLinked="1"/>
        <c:majorTickMark val="out"/>
        <c:minorTickMark val="none"/>
        <c:tickLblPos val="nextTo"/>
        <c:crossAx val="162550528"/>
        <c:crosses val="autoZero"/>
        <c:crossBetween val="midCat"/>
      </c:valAx>
    </c:plotArea>
    <c:legend>
      <c:legendPos val="r"/>
      <c:layout>
        <c:manualLayout>
          <c:xMode val="edge"/>
          <c:yMode val="edge"/>
          <c:x val="0.51894403926190358"/>
          <c:y val="6.4862204724409449E-3"/>
          <c:w val="0.39609572935704079"/>
          <c:h val="0.12183653099700564"/>
        </c:manualLayout>
      </c:layout>
      <c:overlay val="1"/>
    </c:legend>
    <c:plotVisOnly val="1"/>
    <c:dispBlanksAs val="gap"/>
    <c:showDLblsOverMax val="0"/>
  </c:chart>
  <c:spPr>
    <a:ln>
      <a:noFill/>
    </a:ln>
  </c:spPr>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26" fmlaRange="$1:$1048576" noThreeD="1" sel="0" val="0"/>
</file>

<file path=xl/ctrlProps/ctrlProp2.xml><?xml version="1.0" encoding="utf-8"?>
<formControlPr xmlns="http://schemas.microsoft.com/office/spreadsheetml/2009/9/main" objectType="Spin" dx="20" fmlaLink="$H$8" max="45" noThreeD="1" page="10" val="3"/>
</file>

<file path=xl/drawings/_rels/drawing1.xml.rels><?xml version="1.0" encoding="UTF-8" standalone="yes"?>
<Relationships xmlns="http://schemas.openxmlformats.org/package/2006/relationships"><Relationship Id="rId3" Type="http://schemas.openxmlformats.org/officeDocument/2006/relationships/image" Target="../media/image1.emf"/><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chart" Target="../charts/chart4.xml"/><Relationship Id="rId5" Type="http://schemas.openxmlformats.org/officeDocument/2006/relationships/chart" Target="../charts/chart6.xml"/><Relationship Id="rId4" Type="http://schemas.openxmlformats.org/officeDocument/2006/relationships/chart" Target="../charts/chart5.xml"/></Relationships>
</file>

<file path=xl/drawings/_rels/drawing5.x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png"/><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_rels/drawing8.xml.rels><?xml version="1.0" encoding="UTF-8" standalone="yes"?>
<Relationships xmlns="http://schemas.openxmlformats.org/package/2006/relationships"><Relationship Id="rId3" Type="http://schemas.openxmlformats.org/officeDocument/2006/relationships/hyperlink" Target="http://www.ti.com/corp/docs/legal/copyright.shtml" TargetMode="External"/><Relationship Id="rId2" Type="http://schemas.openxmlformats.org/officeDocument/2006/relationships/image" Target="../media/image11.gif"/><Relationship Id="rId1" Type="http://schemas.openxmlformats.org/officeDocument/2006/relationships/hyperlink" Target="http://www.ti.com" TargetMode="External"/></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590550</xdr:colOff>
          <xdr:row>30</xdr:row>
          <xdr:rowOff>85725</xdr:rowOff>
        </xdr:from>
        <xdr:to>
          <xdr:col>16</xdr:col>
          <xdr:colOff>219075</xdr:colOff>
          <xdr:row>31</xdr:row>
          <xdr:rowOff>114300</xdr:rowOff>
        </xdr:to>
        <xdr:sp macro="" textlink="">
          <xdr:nvSpPr>
            <xdr:cNvPr id="1170" name="Drop Down 146" descr="This is just there to fix the excel issue with comments and linked pictures" hidden="1">
              <a:extLst>
                <a:ext uri="{63B3BB69-23CF-44E3-9099-C40C66FF867C}">
                  <a14:compatExt spid="_x0000_s1170"/>
                </a:ext>
                <a:ext uri="{FF2B5EF4-FFF2-40B4-BE49-F238E27FC236}">
                  <a16:creationId xmlns:a16="http://schemas.microsoft.com/office/drawing/2014/main" id="{00000000-0008-0000-0000-00009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PrintsWithSheet="0"/>
      </xdr:twoCellAnchor>
    </mc:Choice>
    <mc:Fallback/>
  </mc:AlternateContent>
  <xdr:twoCellAnchor>
    <xdr:from>
      <xdr:col>9</xdr:col>
      <xdr:colOff>22860</xdr:colOff>
      <xdr:row>50</xdr:row>
      <xdr:rowOff>1</xdr:rowOff>
    </xdr:from>
    <xdr:to>
      <xdr:col>25</xdr:col>
      <xdr:colOff>598714</xdr:colOff>
      <xdr:row>71</xdr:row>
      <xdr:rowOff>175261</xdr:rowOff>
    </xdr:to>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22861</xdr:colOff>
      <xdr:row>74</xdr:row>
      <xdr:rowOff>7620</xdr:rowOff>
    </xdr:from>
    <xdr:to>
      <xdr:col>25</xdr:col>
      <xdr:colOff>600637</xdr:colOff>
      <xdr:row>98</xdr:row>
      <xdr:rowOff>163286</xdr:rowOff>
    </xdr:to>
    <xdr:graphicFrame macro="">
      <xdr:nvGraphicFramePr>
        <xdr:cNvPr id="6" name="Chart 5">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7</xdr:col>
          <xdr:colOff>504825</xdr:colOff>
          <xdr:row>56</xdr:row>
          <xdr:rowOff>0</xdr:rowOff>
        </xdr:from>
        <xdr:to>
          <xdr:col>8</xdr:col>
          <xdr:colOff>9525</xdr:colOff>
          <xdr:row>58</xdr:row>
          <xdr:rowOff>0</xdr:rowOff>
        </xdr:to>
        <xdr:sp macro="" textlink="">
          <xdr:nvSpPr>
            <xdr:cNvPr id="1060" name="Spinner 36" hidden="1">
              <a:extLst>
                <a:ext uri="{63B3BB69-23CF-44E3-9099-C40C66FF867C}">
                  <a14:compatExt spid="_x0000_s1060"/>
                </a:ext>
                <a:ext uri="{FF2B5EF4-FFF2-40B4-BE49-F238E27FC236}">
                  <a16:creationId xmlns:a16="http://schemas.microsoft.com/office/drawing/2014/main" id="{00000000-0008-0000-0000-000024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xdr:from>
      <xdr:col>14</xdr:col>
      <xdr:colOff>134501</xdr:colOff>
      <xdr:row>49</xdr:row>
      <xdr:rowOff>62752</xdr:rowOff>
    </xdr:from>
    <xdr:to>
      <xdr:col>15</xdr:col>
      <xdr:colOff>484124</xdr:colOff>
      <xdr:row>51</xdr:row>
      <xdr:rowOff>161363</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8326001" y="10338546"/>
          <a:ext cx="943535" cy="54684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a:t>V</a:t>
          </a:r>
          <a:r>
            <a:rPr lang="en-US" sz="2400" baseline="-25000"/>
            <a:t>IN</a:t>
          </a:r>
          <a:r>
            <a:rPr lang="en-US" sz="2400"/>
            <a:t> =</a:t>
          </a:r>
        </a:p>
      </xdr:txBody>
    </xdr:sp>
    <xdr:clientData/>
  </xdr:twoCellAnchor>
  <xdr:twoCellAnchor>
    <xdr:from>
      <xdr:col>15</xdr:col>
      <xdr:colOff>197245</xdr:colOff>
      <xdr:row>49</xdr:row>
      <xdr:rowOff>71718</xdr:rowOff>
    </xdr:from>
    <xdr:to>
      <xdr:col>16</xdr:col>
      <xdr:colOff>528939</xdr:colOff>
      <xdr:row>51</xdr:row>
      <xdr:rowOff>170330</xdr:rowOff>
    </xdr:to>
    <xdr:sp macro="" textlink="VIN_nom">
      <xdr:nvSpPr>
        <xdr:cNvPr id="3" name="TextBox 2">
          <a:extLst>
            <a:ext uri="{FF2B5EF4-FFF2-40B4-BE49-F238E27FC236}">
              <a16:creationId xmlns:a16="http://schemas.microsoft.com/office/drawing/2014/main" id="{00000000-0008-0000-0000-000003000000}"/>
            </a:ext>
          </a:extLst>
        </xdr:cNvPr>
        <xdr:cNvSpPr txBox="1"/>
      </xdr:nvSpPr>
      <xdr:spPr>
        <a:xfrm>
          <a:off x="8955763" y="9538447"/>
          <a:ext cx="941294" cy="4930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8B6E0D9B-34B5-4A81-8CB9-A88F658AFD78}" type="TxLink">
            <a:rPr lang="en-US" sz="2400" b="0" i="0" u="none" strike="noStrike">
              <a:solidFill>
                <a:srgbClr val="000000"/>
              </a:solidFill>
              <a:latin typeface="Calibri"/>
            </a:rPr>
            <a:pPr/>
            <a:t>3.8</a:t>
          </a:fld>
          <a:endParaRPr lang="en-US" sz="2400"/>
        </a:p>
      </xdr:txBody>
    </xdr:sp>
    <xdr:clientData/>
  </xdr:twoCellAnchor>
  <xdr:twoCellAnchor>
    <xdr:from>
      <xdr:col>15</xdr:col>
      <xdr:colOff>568726</xdr:colOff>
      <xdr:row>49</xdr:row>
      <xdr:rowOff>62752</xdr:rowOff>
    </xdr:from>
    <xdr:to>
      <xdr:col>17</xdr:col>
      <xdr:colOff>318274</xdr:colOff>
      <xdr:row>51</xdr:row>
      <xdr:rowOff>161363</xdr:rowOff>
    </xdr:to>
    <xdr:sp macro="" textlink="">
      <xdr:nvSpPr>
        <xdr:cNvPr id="12" name="TextBox 11">
          <a:extLst>
            <a:ext uri="{FF2B5EF4-FFF2-40B4-BE49-F238E27FC236}">
              <a16:creationId xmlns:a16="http://schemas.microsoft.com/office/drawing/2014/main" id="{00000000-0008-0000-0000-00000C000000}"/>
            </a:ext>
          </a:extLst>
        </xdr:cNvPr>
        <xdr:cNvSpPr txBox="1"/>
      </xdr:nvSpPr>
      <xdr:spPr>
        <a:xfrm>
          <a:off x="9354138" y="10338546"/>
          <a:ext cx="937371" cy="54684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a:t>V</a:t>
          </a:r>
        </a:p>
      </xdr:txBody>
    </xdr:sp>
    <xdr:clientData/>
  </xdr:twoCellAnchor>
  <xdr:twoCellAnchor>
    <xdr:from>
      <xdr:col>11</xdr:col>
      <xdr:colOff>376517</xdr:colOff>
      <xdr:row>74</xdr:row>
      <xdr:rowOff>26894</xdr:rowOff>
    </xdr:from>
    <xdr:to>
      <xdr:col>13</xdr:col>
      <xdr:colOff>116540</xdr:colOff>
      <xdr:row>76</xdr:row>
      <xdr:rowOff>134470</xdr:rowOff>
    </xdr:to>
    <xdr:sp macro="" textlink="">
      <xdr:nvSpPr>
        <xdr:cNvPr id="9" name="TextBox 8">
          <a:extLst>
            <a:ext uri="{FF2B5EF4-FFF2-40B4-BE49-F238E27FC236}">
              <a16:creationId xmlns:a16="http://schemas.microsoft.com/office/drawing/2014/main" id="{00000000-0008-0000-0000-000009000000}"/>
            </a:ext>
          </a:extLst>
        </xdr:cNvPr>
        <xdr:cNvSpPr txBox="1"/>
      </xdr:nvSpPr>
      <xdr:spPr>
        <a:xfrm>
          <a:off x="6696635" y="14379388"/>
          <a:ext cx="959223" cy="4930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a:t>V</a:t>
          </a:r>
          <a:r>
            <a:rPr lang="en-US" sz="2400" baseline="-25000"/>
            <a:t>IN</a:t>
          </a:r>
          <a:r>
            <a:rPr lang="en-US" sz="2400"/>
            <a:t> =</a:t>
          </a:r>
        </a:p>
      </xdr:txBody>
    </xdr:sp>
    <xdr:clientData/>
  </xdr:twoCellAnchor>
  <xdr:twoCellAnchor>
    <xdr:from>
      <xdr:col>12</xdr:col>
      <xdr:colOff>439261</xdr:colOff>
      <xdr:row>74</xdr:row>
      <xdr:rowOff>35860</xdr:rowOff>
    </xdr:from>
    <xdr:to>
      <xdr:col>14</xdr:col>
      <xdr:colOff>161355</xdr:colOff>
      <xdr:row>76</xdr:row>
      <xdr:rowOff>143437</xdr:rowOff>
    </xdr:to>
    <xdr:sp macro="" textlink="VIN_nom">
      <xdr:nvSpPr>
        <xdr:cNvPr id="10" name="TextBox 9">
          <a:extLst>
            <a:ext uri="{FF2B5EF4-FFF2-40B4-BE49-F238E27FC236}">
              <a16:creationId xmlns:a16="http://schemas.microsoft.com/office/drawing/2014/main" id="{00000000-0008-0000-0000-00000A000000}"/>
            </a:ext>
          </a:extLst>
        </xdr:cNvPr>
        <xdr:cNvSpPr txBox="1"/>
      </xdr:nvSpPr>
      <xdr:spPr>
        <a:xfrm>
          <a:off x="7368979" y="14388354"/>
          <a:ext cx="941294" cy="4930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8B6E0D9B-34B5-4A81-8CB9-A88F658AFD78}" type="TxLink">
            <a:rPr lang="en-US" sz="2400" b="0" i="0" u="none" strike="noStrike">
              <a:solidFill>
                <a:srgbClr val="000000"/>
              </a:solidFill>
              <a:latin typeface="Calibri"/>
            </a:rPr>
            <a:pPr/>
            <a:t>3.8</a:t>
          </a:fld>
          <a:endParaRPr lang="en-US" sz="2400"/>
        </a:p>
      </xdr:txBody>
    </xdr:sp>
    <xdr:clientData/>
  </xdr:twoCellAnchor>
  <xdr:twoCellAnchor>
    <xdr:from>
      <xdr:col>13</xdr:col>
      <xdr:colOff>233079</xdr:colOff>
      <xdr:row>74</xdr:row>
      <xdr:rowOff>26894</xdr:rowOff>
    </xdr:from>
    <xdr:to>
      <xdr:col>14</xdr:col>
      <xdr:colOff>582702</xdr:colOff>
      <xdr:row>76</xdr:row>
      <xdr:rowOff>134470</xdr:rowOff>
    </xdr:to>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7772397" y="14379388"/>
          <a:ext cx="959223" cy="4930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400"/>
            <a:t>V</a:t>
          </a:r>
        </a:p>
      </xdr:txBody>
    </xdr:sp>
    <xdr:clientData/>
  </xdr:twoCellAnchor>
  <xdr:twoCellAnchor>
    <xdr:from>
      <xdr:col>11</xdr:col>
      <xdr:colOff>99097</xdr:colOff>
      <xdr:row>67</xdr:row>
      <xdr:rowOff>155530</xdr:rowOff>
    </xdr:from>
    <xdr:to>
      <xdr:col>13</xdr:col>
      <xdr:colOff>150962</xdr:colOff>
      <xdr:row>68</xdr:row>
      <xdr:rowOff>132991</xdr:rowOff>
    </xdr:to>
    <xdr:sp macro="" textlink="Loop_Modeling!A69">
      <xdr:nvSpPr>
        <xdr:cNvPr id="14" name="TextBox 13">
          <a:extLst>
            <a:ext uri="{FF2B5EF4-FFF2-40B4-BE49-F238E27FC236}">
              <a16:creationId xmlns:a16="http://schemas.microsoft.com/office/drawing/2014/main" id="{00000000-0008-0000-0000-00000E000000}"/>
            </a:ext>
          </a:extLst>
        </xdr:cNvPr>
        <xdr:cNvSpPr txBox="1"/>
      </xdr:nvSpPr>
      <xdr:spPr>
        <a:xfrm>
          <a:off x="6475455" y="14328011"/>
          <a:ext cx="1230809" cy="1787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96E2E744-8A5D-4458-A426-E4363EDE50C7}" type="TxLink">
            <a:rPr lang="en-US" sz="1100" b="1" i="0" u="none" strike="noStrike">
              <a:solidFill>
                <a:schemeClr val="accent1">
                  <a:lumMod val="75000"/>
                </a:schemeClr>
              </a:solidFill>
              <a:latin typeface="Calibri"/>
              <a:cs typeface="Calibri"/>
            </a:rPr>
            <a:pPr/>
            <a:t>Phase Margin = 58°</a:t>
          </a:fld>
          <a:endParaRPr lang="en-US" sz="2400" b="1">
            <a:solidFill>
              <a:schemeClr val="accent1">
                <a:lumMod val="75000"/>
              </a:schemeClr>
            </a:solidFill>
          </a:endParaRPr>
        </a:p>
      </xdr:txBody>
    </xdr:sp>
    <xdr:clientData/>
  </xdr:twoCellAnchor>
  <xdr:twoCellAnchor>
    <xdr:from>
      <xdr:col>11</xdr:col>
      <xdr:colOff>98632</xdr:colOff>
      <xdr:row>66</xdr:row>
      <xdr:rowOff>109818</xdr:rowOff>
    </xdr:from>
    <xdr:to>
      <xdr:col>15</xdr:col>
      <xdr:colOff>224116</xdr:colOff>
      <xdr:row>67</xdr:row>
      <xdr:rowOff>123265</xdr:rowOff>
    </xdr:to>
    <xdr:sp macro="" textlink="Loop_Modeling!A68">
      <xdr:nvSpPr>
        <xdr:cNvPr id="15" name="TextBox 14">
          <a:extLst>
            <a:ext uri="{FF2B5EF4-FFF2-40B4-BE49-F238E27FC236}">
              <a16:creationId xmlns:a16="http://schemas.microsoft.com/office/drawing/2014/main" id="{00000000-0008-0000-0000-00000F000000}"/>
            </a:ext>
          </a:extLst>
        </xdr:cNvPr>
        <xdr:cNvSpPr txBox="1"/>
      </xdr:nvSpPr>
      <xdr:spPr>
        <a:xfrm>
          <a:off x="6508397" y="13982700"/>
          <a:ext cx="2501131" cy="2039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fld id="{EF506B42-A944-4597-8E98-BD1D41977E0E}" type="TxLink">
            <a:rPr lang="en-US" sz="1100" b="1" i="0" u="none" strike="noStrike">
              <a:solidFill>
                <a:srgbClr val="C00000"/>
              </a:solidFill>
              <a:latin typeface="+mn-lt"/>
              <a:cs typeface="Arial" panose="020B0604020202020204" pitchFamily="34" charset="0"/>
            </a:rPr>
            <a:pPr/>
            <a:t>Crossover Frequency = 3.7 kHz</a:t>
          </a:fld>
          <a:endParaRPr lang="en-US" sz="2400" b="1">
            <a:solidFill>
              <a:srgbClr val="C00000"/>
            </a:solidFill>
            <a:latin typeface="+mn-lt"/>
            <a:cs typeface="Arial" panose="020B060402020202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10</xdr:col>
          <xdr:colOff>18648</xdr:colOff>
          <xdr:row>6</xdr:row>
          <xdr:rowOff>9525</xdr:rowOff>
        </xdr:from>
        <xdr:to>
          <xdr:col>25</xdr:col>
          <xdr:colOff>417820</xdr:colOff>
          <xdr:row>36</xdr:row>
          <xdr:rowOff>167640</xdr:rowOff>
        </xdr:to>
        <xdr:pic>
          <xdr:nvPicPr>
            <xdr:cNvPr id="18" name="Picture 17">
              <a:extLst>
                <a:ext uri="{FF2B5EF4-FFF2-40B4-BE49-F238E27FC236}">
                  <a16:creationId xmlns:a16="http://schemas.microsoft.com/office/drawing/2014/main" id="{00000000-0008-0000-0000-000012000000}"/>
                </a:ext>
              </a:extLst>
            </xdr:cNvPr>
            <xdr:cNvPicPr>
              <a:picLocks noChangeAspect="1"/>
              <a:extLst>
                <a:ext uri="{84589F7E-364E-4C9E-8A38-B11213B215E9}">
                  <a14:cameraTool cellRange="display_SCH" spid="_x0000_s1215"/>
                </a:ext>
              </a:extLst>
            </xdr:cNvPicPr>
          </xdr:nvPicPr>
          <xdr:blipFill rotWithShape="1">
            <a:blip xmlns:r="http://schemas.openxmlformats.org/officeDocument/2006/relationships" r:embed="rId3"/>
            <a:srcRect/>
            <a:stretch>
              <a:fillRect/>
            </a:stretch>
          </xdr:blipFill>
          <xdr:spPr>
            <a:xfrm>
              <a:off x="5834501" y="1567143"/>
              <a:ext cx="9195790" cy="6116058"/>
            </a:xfrm>
            <a:prstGeom prst="rect">
              <a:avLst/>
            </a:prstGeom>
            <a:solidFill>
              <a:schemeClr val="bg1"/>
            </a:solidFill>
          </xdr:spPr>
        </xdr:pic>
        <xdr:clientData/>
      </xdr:twoCellAnchor>
    </mc:Choice>
    <mc:Fallback/>
  </mc:AlternateContent>
  <xdr:twoCellAnchor>
    <xdr:from>
      <xdr:col>14</xdr:col>
      <xdr:colOff>333375</xdr:colOff>
      <xdr:row>16</xdr:row>
      <xdr:rowOff>85724</xdr:rowOff>
    </xdr:from>
    <xdr:to>
      <xdr:col>16</xdr:col>
      <xdr:colOff>428625</xdr:colOff>
      <xdr:row>18</xdr:row>
      <xdr:rowOff>57149</xdr:rowOff>
    </xdr:to>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8486775" y="3543299"/>
          <a:ext cx="1276350" cy="3714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b="0">
              <a:latin typeface="Arial" panose="020B0604020202020204" pitchFamily="34" charset="0"/>
              <a:cs typeface="Arial" panose="020B0604020202020204" pitchFamily="34" charset="0"/>
            </a:rPr>
            <a:t>LM5155/56</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851647</xdr:colOff>
      <xdr:row>215</xdr:row>
      <xdr:rowOff>170330</xdr:rowOff>
    </xdr:from>
    <xdr:to>
      <xdr:col>14</xdr:col>
      <xdr:colOff>484094</xdr:colOff>
      <xdr:row>223</xdr:row>
      <xdr:rowOff>71719</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9807388" y="26544495"/>
          <a:ext cx="3541059" cy="13357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Need to explain the placement of the Zero</a:t>
          </a:r>
          <a:r>
            <a:rPr lang="en-US" sz="1100" baseline="0"/>
            <a:t> a little bit better. The pole location should also be based on the location of the zero</a:t>
          </a:r>
          <a:endParaRPr lang="en-US" sz="1100"/>
        </a:p>
      </xdr:txBody>
    </xdr:sp>
    <xdr:clientData/>
  </xdr:twoCellAnchor>
  <mc:AlternateContent xmlns:mc="http://schemas.openxmlformats.org/markup-compatibility/2006">
    <mc:Choice xmlns:a14="http://schemas.microsoft.com/office/drawing/2010/main" Requires="a14">
      <xdr:twoCellAnchor editAs="oneCell">
        <xdr:from>
          <xdr:col>8</xdr:col>
          <xdr:colOff>57150</xdr:colOff>
          <xdr:row>154</xdr:row>
          <xdr:rowOff>133350</xdr:rowOff>
        </xdr:from>
        <xdr:to>
          <xdr:col>12</xdr:col>
          <xdr:colOff>390525</xdr:colOff>
          <xdr:row>157</xdr:row>
          <xdr:rowOff>19050</xdr:rowOff>
        </xdr:to>
        <xdr:sp macro="" textlink="">
          <xdr:nvSpPr>
            <xdr:cNvPr id="2053" name="Object 5" hidden="1">
              <a:extLst>
                <a:ext uri="{63B3BB69-23CF-44E3-9099-C40C66FF867C}">
                  <a14:compatExt spid="_x0000_s2053"/>
                </a:ext>
                <a:ext uri="{FF2B5EF4-FFF2-40B4-BE49-F238E27FC236}">
                  <a16:creationId xmlns:a16="http://schemas.microsoft.com/office/drawing/2014/main" id="{00000000-0008-0000-0100-000005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8</xdr:col>
      <xdr:colOff>842683</xdr:colOff>
      <xdr:row>186</xdr:row>
      <xdr:rowOff>17930</xdr:rowOff>
    </xdr:from>
    <xdr:to>
      <xdr:col>14</xdr:col>
      <xdr:colOff>475130</xdr:colOff>
      <xdr:row>195</xdr:row>
      <xdr:rowOff>98613</xdr:rowOff>
    </xdr:to>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9798424" y="23523389"/>
          <a:ext cx="3541059" cy="13357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Loop</a:t>
          </a:r>
          <a:r>
            <a:rPr lang="en-US" sz="1100" baseline="0"/>
            <a:t> compensation is calculated for the minimum input voltage. This ensure stability over the input voltage range</a:t>
          </a:r>
          <a:endParaRPr lang="en-US" sz="1100"/>
        </a:p>
      </xdr:txBody>
    </xdr:sp>
    <xdr:clientData/>
  </xdr:twoCellAnchor>
  <xdr:twoCellAnchor>
    <xdr:from>
      <xdr:col>14</xdr:col>
      <xdr:colOff>11205</xdr:colOff>
      <xdr:row>33</xdr:row>
      <xdr:rowOff>100853</xdr:rowOff>
    </xdr:from>
    <xdr:to>
      <xdr:col>18</xdr:col>
      <xdr:colOff>582705</xdr:colOff>
      <xdr:row>38</xdr:row>
      <xdr:rowOff>78441</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12920381" y="6555441"/>
          <a:ext cx="2991971" cy="9300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If</a:t>
          </a:r>
          <a:r>
            <a:rPr lang="en-US" sz="1100" baseline="0"/>
            <a:t> Lm is </a:t>
          </a:r>
        </a:p>
        <a:p>
          <a:r>
            <a:rPr lang="en-US" sz="1100" baseline="0"/>
            <a:t>lower then each of them -&gt; CCM</a:t>
          </a:r>
        </a:p>
        <a:p>
          <a:r>
            <a:rPr lang="en-US" sz="1100" baseline="0"/>
            <a:t>Higher </a:t>
          </a:r>
          <a:r>
            <a:rPr lang="en-US" sz="1100" baseline="0">
              <a:solidFill>
                <a:schemeClr val="dk1"/>
              </a:solidFill>
              <a:effectLst/>
              <a:latin typeface="+mn-lt"/>
              <a:ea typeface="+mn-ea"/>
              <a:cs typeface="+mn-cs"/>
            </a:rPr>
            <a:t>lower then each of them </a:t>
          </a:r>
          <a:r>
            <a:rPr lang="en-US" sz="1100" baseline="0"/>
            <a:t> -&gt; DCM</a:t>
          </a:r>
        </a:p>
        <a:p>
          <a:r>
            <a:rPr lang="en-US" sz="1100" baseline="0"/>
            <a:t>else CCM and DCM </a:t>
          </a:r>
          <a:endParaRPr lang="en-US" sz="1100"/>
        </a:p>
      </xdr:txBody>
    </xdr:sp>
    <xdr:clientData/>
  </xdr:twoCellAnchor>
  <xdr:twoCellAnchor>
    <xdr:from>
      <xdr:col>13</xdr:col>
      <xdr:colOff>268941</xdr:colOff>
      <xdr:row>23</xdr:row>
      <xdr:rowOff>112059</xdr:rowOff>
    </xdr:from>
    <xdr:to>
      <xdr:col>16</xdr:col>
      <xdr:colOff>571500</xdr:colOff>
      <xdr:row>28</xdr:row>
      <xdr:rowOff>168088</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12920382" y="4661647"/>
          <a:ext cx="2330824" cy="10085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Check</a:t>
          </a:r>
          <a:r>
            <a:rPr lang="en-US" sz="1100" baseline="0"/>
            <a:t> if DC for DCM would be less the DC for CCM -&gt; in this case it would run in DCM mode</a:t>
          </a:r>
        </a:p>
        <a:p>
          <a:r>
            <a:rPr lang="en-US" sz="1100" baseline="0"/>
            <a:t>Check if at the 3 points CCM or DCM would be used</a:t>
          </a:r>
        </a:p>
        <a:p>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21</xdr:col>
      <xdr:colOff>528917</xdr:colOff>
      <xdr:row>67</xdr:row>
      <xdr:rowOff>89006</xdr:rowOff>
    </xdr:from>
    <xdr:to>
      <xdr:col>30</xdr:col>
      <xdr:colOff>79513</xdr:colOff>
      <xdr:row>86</xdr:row>
      <xdr:rowOff>92765</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14</xdr:col>
      <xdr:colOff>1051560</xdr:colOff>
      <xdr:row>49</xdr:row>
      <xdr:rowOff>45720</xdr:rowOff>
    </xdr:from>
    <xdr:to>
      <xdr:col>25</xdr:col>
      <xdr:colOff>563880</xdr:colOff>
      <xdr:row>73</xdr:row>
      <xdr:rowOff>19050</xdr:rowOff>
    </xdr:to>
    <xdr:graphicFrame macro="">
      <xdr:nvGraphicFramePr>
        <xdr:cNvPr id="4" name="Chart 3">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32</xdr:col>
      <xdr:colOff>186690</xdr:colOff>
      <xdr:row>39</xdr:row>
      <xdr:rowOff>167640</xdr:rowOff>
    </xdr:from>
    <xdr:to>
      <xdr:col>34</xdr:col>
      <xdr:colOff>530487</xdr:colOff>
      <xdr:row>45</xdr:row>
      <xdr:rowOff>56599</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2"/>
        <a:stretch>
          <a:fillRect/>
        </a:stretch>
      </xdr:blipFill>
      <xdr:spPr>
        <a:xfrm>
          <a:off x="21541740" y="5482590"/>
          <a:ext cx="1840230" cy="1045293"/>
        </a:xfrm>
        <a:prstGeom prst="rect">
          <a:avLst/>
        </a:prstGeom>
      </xdr:spPr>
    </xdr:pic>
    <xdr:clientData/>
  </xdr:twoCellAnchor>
  <xdr:twoCellAnchor editAs="oneCell">
    <xdr:from>
      <xdr:col>34</xdr:col>
      <xdr:colOff>247650</xdr:colOff>
      <xdr:row>40</xdr:row>
      <xdr:rowOff>60960</xdr:rowOff>
    </xdr:from>
    <xdr:to>
      <xdr:col>38</xdr:col>
      <xdr:colOff>567929</xdr:colOff>
      <xdr:row>44</xdr:row>
      <xdr:rowOff>148662</xdr:rowOff>
    </xdr:to>
    <xdr:pic>
      <xdr:nvPicPr>
        <xdr:cNvPr id="8" name="Picture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3"/>
        <a:stretch>
          <a:fillRect/>
        </a:stretch>
      </xdr:blipFill>
      <xdr:spPr>
        <a:xfrm>
          <a:off x="23888700" y="5566410"/>
          <a:ext cx="2758679" cy="830649"/>
        </a:xfrm>
        <a:prstGeom prst="rect">
          <a:avLst/>
        </a:prstGeom>
      </xdr:spPr>
    </xdr:pic>
    <xdr:clientData/>
  </xdr:twoCellAnchor>
  <xdr:twoCellAnchor>
    <xdr:from>
      <xdr:col>31</xdr:col>
      <xdr:colOff>30480</xdr:colOff>
      <xdr:row>49</xdr:row>
      <xdr:rowOff>64770</xdr:rowOff>
    </xdr:from>
    <xdr:to>
      <xdr:col>42</xdr:col>
      <xdr:colOff>144780</xdr:colOff>
      <xdr:row>73</xdr:row>
      <xdr:rowOff>38100</xdr:rowOff>
    </xdr:to>
    <xdr:graphicFrame macro="">
      <xdr:nvGraphicFramePr>
        <xdr:cNvPr id="9" name="Chart 8">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14</xdr:col>
      <xdr:colOff>317182</xdr:colOff>
      <xdr:row>23</xdr:row>
      <xdr:rowOff>62388</xdr:rowOff>
    </xdr:from>
    <xdr:to>
      <xdr:col>24</xdr:col>
      <xdr:colOff>450532</xdr:colOff>
      <xdr:row>47</xdr:row>
      <xdr:rowOff>20478</xdr:rowOff>
    </xdr:to>
    <xdr:graphicFrame macro="">
      <xdr:nvGraphicFramePr>
        <xdr:cNvPr id="10" name="Chart 9">
          <a:extLst>
            <a:ext uri="{FF2B5EF4-FFF2-40B4-BE49-F238E27FC236}">
              <a16:creationId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8325</xdr:colOff>
      <xdr:row>38</xdr:row>
      <xdr:rowOff>8964</xdr:rowOff>
    </xdr:from>
    <xdr:to>
      <xdr:col>11</xdr:col>
      <xdr:colOff>591031</xdr:colOff>
      <xdr:row>46</xdr:row>
      <xdr:rowOff>131269</xdr:rowOff>
    </xdr:to>
    <xdr:sp macro="" textlink="">
      <xdr:nvSpPr>
        <xdr:cNvPr id="11" name="TextBox 10">
          <a:extLst>
            <a:ext uri="{FF2B5EF4-FFF2-40B4-BE49-F238E27FC236}">
              <a16:creationId xmlns:a16="http://schemas.microsoft.com/office/drawing/2014/main" id="{00000000-0008-0000-0300-00000B000000}"/>
            </a:ext>
          </a:extLst>
        </xdr:cNvPr>
        <xdr:cNvSpPr txBox="1"/>
      </xdr:nvSpPr>
      <xdr:spPr>
        <a:xfrm>
          <a:off x="6187669" y="7533714"/>
          <a:ext cx="2571050" cy="16463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Add points</a:t>
          </a:r>
          <a:r>
            <a:rPr lang="en-US" sz="1100" baseline="0"/>
            <a:t> later to show where the pole and zerDc_Mode_Loopos of the loops are at. Similar to the LM5175 QS</a:t>
          </a:r>
        </a:p>
        <a:p>
          <a:endParaRPr lang="en-US" sz="1100" baseline="0"/>
        </a:p>
        <a:p>
          <a:r>
            <a:rPr lang="en-US" sz="1100" baseline="0"/>
            <a:t>Should also update to the more accurate equation of the DC gain. See Mathcad and Sheehan paper.</a:t>
          </a:r>
          <a:endParaRPr lang="en-US" sz="1100"/>
        </a:p>
      </xdr:txBody>
    </xdr:sp>
    <xdr:clientData/>
  </xdr:twoCellAnchor>
  <xdr:twoCellAnchor>
    <xdr:from>
      <xdr:col>8</xdr:col>
      <xdr:colOff>0</xdr:colOff>
      <xdr:row>52</xdr:row>
      <xdr:rowOff>13855</xdr:rowOff>
    </xdr:from>
    <xdr:to>
      <xdr:col>12</xdr:col>
      <xdr:colOff>83127</xdr:colOff>
      <xdr:row>63</xdr:row>
      <xdr:rowOff>13855</xdr:rowOff>
    </xdr:to>
    <xdr:sp macro="" textlink="">
      <xdr:nvSpPr>
        <xdr:cNvPr id="12" name="TextBox 11">
          <a:extLst>
            <a:ext uri="{FF2B5EF4-FFF2-40B4-BE49-F238E27FC236}">
              <a16:creationId xmlns:a16="http://schemas.microsoft.com/office/drawing/2014/main" id="{00000000-0008-0000-0300-00000C000000}"/>
            </a:ext>
          </a:extLst>
        </xdr:cNvPr>
        <xdr:cNvSpPr txBox="1"/>
      </xdr:nvSpPr>
      <xdr:spPr>
        <a:xfrm>
          <a:off x="6276109" y="8936182"/>
          <a:ext cx="2521527" cy="1981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Next</a:t>
          </a:r>
          <a:r>
            <a:rPr lang="en-US" sz="1100" baseline="0"/>
            <a:t> Revision additions</a:t>
          </a:r>
        </a:p>
        <a:p>
          <a:r>
            <a:rPr lang="en-US" sz="1100" baseline="0"/>
            <a:t>- Add the effect of the EA output resistance and capacitance</a:t>
          </a:r>
        </a:p>
      </xdr:txBody>
    </xdr:sp>
    <xdr:clientData/>
  </xdr:twoCellAnchor>
  <xdr:twoCellAnchor>
    <xdr:from>
      <xdr:col>8</xdr:col>
      <xdr:colOff>291694</xdr:colOff>
      <xdr:row>12</xdr:row>
      <xdr:rowOff>113739</xdr:rowOff>
    </xdr:from>
    <xdr:to>
      <xdr:col>12</xdr:col>
      <xdr:colOff>267182</xdr:colOff>
      <xdr:row>20</xdr:row>
      <xdr:rowOff>188419</xdr:rowOff>
    </xdr:to>
    <xdr:sp macro="" textlink="">
      <xdr:nvSpPr>
        <xdr:cNvPr id="13" name="TextBox 12">
          <a:extLst>
            <a:ext uri="{FF2B5EF4-FFF2-40B4-BE49-F238E27FC236}">
              <a16:creationId xmlns:a16="http://schemas.microsoft.com/office/drawing/2014/main" id="{00000000-0008-0000-0300-00000D000000}"/>
            </a:ext>
          </a:extLst>
        </xdr:cNvPr>
        <xdr:cNvSpPr txBox="1"/>
      </xdr:nvSpPr>
      <xdr:spPr>
        <a:xfrm>
          <a:off x="6471038" y="2637864"/>
          <a:ext cx="2571050" cy="16463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Duty Cycle</a:t>
          </a:r>
          <a:r>
            <a:rPr lang="en-US" sz="1100" baseline="0"/>
            <a:t> mode for </a:t>
          </a:r>
          <a:r>
            <a:rPr lang="en-US" sz="1100"/>
            <a:t>Loop Comenstation is fixed to</a:t>
          </a:r>
          <a:r>
            <a:rPr lang="en-US" sz="1100" baseline="0"/>
            <a:t> CCM as it stable in DCM when stable in CCM but if required could be also set to selected mode on variable Management page</a:t>
          </a:r>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548640</xdr:colOff>
      <xdr:row>8</xdr:row>
      <xdr:rowOff>0</xdr:rowOff>
    </xdr:from>
    <xdr:to>
      <xdr:col>12</xdr:col>
      <xdr:colOff>449580</xdr:colOff>
      <xdr:row>10</xdr:row>
      <xdr:rowOff>123546</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7269480" y="1638300"/>
          <a:ext cx="2948940" cy="489306"/>
        </a:xfrm>
        <a:prstGeom prst="rect">
          <a:avLst/>
        </a:prstGeom>
      </xdr:spPr>
    </xdr:pic>
    <xdr:clientData/>
  </xdr:twoCellAnchor>
  <xdr:twoCellAnchor editAs="oneCell">
    <xdr:from>
      <xdr:col>8</xdr:col>
      <xdr:colOff>7620</xdr:colOff>
      <xdr:row>12</xdr:row>
      <xdr:rowOff>132742</xdr:rowOff>
    </xdr:from>
    <xdr:to>
      <xdr:col>13</xdr:col>
      <xdr:colOff>350520</xdr:colOff>
      <xdr:row>16</xdr:row>
      <xdr:rowOff>76286</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7338060" y="2502562"/>
          <a:ext cx="3390900" cy="675064"/>
        </a:xfrm>
        <a:prstGeom prst="rect">
          <a:avLst/>
        </a:prstGeom>
      </xdr:spPr>
    </xdr:pic>
    <xdr:clientData/>
  </xdr:twoCellAnchor>
  <xdr:twoCellAnchor editAs="oneCell">
    <xdr:from>
      <xdr:col>9</xdr:col>
      <xdr:colOff>129540</xdr:colOff>
      <xdr:row>22</xdr:row>
      <xdr:rowOff>0</xdr:rowOff>
    </xdr:from>
    <xdr:to>
      <xdr:col>13</xdr:col>
      <xdr:colOff>76200</xdr:colOff>
      <xdr:row>30</xdr:row>
      <xdr:rowOff>45370</xdr:rowOff>
    </xdr:to>
    <xdr:pic>
      <xdr:nvPicPr>
        <xdr:cNvPr id="4" name="Picture 3">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069580" y="4198620"/>
          <a:ext cx="2385060" cy="1523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0</xdr:colOff>
      <xdr:row>2</xdr:row>
      <xdr:rowOff>0</xdr:rowOff>
    </xdr:from>
    <xdr:to>
      <xdr:col>3</xdr:col>
      <xdr:colOff>9157</xdr:colOff>
      <xdr:row>3</xdr:row>
      <xdr:rowOff>0</xdr:rowOff>
    </xdr:to>
    <xdr:graphicFrame macro="">
      <xdr:nvGraphicFramePr>
        <xdr:cNvPr id="3" name="Chart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609599</xdr:colOff>
      <xdr:row>1</xdr:row>
      <xdr:rowOff>0</xdr:rowOff>
    </xdr:from>
    <xdr:to>
      <xdr:col>1</xdr:col>
      <xdr:colOff>5057640</xdr:colOff>
      <xdr:row>1</xdr:row>
      <xdr:rowOff>2762250</xdr:rowOff>
    </xdr:to>
    <xdr:pic>
      <xdr:nvPicPr>
        <xdr:cNvPr id="7" name="Picture 6">
          <a:extLst>
            <a:ext uri="{FF2B5EF4-FFF2-40B4-BE49-F238E27FC236}">
              <a16:creationId xmlns:a16="http://schemas.microsoft.com/office/drawing/2014/main" id="{00000000-0008-0000-06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599" y="190500"/>
          <a:ext cx="5057641" cy="2762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609599</xdr:colOff>
      <xdr:row>3</xdr:row>
      <xdr:rowOff>0</xdr:rowOff>
    </xdr:from>
    <xdr:to>
      <xdr:col>1</xdr:col>
      <xdr:colOff>5057640</xdr:colOff>
      <xdr:row>3</xdr:row>
      <xdr:rowOff>2762250</xdr:rowOff>
    </xdr:to>
    <xdr:pic>
      <xdr:nvPicPr>
        <xdr:cNvPr id="8" name="Picture 7">
          <a:extLst>
            <a:ext uri="{FF2B5EF4-FFF2-40B4-BE49-F238E27FC236}">
              <a16:creationId xmlns:a16="http://schemas.microsoft.com/office/drawing/2014/main" id="{00000000-0008-0000-06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599" y="3771900"/>
          <a:ext cx="5057641" cy="2762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152400</xdr:rowOff>
    </xdr:from>
    <xdr:to>
      <xdr:col>1</xdr:col>
      <xdr:colOff>592455</xdr:colOff>
      <xdr:row>2</xdr:row>
      <xdr:rowOff>93296</xdr:rowOff>
    </xdr:to>
    <xdr:pic>
      <xdr:nvPicPr>
        <xdr:cNvPr id="2" name="Picture 1" descr="ti logo">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52400"/>
          <a:ext cx="2314575" cy="2952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200025</xdr:colOff>
      <xdr:row>0</xdr:row>
      <xdr:rowOff>114300</xdr:rowOff>
    </xdr:from>
    <xdr:ext cx="3752850" cy="381708"/>
    <xdr:sp macro="" textlink="">
      <xdr:nvSpPr>
        <xdr:cNvPr id="3" name="TextBox 2">
          <a:extLst>
            <a:ext uri="{FF2B5EF4-FFF2-40B4-BE49-F238E27FC236}">
              <a16:creationId xmlns:a16="http://schemas.microsoft.com/office/drawing/2014/main" id="{00000000-0008-0000-0800-000003000000}"/>
            </a:ext>
          </a:extLst>
        </xdr:cNvPr>
        <xdr:cNvSpPr txBox="1"/>
      </xdr:nvSpPr>
      <xdr:spPr>
        <a:xfrm>
          <a:off x="1914525" y="114300"/>
          <a:ext cx="3752850" cy="3817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n-US" sz="1600">
              <a:latin typeface="Arial Black" panose="020B0A04020102020204" pitchFamily="34" charset="0"/>
            </a:rPr>
            <a:t>About this tool...</a:t>
          </a:r>
        </a:p>
      </xdr:txBody>
    </xdr:sp>
    <xdr:clientData/>
  </xdr:oneCellAnchor>
  <xdr:oneCellAnchor>
    <xdr:from>
      <xdr:col>3</xdr:col>
      <xdr:colOff>323850</xdr:colOff>
      <xdr:row>1</xdr:row>
      <xdr:rowOff>28575</xdr:rowOff>
    </xdr:from>
    <xdr:ext cx="4719497" cy="254557"/>
    <xdr:sp macro="" textlink="">
      <xdr:nvSpPr>
        <xdr:cNvPr id="4" name="TextBox 3">
          <a:hlinkClick xmlns:r="http://schemas.openxmlformats.org/officeDocument/2006/relationships" r:id="rId3"/>
          <a:extLst>
            <a:ext uri="{FF2B5EF4-FFF2-40B4-BE49-F238E27FC236}">
              <a16:creationId xmlns:a16="http://schemas.microsoft.com/office/drawing/2014/main" id="{00000000-0008-0000-0800-000004000000}"/>
            </a:ext>
          </a:extLst>
        </xdr:cNvPr>
        <xdr:cNvSpPr txBox="1"/>
      </xdr:nvSpPr>
      <xdr:spPr>
        <a:xfrm>
          <a:off x="6419850" y="209550"/>
          <a:ext cx="4719497"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b="0" i="0" u="none" strike="noStrike">
              <a:solidFill>
                <a:schemeClr val="tx1"/>
              </a:solidFill>
              <a:effectLst/>
              <a:latin typeface="Arial" panose="020B0604020202020204" pitchFamily="34" charset="0"/>
              <a:ea typeface="+mn-ea"/>
              <a:cs typeface="Arial" panose="020B0604020202020204" pitchFamily="34" charset="0"/>
              <a:hlinkClick xmlns:r="http://schemas.openxmlformats.org/officeDocument/2006/relationships" r:id=""/>
            </a:rPr>
            <a:t>© Copyright 2021</a:t>
          </a:r>
          <a:r>
            <a:rPr lang="en-US" sz="1100" b="0" i="0">
              <a:solidFill>
                <a:schemeClr val="tx1"/>
              </a:solidFill>
              <a:effectLst/>
              <a:latin typeface="Arial" panose="020B0604020202020204" pitchFamily="34" charset="0"/>
              <a:ea typeface="+mn-ea"/>
              <a:cs typeface="Arial" panose="020B0604020202020204" pitchFamily="34" charset="0"/>
            </a:rPr>
            <a:t> Texas Instruments Incorporated. All rights reserved.</a:t>
          </a:r>
          <a:endParaRPr lang="en-US" sz="1100" b="0">
            <a:latin typeface="Arial" panose="020B0604020202020204" pitchFamily="34" charset="0"/>
            <a:cs typeface="Arial" panose="020B0604020202020204" pitchFamily="34" charset="0"/>
          </a:endParaRPr>
        </a:p>
      </xdr:txBody>
    </xdr:sp>
    <xdr:clientData/>
  </xdr:oneCellAnchor>
  <xdr:oneCellAnchor>
    <xdr:from>
      <xdr:col>0</xdr:col>
      <xdr:colOff>95247</xdr:colOff>
      <xdr:row>6</xdr:row>
      <xdr:rowOff>47623</xdr:rowOff>
    </xdr:from>
    <xdr:ext cx="11229977" cy="4086227"/>
    <xdr:sp macro="" textlink="">
      <xdr:nvSpPr>
        <xdr:cNvPr id="5" name="TextBox 4">
          <a:extLst>
            <a:ext uri="{FF2B5EF4-FFF2-40B4-BE49-F238E27FC236}">
              <a16:creationId xmlns:a16="http://schemas.microsoft.com/office/drawing/2014/main" id="{00000000-0008-0000-0800-000005000000}"/>
            </a:ext>
          </a:extLst>
        </xdr:cNvPr>
        <xdr:cNvSpPr txBox="1"/>
      </xdr:nvSpPr>
      <xdr:spPr>
        <a:xfrm>
          <a:off x="95247" y="1114423"/>
          <a:ext cx="11229977" cy="4086227"/>
        </a:xfrm>
        <a:prstGeom prst="rect">
          <a:avLst/>
        </a:prstGeom>
        <a:solidFill>
          <a:schemeClr val="bg1">
            <a:lumMod val="8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latin typeface="Arial" panose="020B0604020202020204" pitchFamily="34" charset="0"/>
              <a:cs typeface="Arial" panose="020B0604020202020204" pitchFamily="34" charset="0"/>
            </a:rPr>
            <a:t>LICENSE INFORMATION:</a:t>
          </a:r>
        </a:p>
        <a:p>
          <a:r>
            <a:rPr lang="en-US" sz="900">
              <a:solidFill>
                <a:schemeClr val="tx1"/>
              </a:solidFill>
              <a:effectLst/>
              <a:latin typeface="Arial" panose="020B0604020202020204" pitchFamily="34" charset="0"/>
              <a:ea typeface="+mn-ea"/>
              <a:cs typeface="Arial" panose="020B0604020202020204" pitchFamily="34" charset="0"/>
            </a:rPr>
            <a:t>Copyright (c) 2021 Texas Instruments Incorporated</a:t>
          </a:r>
        </a:p>
        <a:p>
          <a:r>
            <a:rPr lang="en-US" sz="900">
              <a:solidFill>
                <a:schemeClr val="tx1"/>
              </a:solidFill>
              <a:effectLst/>
              <a:latin typeface="Arial" panose="020B0604020202020204" pitchFamily="34" charset="0"/>
              <a:ea typeface="+mn-ea"/>
              <a:cs typeface="Arial" panose="020B0604020202020204" pitchFamily="34" charset="0"/>
            </a:rPr>
            <a:t> </a:t>
          </a:r>
        </a:p>
        <a:p>
          <a:r>
            <a:rPr lang="en-US" sz="900">
              <a:solidFill>
                <a:schemeClr val="tx1"/>
              </a:solidFill>
              <a:effectLst/>
              <a:latin typeface="Arial" panose="020B0604020202020204" pitchFamily="34" charset="0"/>
              <a:ea typeface="+mn-ea"/>
              <a:cs typeface="Arial" panose="020B0604020202020204" pitchFamily="34" charset="0"/>
            </a:rPr>
            <a:t>All rights reserved not granted herein.</a:t>
          </a:r>
        </a:p>
        <a:p>
          <a:r>
            <a:rPr lang="en-US" sz="900">
              <a:solidFill>
                <a:schemeClr val="tx1"/>
              </a:solidFill>
              <a:effectLst/>
              <a:latin typeface="Arial" panose="020B0604020202020204" pitchFamily="34" charset="0"/>
              <a:ea typeface="+mn-ea"/>
              <a:cs typeface="Arial" panose="020B0604020202020204" pitchFamily="34" charset="0"/>
            </a:rPr>
            <a:t> </a:t>
          </a:r>
        </a:p>
        <a:p>
          <a:r>
            <a:rPr lang="en-US" sz="900">
              <a:solidFill>
                <a:schemeClr val="tx1"/>
              </a:solidFill>
              <a:effectLst/>
              <a:latin typeface="Arial" panose="020B0604020202020204" pitchFamily="34" charset="0"/>
              <a:ea typeface="+mn-ea"/>
              <a:cs typeface="Arial" panose="020B0604020202020204" pitchFamily="34" charset="0"/>
            </a:rPr>
            <a:t>Limited License.  </a:t>
          </a:r>
        </a:p>
        <a:p>
          <a:r>
            <a:rPr lang="en-US" sz="900">
              <a:solidFill>
                <a:schemeClr val="tx1"/>
              </a:solidFill>
              <a:effectLst/>
              <a:latin typeface="Arial" panose="020B0604020202020204" pitchFamily="34" charset="0"/>
              <a:ea typeface="+mn-ea"/>
              <a:cs typeface="Arial" panose="020B0604020202020204" pitchFamily="34" charset="0"/>
            </a:rPr>
            <a:t> </a:t>
          </a:r>
        </a:p>
        <a:p>
          <a:r>
            <a:rPr lang="en-US" sz="900">
              <a:solidFill>
                <a:schemeClr val="tx1"/>
              </a:solidFill>
              <a:effectLst/>
              <a:latin typeface="Arial" panose="020B0604020202020204" pitchFamily="34" charset="0"/>
              <a:ea typeface="+mn-ea"/>
              <a:cs typeface="Arial" panose="020B0604020202020204" pitchFamily="34" charset="0"/>
            </a:rPr>
            <a:t>Texas Instruments Incorporated grants a world-wide, royalty-free, non-exclusive license under copyrights and patents it now or hereafter owns or controls to make, have made, use, import, offer to sell and sell ("Utilize") this software subject to the terms herein.  With respect to the foregoing patent license, such license is granted  solely to the extent that any such patent is necessary to Utilize the software alone.  The patent license shall not apply to any combinations which include this software, other than combinations with devices manufactured by or for TI (“TI Devices”).  No hardware patent is licensed hereunder.</a:t>
          </a:r>
        </a:p>
        <a:p>
          <a:r>
            <a:rPr lang="en-US" sz="900">
              <a:solidFill>
                <a:schemeClr val="tx1"/>
              </a:solidFill>
              <a:effectLst/>
              <a:latin typeface="Arial" panose="020B0604020202020204" pitchFamily="34" charset="0"/>
              <a:ea typeface="+mn-ea"/>
              <a:cs typeface="Arial" panose="020B0604020202020204" pitchFamily="34" charset="0"/>
            </a:rPr>
            <a:t> </a:t>
          </a:r>
        </a:p>
        <a:p>
          <a:r>
            <a:rPr lang="en-US" sz="900">
              <a:solidFill>
                <a:schemeClr val="tx1"/>
              </a:solidFill>
              <a:effectLst/>
              <a:latin typeface="Arial" panose="020B0604020202020204" pitchFamily="34" charset="0"/>
              <a:ea typeface="+mn-ea"/>
              <a:cs typeface="Arial" panose="020B0604020202020204" pitchFamily="34" charset="0"/>
            </a:rPr>
            <a:t>Redistributions must preserve existing copyright notices and reproduce this license (including the above copyright notice and the disclaimer and (if applicable) source code license limitations below) in the documentation and/or other materials provided with the distribution</a:t>
          </a:r>
        </a:p>
        <a:p>
          <a:r>
            <a:rPr lang="en-US" sz="900">
              <a:solidFill>
                <a:schemeClr val="tx1"/>
              </a:solidFill>
              <a:effectLst/>
              <a:latin typeface="Arial" panose="020B0604020202020204" pitchFamily="34" charset="0"/>
              <a:ea typeface="+mn-ea"/>
              <a:cs typeface="Arial" panose="020B0604020202020204" pitchFamily="34" charset="0"/>
            </a:rPr>
            <a:t> </a:t>
          </a:r>
        </a:p>
        <a:p>
          <a:r>
            <a:rPr lang="en-US" sz="900">
              <a:solidFill>
                <a:schemeClr val="tx1"/>
              </a:solidFill>
              <a:effectLst/>
              <a:latin typeface="Arial" panose="020B0604020202020204" pitchFamily="34" charset="0"/>
              <a:ea typeface="+mn-ea"/>
              <a:cs typeface="Arial" panose="020B0604020202020204" pitchFamily="34" charset="0"/>
            </a:rPr>
            <a:t>Redistribution and use in binary form, without modification, are permitted provided that the following conditions are met:</a:t>
          </a:r>
        </a:p>
        <a:p>
          <a:r>
            <a:rPr lang="en-US" sz="900">
              <a:solidFill>
                <a:schemeClr val="tx1"/>
              </a:solidFill>
              <a:effectLst/>
              <a:latin typeface="Arial" panose="020B0604020202020204" pitchFamily="34" charset="0"/>
              <a:ea typeface="+mn-ea"/>
              <a:cs typeface="Arial" panose="020B0604020202020204" pitchFamily="34" charset="0"/>
            </a:rPr>
            <a:t>*	No reverse engineering, decompilation, or disassembly of this software is permitted with respect to any software provided in binary form. </a:t>
          </a:r>
        </a:p>
        <a:p>
          <a:r>
            <a:rPr lang="en-US" sz="900">
              <a:solidFill>
                <a:schemeClr val="tx1"/>
              </a:solidFill>
              <a:effectLst/>
              <a:latin typeface="Arial" panose="020B0604020202020204" pitchFamily="34" charset="0"/>
              <a:ea typeface="+mn-ea"/>
              <a:cs typeface="Arial" panose="020B0604020202020204" pitchFamily="34" charset="0"/>
            </a:rPr>
            <a:t>*	Any redistribution and use are licensed by TI for use only with TI Devices.</a:t>
          </a:r>
        </a:p>
        <a:p>
          <a:r>
            <a:rPr lang="en-US" sz="900">
              <a:solidFill>
                <a:schemeClr val="tx1"/>
              </a:solidFill>
              <a:effectLst/>
              <a:latin typeface="Arial" panose="020B0604020202020204" pitchFamily="34" charset="0"/>
              <a:ea typeface="+mn-ea"/>
              <a:cs typeface="Arial" panose="020B0604020202020204" pitchFamily="34" charset="0"/>
            </a:rPr>
            <a:t>*	Nothing shall obligate TI to provide you with source code for the software licensed and provided to you in object code.</a:t>
          </a:r>
        </a:p>
        <a:p>
          <a:r>
            <a:rPr lang="en-US" sz="900">
              <a:solidFill>
                <a:schemeClr val="tx1"/>
              </a:solidFill>
              <a:effectLst/>
              <a:latin typeface="Arial" panose="020B0604020202020204" pitchFamily="34" charset="0"/>
              <a:ea typeface="+mn-ea"/>
              <a:cs typeface="Arial" panose="020B0604020202020204" pitchFamily="34" charset="0"/>
            </a:rPr>
            <a:t> </a:t>
          </a:r>
        </a:p>
        <a:p>
          <a:r>
            <a:rPr lang="en-US" sz="900">
              <a:solidFill>
                <a:schemeClr val="tx1"/>
              </a:solidFill>
              <a:effectLst/>
              <a:latin typeface="Arial" panose="020B0604020202020204" pitchFamily="34" charset="0"/>
              <a:ea typeface="+mn-ea"/>
              <a:cs typeface="Arial" panose="020B0604020202020204" pitchFamily="34" charset="0"/>
            </a:rPr>
            <a:t>If software source code is provided to you, modification and redistribution of the source code are permitted provided that the following conditions are met:</a:t>
          </a:r>
        </a:p>
        <a:p>
          <a:r>
            <a:rPr lang="en-US" sz="900">
              <a:solidFill>
                <a:schemeClr val="tx1"/>
              </a:solidFill>
              <a:effectLst/>
              <a:latin typeface="Arial" panose="020B0604020202020204" pitchFamily="34" charset="0"/>
              <a:ea typeface="+mn-ea"/>
              <a:cs typeface="Arial" panose="020B0604020202020204" pitchFamily="34" charset="0"/>
            </a:rPr>
            <a:t>*	Any redistribution and use of the source code, including any resulting derivative works, are licensed by TI for use only with TI Devices.</a:t>
          </a:r>
        </a:p>
        <a:p>
          <a:r>
            <a:rPr lang="en-US" sz="900">
              <a:solidFill>
                <a:schemeClr val="tx1"/>
              </a:solidFill>
              <a:effectLst/>
              <a:latin typeface="Arial" panose="020B0604020202020204" pitchFamily="34" charset="0"/>
              <a:ea typeface="+mn-ea"/>
              <a:cs typeface="Arial" panose="020B0604020202020204" pitchFamily="34" charset="0"/>
            </a:rPr>
            <a:t>*	Any redistribution and use of any object code compiled from the source code and any resulting derivative works, are licensed by TI for use only with TI Devices.</a:t>
          </a:r>
        </a:p>
        <a:p>
          <a:endParaRPr lang="en-US" sz="900">
            <a:solidFill>
              <a:schemeClr val="tx1"/>
            </a:solidFill>
            <a:effectLst/>
            <a:latin typeface="Arial" panose="020B0604020202020204" pitchFamily="34" charset="0"/>
            <a:ea typeface="+mn-ea"/>
            <a:cs typeface="Arial" panose="020B0604020202020204" pitchFamily="34" charset="0"/>
          </a:endParaRPr>
        </a:p>
        <a:p>
          <a:r>
            <a:rPr lang="en-US" sz="900">
              <a:solidFill>
                <a:schemeClr val="tx1"/>
              </a:solidFill>
              <a:effectLst/>
              <a:latin typeface="Arial" panose="020B0604020202020204" pitchFamily="34" charset="0"/>
              <a:ea typeface="+mn-ea"/>
              <a:cs typeface="Arial" panose="020B0604020202020204" pitchFamily="34" charset="0"/>
            </a:rPr>
            <a:t>Neither the name of Texas Instruments Incorporated nor the names of its suppliers may be used to endorse or promote products derived from this software without specific prior written permission.</a:t>
          </a:r>
          <a:endParaRPr lang="en-US" sz="1000" b="1">
            <a:latin typeface="Arial" panose="020B0604020202020204" pitchFamily="34" charset="0"/>
            <a:cs typeface="Arial" panose="020B06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n-US" sz="1000" baseline="0">
            <a:latin typeface="Arial" panose="020B0604020202020204" pitchFamily="34" charset="0"/>
            <a:cs typeface="Arial" panose="020B0604020202020204"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000" b="1" baseline="0">
              <a:latin typeface="Arial" panose="020B0604020202020204" pitchFamily="34" charset="0"/>
              <a:cs typeface="Arial" panose="020B0604020202020204" pitchFamily="34" charset="0"/>
            </a:rPr>
            <a:t>DISCLAMER:</a:t>
          </a:r>
        </a:p>
        <a:p>
          <a:pPr marL="0" marR="0" indent="0" defTabSz="914400" eaLnBrk="1" fontAlgn="auto" latinLnBrk="0" hangingPunct="1">
            <a:lnSpc>
              <a:spcPct val="100000"/>
            </a:lnSpc>
            <a:spcBef>
              <a:spcPts val="0"/>
            </a:spcBef>
            <a:spcAft>
              <a:spcPts val="0"/>
            </a:spcAft>
            <a:buClrTx/>
            <a:buSzTx/>
            <a:buFontTx/>
            <a:buNone/>
            <a:tabLst/>
            <a:defRPr/>
          </a:pPr>
          <a:r>
            <a:rPr lang="en-US" sz="800" baseline="0">
              <a:latin typeface="Arial" panose="020B0604020202020204" pitchFamily="34" charset="0"/>
              <a:cs typeface="Arial" panose="020B0604020202020204" pitchFamily="34" charset="0"/>
            </a:rPr>
            <a:t>THIS SOFTWARE IS PROVIDED BY TI AND TI’S LICENSORS "AS IS" AND ANY EXPRESS OR IMPLIED WARRANTIES, INCLUDING, BUT NOT LIMITED TO, THE IMPLIED WARRANTIES OF MERCHANTABILITY AND FITNESS FOR A PARTICULAR PURPOSE ARE DISCLAIMED. IN NO EVENT SHALL TI AND TI’S LICENSORS BE LIABLE FOR ANY DIRECT, INDIRECT, INCIDENTAL, SPECIAL, EXEMPLARY, OR CONSEQUENTIAL DAMAGES (INCLUDING, BUT NOT LIMITED TO, PROCUREMENT OF SUBSTITUTE GOODS OR SERVICES; LOSS OF USE, DATA, OR PROFITS; OR BUSINESS INTERRUPTION) HOWEVER CAUSED AND ON ANY THEORY OF LIABILITY, WHETHER IN CONTRACT, STRICT LIABILITY, OR TORT (INCLUDING NEGLIGENCE OR OTHERWISE) ARISING IN ANY WAY OUT OF THE USE OF THIS SOFTWARE, EVEN IF ADVISED OF THE POSSIBILITY OF SUCH DAMAGE.</a:t>
          </a:r>
        </a:p>
      </xdr:txBody>
    </xdr:sp>
    <xdr:clientData/>
  </xdr:oneCellAnchor>
  <xdr:oneCellAnchor>
    <xdr:from>
      <xdr:col>0</xdr:col>
      <xdr:colOff>95247</xdr:colOff>
      <xdr:row>29</xdr:row>
      <xdr:rowOff>47623</xdr:rowOff>
    </xdr:from>
    <xdr:ext cx="11229977" cy="809627"/>
    <xdr:sp macro="" textlink="">
      <xdr:nvSpPr>
        <xdr:cNvPr id="6" name="TextBox 5">
          <a:extLst>
            <a:ext uri="{FF2B5EF4-FFF2-40B4-BE49-F238E27FC236}">
              <a16:creationId xmlns:a16="http://schemas.microsoft.com/office/drawing/2014/main" id="{00000000-0008-0000-0800-000006000000}"/>
            </a:ext>
          </a:extLst>
        </xdr:cNvPr>
        <xdr:cNvSpPr txBox="1"/>
      </xdr:nvSpPr>
      <xdr:spPr>
        <a:xfrm>
          <a:off x="95247" y="5276848"/>
          <a:ext cx="11229977" cy="809627"/>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b="1">
              <a:solidFill>
                <a:schemeClr val="tx1"/>
              </a:solidFill>
              <a:effectLst/>
              <a:latin typeface="+mn-lt"/>
              <a:ea typeface="+mn-ea"/>
              <a:cs typeface="+mn-cs"/>
            </a:rPr>
            <a:t>IMPORTANT</a:t>
          </a:r>
          <a:r>
            <a:rPr lang="en-US" sz="1100" b="1" baseline="0">
              <a:solidFill>
                <a:schemeClr val="tx1"/>
              </a:solidFill>
              <a:effectLst/>
              <a:latin typeface="+mn-lt"/>
              <a:ea typeface="+mn-ea"/>
              <a:cs typeface="+mn-cs"/>
            </a:rPr>
            <a:t>:   </a:t>
          </a:r>
          <a:endParaRPr lang="en-US" sz="800">
            <a:effectLst/>
          </a:endParaRPr>
        </a:p>
        <a:p>
          <a:r>
            <a:rPr lang="en-US" sz="1100" baseline="0">
              <a:solidFill>
                <a:schemeClr val="tx1"/>
              </a:solidFill>
              <a:effectLst/>
              <a:latin typeface="+mn-lt"/>
              <a:ea typeface="+mn-ea"/>
              <a:cs typeface="+mn-cs"/>
            </a:rPr>
            <a:t>1.  Do not delete this worksheet!</a:t>
          </a:r>
          <a:endParaRPr lang="en-US" sz="800">
            <a:effectLst/>
          </a:endParaRPr>
        </a:p>
        <a:p>
          <a:pPr eaLnBrk="1" fontAlgn="auto" latinLnBrk="0" hangingPunct="1"/>
          <a:r>
            <a:rPr lang="en-US" sz="1100" baseline="0">
              <a:solidFill>
                <a:schemeClr val="tx1"/>
              </a:solidFill>
              <a:effectLst/>
              <a:latin typeface="+mn-lt"/>
              <a:ea typeface="+mn-ea"/>
              <a:cs typeface="+mn-cs"/>
            </a:rPr>
            <a:t>2.  Redistributions must retain the above copyright and the following disclaimer.</a:t>
          </a:r>
          <a:endParaRPr lang="en-US" sz="800">
            <a:effectLst/>
          </a:endParaRPr>
        </a:p>
        <a:p>
          <a:endParaRPr lang="en-US" sz="800" baseline="0">
            <a:latin typeface="Arial" panose="020B0604020202020204" pitchFamily="34" charset="0"/>
            <a:cs typeface="Arial" panose="020B0604020202020204" pitchFamily="34" charset="0"/>
          </a:endParaRP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0196876/Downloads/ADS1235%20Design%20Calculato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of Contents "/>
      <sheetName val="Common-Mode Range"/>
      <sheetName val="Code Conversions"/>
      <sheetName val="Digital Filter"/>
      <sheetName val="STATUS"/>
      <sheetName val="CRC"/>
      <sheetName val="About"/>
      <sheetName val="Help"/>
    </sheetNames>
    <sheetDataSet>
      <sheetData sheetId="0" refreshError="1"/>
      <sheetData sheetId="1" refreshError="1"/>
      <sheetData sheetId="2" refreshError="1"/>
      <sheetData sheetId="3">
        <row r="84">
          <cell r="T84" t="b">
            <v>0</v>
          </cell>
        </row>
      </sheetData>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omments" Target="../comments2.xml"/><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pageSetUpPr fitToPage="1"/>
  </sheetPr>
  <dimension ref="A1:AA100"/>
  <sheetViews>
    <sheetView tabSelected="1" topLeftCell="A52" zoomScaleNormal="100" workbookViewId="0">
      <selection activeCell="H76" sqref="H76"/>
    </sheetView>
  </sheetViews>
  <sheetFormatPr defaultColWidth="8.85546875" defaultRowHeight="15" x14ac:dyDescent="0.25"/>
  <cols>
    <col min="1" max="5" width="8.85546875" style="57" customWidth="1"/>
    <col min="6" max="6" width="12.7109375" style="57" bestFit="1" customWidth="1"/>
    <col min="7" max="7" width="8.85546875" style="113" customWidth="1"/>
    <col min="8" max="8" width="12" style="57" bestFit="1" customWidth="1"/>
    <col min="9" max="9" width="4.28515625" style="57" bestFit="1" customWidth="1"/>
    <col min="10" max="10" width="4.7109375" style="57" customWidth="1"/>
    <col min="11" max="21" width="8.85546875" style="57" customWidth="1"/>
    <col min="22" max="22" width="7.28515625" style="57" customWidth="1"/>
    <col min="23" max="26" width="8.85546875" style="57" customWidth="1"/>
    <col min="27" max="27" width="1.7109375" style="114" customWidth="1"/>
    <col min="28" max="16384" width="8.85546875" style="57"/>
  </cols>
  <sheetData>
    <row r="1" spans="1:27" ht="46.9" customHeight="1" x14ac:dyDescent="0.25">
      <c r="A1" s="53"/>
      <c r="B1" s="53"/>
      <c r="C1" s="53"/>
      <c r="D1" s="53"/>
      <c r="E1" s="54" t="s">
        <v>579</v>
      </c>
      <c r="F1" s="53"/>
      <c r="G1" s="55"/>
      <c r="H1" s="53"/>
      <c r="I1" s="53"/>
      <c r="J1" s="53"/>
      <c r="K1" s="53"/>
      <c r="L1" s="53"/>
      <c r="M1" s="53"/>
      <c r="N1" s="53"/>
      <c r="O1" s="53"/>
      <c r="P1" s="53"/>
      <c r="Q1" s="53"/>
      <c r="R1" s="53"/>
      <c r="S1" s="53"/>
      <c r="T1" s="53"/>
      <c r="U1" s="53"/>
      <c r="V1" s="53"/>
      <c r="W1" s="53"/>
      <c r="X1" s="53"/>
      <c r="Y1" s="53"/>
      <c r="Z1" s="53"/>
      <c r="AA1" s="56"/>
    </row>
    <row r="2" spans="1:27" x14ac:dyDescent="0.25">
      <c r="A2" s="58"/>
      <c r="B2" s="58"/>
      <c r="C2" s="58"/>
      <c r="D2" s="58"/>
      <c r="E2" s="58"/>
      <c r="F2" s="58"/>
      <c r="G2" s="59"/>
      <c r="H2" s="58"/>
      <c r="I2" s="58"/>
      <c r="J2" s="58"/>
      <c r="K2" s="58"/>
      <c r="L2" s="58"/>
      <c r="M2" s="58"/>
      <c r="N2" s="58"/>
      <c r="O2" s="58"/>
      <c r="P2" s="58"/>
      <c r="Q2" s="58"/>
      <c r="R2" s="58"/>
      <c r="S2" s="58"/>
      <c r="T2" s="58"/>
      <c r="U2" s="58"/>
      <c r="V2" s="58"/>
      <c r="W2" s="58"/>
      <c r="X2" s="58"/>
      <c r="Y2" s="58"/>
      <c r="Z2" s="58"/>
      <c r="AA2" s="56"/>
    </row>
    <row r="3" spans="1:27" x14ac:dyDescent="0.25">
      <c r="A3" s="60" t="s">
        <v>1</v>
      </c>
      <c r="B3" s="58"/>
      <c r="C3" s="58"/>
      <c r="D3" s="58"/>
      <c r="E3" s="61"/>
      <c r="F3" s="62" t="s">
        <v>2</v>
      </c>
      <c r="G3" s="59"/>
      <c r="H3" s="58"/>
      <c r="I3" s="58"/>
      <c r="J3" s="58"/>
      <c r="K3" s="58"/>
      <c r="L3" s="58"/>
      <c r="M3" s="58"/>
      <c r="N3" s="228" t="s">
        <v>0</v>
      </c>
      <c r="O3" s="228"/>
      <c r="P3" s="58"/>
      <c r="Q3" s="58"/>
      <c r="R3" s="58"/>
      <c r="S3" s="58"/>
      <c r="T3" s="58"/>
      <c r="U3" s="58"/>
      <c r="V3" s="58"/>
      <c r="W3" s="58"/>
      <c r="X3" s="58"/>
      <c r="Y3" s="58"/>
      <c r="Z3" s="58"/>
      <c r="AA3" s="56"/>
    </row>
    <row r="4" spans="1:27" s="66" customFormat="1" x14ac:dyDescent="0.25">
      <c r="A4" s="63"/>
      <c r="B4" s="63"/>
      <c r="C4" s="63"/>
      <c r="D4" s="63"/>
      <c r="E4" s="63"/>
      <c r="F4" s="63"/>
      <c r="G4" s="64"/>
      <c r="H4" s="63"/>
      <c r="I4" s="63"/>
      <c r="J4" s="63"/>
      <c r="K4" s="63"/>
      <c r="L4" s="63"/>
      <c r="M4" s="63"/>
      <c r="N4" s="63"/>
      <c r="O4" s="63"/>
      <c r="P4" s="63"/>
      <c r="Q4" s="63"/>
      <c r="R4" s="63"/>
      <c r="S4" s="63"/>
      <c r="T4" s="63"/>
      <c r="U4" s="63"/>
      <c r="V4" s="63"/>
      <c r="W4" s="63"/>
      <c r="X4" s="63"/>
      <c r="Y4" s="63"/>
      <c r="Z4" s="63"/>
      <c r="AA4" s="65"/>
    </row>
    <row r="5" spans="1:27" x14ac:dyDescent="0.25">
      <c r="A5" s="67"/>
      <c r="B5" s="67"/>
      <c r="C5" s="67"/>
      <c r="D5" s="67"/>
      <c r="E5" s="67"/>
      <c r="F5" s="67"/>
      <c r="G5" s="68"/>
      <c r="H5" s="67"/>
      <c r="I5" s="67"/>
      <c r="J5" s="67"/>
      <c r="K5" s="67"/>
      <c r="L5" s="67"/>
      <c r="M5" s="67"/>
      <c r="N5" s="67" t="s">
        <v>577</v>
      </c>
      <c r="O5" s="69" t="s">
        <v>578</v>
      </c>
      <c r="P5" s="67"/>
      <c r="Q5" s="67"/>
      <c r="R5" s="67"/>
      <c r="S5" s="67"/>
      <c r="T5" s="67"/>
      <c r="U5" s="67"/>
      <c r="V5" s="67"/>
      <c r="W5" s="67"/>
      <c r="X5" s="67"/>
      <c r="Y5" s="67"/>
      <c r="Z5" s="67"/>
      <c r="AA5" s="56"/>
    </row>
    <row r="6" spans="1:27" ht="15.75" thickBot="1" x14ac:dyDescent="0.3">
      <c r="A6" s="70" t="s">
        <v>3</v>
      </c>
      <c r="B6" s="67"/>
      <c r="C6" s="67"/>
      <c r="D6" s="67"/>
      <c r="E6" s="67"/>
      <c r="F6" s="67"/>
      <c r="G6" s="68"/>
      <c r="H6" s="67"/>
      <c r="I6" s="67"/>
      <c r="J6" s="67"/>
      <c r="K6" s="67"/>
      <c r="L6" s="67"/>
      <c r="M6" s="67"/>
      <c r="N6" s="67"/>
      <c r="O6" s="67"/>
      <c r="P6" s="67"/>
      <c r="Q6" s="67"/>
      <c r="R6" s="67"/>
      <c r="S6" s="67"/>
      <c r="T6" s="67"/>
      <c r="U6" s="67"/>
      <c r="V6" s="67"/>
      <c r="W6" s="67"/>
      <c r="X6" s="67"/>
      <c r="Y6" s="67"/>
      <c r="Z6" s="67"/>
      <c r="AA6" s="56"/>
    </row>
    <row r="7" spans="1:27" x14ac:dyDescent="0.25">
      <c r="A7" s="71"/>
      <c r="B7" s="72"/>
      <c r="C7" s="72"/>
      <c r="D7" s="72"/>
      <c r="E7" s="72"/>
      <c r="F7" s="72"/>
      <c r="G7" s="73" t="s">
        <v>4</v>
      </c>
      <c r="H7" s="116">
        <v>3.5</v>
      </c>
      <c r="I7" s="74" t="s">
        <v>10</v>
      </c>
      <c r="J7" s="67"/>
      <c r="K7" s="67"/>
      <c r="L7" s="67"/>
      <c r="M7" s="67"/>
      <c r="N7" s="67"/>
      <c r="O7" s="67"/>
      <c r="P7" s="67"/>
      <c r="Q7" s="67"/>
      <c r="R7" s="67"/>
      <c r="S7" s="67"/>
      <c r="T7" s="67"/>
      <c r="U7" s="67"/>
      <c r="V7" s="67"/>
      <c r="W7" s="67"/>
      <c r="X7" s="67"/>
      <c r="Y7" s="67"/>
      <c r="Z7" s="67"/>
      <c r="AA7" s="56"/>
    </row>
    <row r="8" spans="1:27" x14ac:dyDescent="0.25">
      <c r="A8" s="75"/>
      <c r="B8" s="67"/>
      <c r="C8" s="67"/>
      <c r="D8" s="67"/>
      <c r="E8" s="67"/>
      <c r="F8" s="67"/>
      <c r="G8" s="76" t="s">
        <v>5</v>
      </c>
      <c r="H8" s="117">
        <v>3.8</v>
      </c>
      <c r="I8" s="77" t="s">
        <v>10</v>
      </c>
      <c r="J8" s="67"/>
      <c r="K8" s="67"/>
      <c r="L8" s="67"/>
      <c r="M8" s="67"/>
      <c r="N8" s="67"/>
      <c r="O8" s="67"/>
      <c r="P8" s="67"/>
      <c r="Q8" s="67"/>
      <c r="R8" s="67"/>
      <c r="S8" s="67"/>
      <c r="T8" s="67"/>
      <c r="U8" s="67"/>
      <c r="V8" s="67"/>
      <c r="W8" s="67"/>
      <c r="X8" s="67"/>
      <c r="Y8" s="67"/>
      <c r="Z8" s="67"/>
      <c r="AA8" s="56"/>
    </row>
    <row r="9" spans="1:27" x14ac:dyDescent="0.25">
      <c r="A9" s="75"/>
      <c r="B9" s="67"/>
      <c r="C9" s="67"/>
      <c r="D9" s="67"/>
      <c r="E9" s="67"/>
      <c r="F9" s="67"/>
      <c r="G9" s="76" t="s">
        <v>6</v>
      </c>
      <c r="H9" s="117">
        <v>4.2</v>
      </c>
      <c r="I9" s="77" t="s">
        <v>10</v>
      </c>
      <c r="J9" s="67"/>
      <c r="K9" s="67"/>
      <c r="L9" s="67"/>
      <c r="M9" s="67"/>
      <c r="N9" s="67"/>
      <c r="O9" s="67"/>
      <c r="P9" s="67"/>
      <c r="Q9" s="67"/>
      <c r="R9" s="67"/>
      <c r="S9" s="67"/>
      <c r="T9" s="67"/>
      <c r="U9" s="67"/>
      <c r="V9" s="67"/>
      <c r="W9" s="67"/>
      <c r="X9" s="67"/>
      <c r="Y9" s="67"/>
      <c r="Z9" s="67"/>
      <c r="AA9" s="56"/>
    </row>
    <row r="10" spans="1:27" x14ac:dyDescent="0.25">
      <c r="A10" s="75"/>
      <c r="B10" s="67"/>
      <c r="C10" s="67"/>
      <c r="D10" s="67"/>
      <c r="E10" s="67"/>
      <c r="F10" s="67"/>
      <c r="G10" s="76" t="s">
        <v>540</v>
      </c>
      <c r="H10" s="117">
        <v>16</v>
      </c>
      <c r="I10" s="77" t="s">
        <v>10</v>
      </c>
      <c r="J10" s="67"/>
      <c r="K10" s="67"/>
      <c r="L10" s="67"/>
      <c r="M10" s="67"/>
      <c r="N10" s="67"/>
      <c r="O10" s="67"/>
      <c r="P10" s="67"/>
      <c r="Q10" s="67"/>
      <c r="R10" s="67"/>
      <c r="S10" s="67"/>
      <c r="T10" s="67"/>
      <c r="U10" s="67"/>
      <c r="V10" s="67"/>
      <c r="W10" s="67"/>
      <c r="X10" s="67"/>
      <c r="Y10" s="67"/>
      <c r="Z10" s="67"/>
      <c r="AA10" s="56"/>
    </row>
    <row r="11" spans="1:27" x14ac:dyDescent="0.25">
      <c r="A11" s="75"/>
      <c r="B11" s="67"/>
      <c r="C11" s="67"/>
      <c r="D11" s="67"/>
      <c r="E11" s="67"/>
      <c r="F11" s="67"/>
      <c r="G11" s="76" t="s">
        <v>7</v>
      </c>
      <c r="H11" s="117">
        <v>5.0999999999999996</v>
      </c>
      <c r="I11" s="77" t="s">
        <v>11</v>
      </c>
      <c r="J11" s="67"/>
      <c r="K11" s="67"/>
      <c r="L11" s="67"/>
      <c r="M11" s="67"/>
      <c r="N11" s="67"/>
      <c r="O11" s="67"/>
      <c r="P11" s="67"/>
      <c r="Q11" s="67"/>
      <c r="R11" s="67"/>
      <c r="S11" s="67"/>
      <c r="T11" s="67"/>
      <c r="U11" s="67"/>
      <c r="V11" s="67"/>
      <c r="W11" s="67"/>
      <c r="X11" s="67"/>
      <c r="Y11" s="67"/>
      <c r="Z11" s="67"/>
      <c r="AA11" s="56"/>
    </row>
    <row r="12" spans="1:27" x14ac:dyDescent="0.25">
      <c r="A12" s="75"/>
      <c r="B12" s="67"/>
      <c r="C12" s="67"/>
      <c r="D12" s="67"/>
      <c r="E12" s="67"/>
      <c r="F12" s="67"/>
      <c r="G12" s="76" t="s">
        <v>8</v>
      </c>
      <c r="H12" s="117">
        <v>575</v>
      </c>
      <c r="I12" s="77" t="s">
        <v>12</v>
      </c>
      <c r="J12" s="67"/>
      <c r="K12" s="67"/>
      <c r="L12" s="67"/>
      <c r="M12" s="67"/>
      <c r="N12" s="67"/>
      <c r="O12" s="67"/>
      <c r="P12" s="67"/>
      <c r="Q12" s="67"/>
      <c r="R12" s="67"/>
      <c r="S12" s="67"/>
      <c r="T12" s="67"/>
      <c r="U12" s="67"/>
      <c r="V12" s="67"/>
      <c r="W12" s="67"/>
      <c r="X12" s="67"/>
      <c r="Y12" s="67"/>
      <c r="Z12" s="67"/>
      <c r="AA12" s="56"/>
    </row>
    <row r="13" spans="1:27" x14ac:dyDescent="0.25">
      <c r="A13" s="75"/>
      <c r="B13" s="67"/>
      <c r="C13" s="67"/>
      <c r="D13" s="67"/>
      <c r="E13" s="67"/>
      <c r="F13" s="67"/>
      <c r="G13" s="76" t="s">
        <v>75</v>
      </c>
      <c r="H13" s="118">
        <f>RT/1000</f>
        <v>37.479782608695658</v>
      </c>
      <c r="I13" s="77" t="s">
        <v>76</v>
      </c>
      <c r="J13" s="67"/>
      <c r="K13" s="67"/>
      <c r="L13" s="67"/>
      <c r="M13" s="67"/>
      <c r="N13" s="67"/>
      <c r="O13" s="67"/>
      <c r="P13" s="67"/>
      <c r="Q13" s="67"/>
      <c r="R13" s="67"/>
      <c r="S13" s="67"/>
      <c r="T13" s="67"/>
      <c r="U13" s="67"/>
      <c r="V13" s="67"/>
      <c r="W13" s="67"/>
      <c r="X13" s="67"/>
      <c r="Y13" s="67"/>
      <c r="Z13" s="67"/>
      <c r="AA13" s="56"/>
    </row>
    <row r="14" spans="1:27" x14ac:dyDescent="0.25">
      <c r="A14" s="75"/>
      <c r="B14" s="67"/>
      <c r="C14" s="67"/>
      <c r="D14" s="67"/>
      <c r="E14" s="67"/>
      <c r="F14" s="67"/>
      <c r="G14" s="76" t="s">
        <v>9</v>
      </c>
      <c r="H14" s="117">
        <v>90</v>
      </c>
      <c r="I14" s="77" t="s">
        <v>13</v>
      </c>
      <c r="J14" s="67"/>
      <c r="K14" s="67"/>
      <c r="L14" s="67"/>
      <c r="M14" s="67"/>
      <c r="N14" s="67"/>
      <c r="O14" s="67"/>
      <c r="P14" s="67"/>
      <c r="Q14" s="67"/>
      <c r="R14" s="67"/>
      <c r="S14" s="67"/>
      <c r="T14" s="67"/>
      <c r="U14" s="67"/>
      <c r="V14" s="67"/>
      <c r="W14" s="67"/>
      <c r="X14" s="67"/>
      <c r="Y14" s="67"/>
      <c r="Z14" s="67"/>
      <c r="AA14" s="56"/>
    </row>
    <row r="15" spans="1:27" x14ac:dyDescent="0.25">
      <c r="A15" s="75"/>
      <c r="B15" s="67"/>
      <c r="C15" s="67"/>
      <c r="D15" s="67"/>
      <c r="E15" s="67"/>
      <c r="F15" s="67"/>
      <c r="G15" s="76" t="s">
        <v>14</v>
      </c>
      <c r="H15" s="119">
        <f>POUT</f>
        <v>81.599999999999994</v>
      </c>
      <c r="I15" s="77" t="s">
        <v>38</v>
      </c>
      <c r="J15" s="67"/>
      <c r="K15" s="67"/>
      <c r="L15" s="67"/>
      <c r="M15" s="67"/>
      <c r="N15" s="67"/>
      <c r="O15" s="67"/>
      <c r="P15" s="67"/>
      <c r="Q15" s="67"/>
      <c r="R15" s="67"/>
      <c r="S15" s="67"/>
      <c r="T15" s="67"/>
      <c r="U15" s="67"/>
      <c r="V15" s="67"/>
      <c r="W15" s="67"/>
      <c r="X15" s="67"/>
      <c r="Y15" s="67"/>
      <c r="Z15" s="67"/>
      <c r="AA15" s="56"/>
    </row>
    <row r="16" spans="1:27" x14ac:dyDescent="0.25">
      <c r="A16" s="78"/>
      <c r="B16" s="79"/>
      <c r="C16" s="79"/>
      <c r="D16" s="79"/>
      <c r="E16" s="79"/>
      <c r="F16" s="67"/>
      <c r="G16" s="80" t="s">
        <v>486</v>
      </c>
      <c r="H16" s="119">
        <f>Dc_max_IC*100</f>
        <v>93</v>
      </c>
      <c r="I16" s="77" t="s">
        <v>13</v>
      </c>
      <c r="J16" s="67"/>
      <c r="K16" s="67"/>
      <c r="L16" s="67"/>
      <c r="M16" s="67"/>
      <c r="N16" s="67"/>
      <c r="O16" s="67"/>
      <c r="P16" s="67"/>
      <c r="Q16" s="67"/>
      <c r="R16" s="67"/>
      <c r="S16" s="67"/>
      <c r="T16" s="67"/>
      <c r="U16" s="67"/>
      <c r="V16" s="67"/>
      <c r="W16" s="67"/>
      <c r="X16" s="67"/>
      <c r="Y16" s="67"/>
      <c r="Z16" s="67"/>
      <c r="AA16" s="56"/>
    </row>
    <row r="17" spans="1:27" ht="15.75" thickBot="1" x14ac:dyDescent="0.3">
      <c r="A17" s="78"/>
      <c r="B17" s="79"/>
      <c r="C17" s="79"/>
      <c r="D17" s="79"/>
      <c r="E17" s="79"/>
      <c r="F17" s="67"/>
      <c r="G17" s="80" t="s">
        <v>518</v>
      </c>
      <c r="H17" s="142">
        <f>Variable_Management!B39*100</f>
        <v>78.125</v>
      </c>
      <c r="I17" s="77" t="s">
        <v>13</v>
      </c>
      <c r="J17" s="67"/>
      <c r="K17" s="67"/>
      <c r="L17" s="67"/>
      <c r="M17" s="67"/>
      <c r="N17" s="67"/>
      <c r="O17" s="67"/>
      <c r="P17" s="67"/>
      <c r="Q17" s="67"/>
      <c r="R17" s="67"/>
      <c r="S17" s="67"/>
      <c r="T17" s="67"/>
      <c r="U17" s="67"/>
      <c r="V17" s="67"/>
      <c r="W17" s="67"/>
      <c r="X17" s="67"/>
      <c r="Y17" s="67"/>
      <c r="Z17" s="67"/>
      <c r="AA17" s="56"/>
    </row>
    <row r="18" spans="1:27" ht="15.75" thickBot="1" x14ac:dyDescent="0.3">
      <c r="A18" s="81"/>
      <c r="B18" s="82"/>
      <c r="C18" s="82"/>
      <c r="D18" s="82"/>
      <c r="E18" s="82"/>
      <c r="F18" s="83"/>
      <c r="G18" s="84" t="s">
        <v>522</v>
      </c>
      <c r="H18" s="138" t="s">
        <v>495</v>
      </c>
      <c r="I18" s="85"/>
      <c r="J18" s="67"/>
      <c r="K18" s="67"/>
      <c r="L18" s="67"/>
      <c r="M18" s="67"/>
      <c r="N18" s="67"/>
      <c r="O18" s="67"/>
      <c r="P18" s="67"/>
      <c r="Q18" s="67"/>
      <c r="R18" s="67"/>
      <c r="S18" s="67"/>
      <c r="T18" s="67"/>
      <c r="U18" s="67"/>
      <c r="V18" s="67"/>
      <c r="W18" s="67"/>
      <c r="X18" s="67"/>
      <c r="Y18" s="67"/>
      <c r="Z18" s="67"/>
      <c r="AA18" s="56"/>
    </row>
    <row r="19" spans="1:27" x14ac:dyDescent="0.25">
      <c r="A19" s="79"/>
      <c r="B19" s="79"/>
      <c r="C19" s="79"/>
      <c r="D19" s="79"/>
      <c r="E19" s="79"/>
      <c r="F19" s="67"/>
      <c r="G19" s="68"/>
      <c r="H19" s="67"/>
      <c r="I19" s="67"/>
      <c r="J19" s="67"/>
      <c r="K19" s="67"/>
      <c r="L19" s="67"/>
      <c r="M19" s="67"/>
      <c r="N19" s="67"/>
      <c r="O19" s="67"/>
      <c r="P19" s="67"/>
      <c r="Q19" s="67"/>
      <c r="R19" s="67"/>
      <c r="S19" s="67"/>
      <c r="T19" s="67"/>
      <c r="U19" s="67"/>
      <c r="V19" s="67"/>
      <c r="W19" s="67"/>
      <c r="X19" s="67"/>
      <c r="Y19" s="67"/>
      <c r="Z19" s="67"/>
      <c r="AA19" s="56"/>
    </row>
    <row r="20" spans="1:27" ht="15.75" thickBot="1" x14ac:dyDescent="0.3">
      <c r="A20" s="70" t="s">
        <v>77</v>
      </c>
      <c r="B20" s="79"/>
      <c r="C20" s="79"/>
      <c r="D20" s="79"/>
      <c r="E20" s="79"/>
      <c r="F20" s="67"/>
      <c r="G20" s="68"/>
      <c r="H20" s="67"/>
      <c r="I20" s="67"/>
      <c r="J20" s="67"/>
      <c r="K20" s="67"/>
      <c r="L20" s="67"/>
      <c r="M20" s="67"/>
      <c r="N20" s="67"/>
      <c r="O20" s="67"/>
      <c r="P20" s="67"/>
      <c r="Q20" s="67"/>
      <c r="R20" s="67"/>
      <c r="S20" s="67"/>
      <c r="T20" s="67"/>
      <c r="U20" s="67"/>
      <c r="V20" s="67"/>
      <c r="W20" s="67"/>
      <c r="X20" s="67"/>
      <c r="Y20" s="67"/>
      <c r="Z20" s="67"/>
      <c r="AA20" s="56"/>
    </row>
    <row r="21" spans="1:27" x14ac:dyDescent="0.25">
      <c r="A21" s="86"/>
      <c r="B21" s="87"/>
      <c r="C21" s="87"/>
      <c r="D21" s="87"/>
      <c r="E21" s="87"/>
      <c r="F21" s="72"/>
      <c r="G21" s="73" t="s">
        <v>487</v>
      </c>
      <c r="H21" s="116">
        <v>60</v>
      </c>
      <c r="I21" s="74" t="s">
        <v>13</v>
      </c>
      <c r="J21" s="67"/>
      <c r="K21" s="67"/>
      <c r="L21" s="67"/>
      <c r="M21" s="67"/>
      <c r="N21" s="67"/>
      <c r="O21" s="67"/>
      <c r="P21" s="67"/>
      <c r="Q21" s="67"/>
      <c r="R21" s="67"/>
      <c r="S21" s="67"/>
      <c r="T21" s="67"/>
      <c r="U21" s="67"/>
      <c r="V21" s="67"/>
      <c r="W21" s="67"/>
      <c r="X21" s="67"/>
      <c r="Y21" s="67"/>
      <c r="Z21" s="67"/>
      <c r="AA21" s="56"/>
    </row>
    <row r="22" spans="1:27" x14ac:dyDescent="0.25">
      <c r="A22" s="75"/>
      <c r="B22" s="67"/>
      <c r="C22" s="67"/>
      <c r="D22" s="67"/>
      <c r="E22" s="67"/>
      <c r="F22" s="67"/>
      <c r="G22" s="76" t="s">
        <v>459</v>
      </c>
      <c r="H22" s="120">
        <f>IF(H18="CCM",Lopt_2*10^6,L_DCM*10^6)</f>
        <v>0.20677749360613806</v>
      </c>
      <c r="I22" s="77" t="s">
        <v>542</v>
      </c>
      <c r="J22" s="67"/>
      <c r="K22" s="67"/>
      <c r="L22" s="67"/>
      <c r="M22" s="67"/>
      <c r="N22" s="67"/>
      <c r="O22" s="67"/>
      <c r="P22" s="67"/>
      <c r="Q22" s="67"/>
      <c r="R22" s="67"/>
      <c r="S22" s="67"/>
      <c r="T22" s="67"/>
      <c r="U22" s="67"/>
      <c r="V22" s="67"/>
      <c r="W22" s="67"/>
      <c r="X22" s="67"/>
      <c r="Y22" s="67"/>
      <c r="Z22" s="67"/>
      <c r="AA22" s="56"/>
    </row>
    <row r="23" spans="1:27" x14ac:dyDescent="0.25">
      <c r="A23" s="75"/>
      <c r="B23" s="67"/>
      <c r="C23" s="67"/>
      <c r="D23" s="67"/>
      <c r="E23" s="67"/>
      <c r="F23" s="67"/>
      <c r="G23" s="76" t="s">
        <v>460</v>
      </c>
      <c r="H23" s="117">
        <v>1</v>
      </c>
      <c r="I23" s="77" t="s">
        <v>542</v>
      </c>
      <c r="J23" s="67"/>
      <c r="K23" s="67"/>
      <c r="L23" s="67"/>
      <c r="M23" s="67"/>
      <c r="N23" s="67"/>
      <c r="O23" s="67"/>
      <c r="P23" s="67"/>
      <c r="Q23" s="67"/>
      <c r="R23" s="67"/>
      <c r="S23" s="67"/>
      <c r="T23" s="67"/>
      <c r="U23" s="67"/>
      <c r="V23" s="67"/>
      <c r="W23" s="67"/>
      <c r="X23" s="67"/>
      <c r="Y23" s="67"/>
      <c r="Z23" s="67"/>
      <c r="AA23" s="56"/>
    </row>
    <row r="24" spans="1:27" x14ac:dyDescent="0.25">
      <c r="A24" s="75"/>
      <c r="B24" s="67"/>
      <c r="C24" s="67"/>
      <c r="D24" s="67"/>
      <c r="E24" s="67"/>
      <c r="F24" s="67"/>
      <c r="G24" s="76" t="s">
        <v>81</v>
      </c>
      <c r="H24" s="117">
        <v>5</v>
      </c>
      <c r="I24" s="77" t="s">
        <v>105</v>
      </c>
      <c r="J24" s="67"/>
      <c r="K24" s="67"/>
      <c r="L24" s="67"/>
      <c r="M24" s="67"/>
      <c r="N24" s="67"/>
      <c r="O24" s="67"/>
      <c r="P24" s="67"/>
      <c r="Q24" s="67"/>
      <c r="R24" s="67"/>
      <c r="S24" s="67"/>
      <c r="T24" s="67"/>
      <c r="U24" s="67"/>
      <c r="V24" s="67"/>
      <c r="W24" s="67"/>
      <c r="X24" s="67"/>
      <c r="Y24" s="67"/>
      <c r="Z24" s="67"/>
      <c r="AA24" s="56"/>
    </row>
    <row r="25" spans="1:27" ht="15.75" thickBot="1" x14ac:dyDescent="0.3">
      <c r="A25" s="88"/>
      <c r="B25" s="83"/>
      <c r="C25" s="83"/>
      <c r="D25" s="83"/>
      <c r="E25" s="83"/>
      <c r="F25" s="83"/>
      <c r="G25" s="89" t="s">
        <v>106</v>
      </c>
      <c r="H25" s="121">
        <f>ILp_VINmin</f>
        <v>28.282479296066249</v>
      </c>
      <c r="I25" s="85" t="s">
        <v>11</v>
      </c>
      <c r="J25" s="67"/>
      <c r="K25" s="67"/>
      <c r="L25" s="67"/>
      <c r="M25" s="67"/>
      <c r="N25" s="67"/>
      <c r="O25" s="67"/>
      <c r="P25" s="67"/>
      <c r="Q25" s="67"/>
      <c r="R25" s="67"/>
      <c r="S25" s="67"/>
      <c r="T25" s="67"/>
      <c r="U25" s="67"/>
      <c r="V25" s="67"/>
      <c r="W25" s="67"/>
      <c r="X25" s="67"/>
      <c r="Y25" s="67"/>
      <c r="Z25" s="67"/>
      <c r="AA25" s="56"/>
    </row>
    <row r="26" spans="1:27" x14ac:dyDescent="0.25">
      <c r="A26" s="67"/>
      <c r="B26" s="67"/>
      <c r="C26" s="67"/>
      <c r="D26" s="67"/>
      <c r="E26" s="67"/>
      <c r="F26" s="67"/>
      <c r="G26" s="68"/>
      <c r="H26" s="67"/>
      <c r="I26" s="67"/>
      <c r="J26" s="67"/>
      <c r="K26" s="67"/>
      <c r="L26" s="67"/>
      <c r="M26" s="67"/>
      <c r="N26" s="67"/>
      <c r="O26" s="67"/>
      <c r="P26" s="67"/>
      <c r="Q26" s="67"/>
      <c r="R26" s="67"/>
      <c r="S26" s="67"/>
      <c r="T26" s="67"/>
      <c r="U26" s="67"/>
      <c r="V26" s="67"/>
      <c r="W26" s="67"/>
      <c r="X26" s="67"/>
      <c r="Y26" s="67"/>
      <c r="Z26" s="67"/>
      <c r="AA26" s="56"/>
    </row>
    <row r="27" spans="1:27" ht="15.75" thickBot="1" x14ac:dyDescent="0.3">
      <c r="A27" s="70" t="s">
        <v>127</v>
      </c>
      <c r="B27" s="67"/>
      <c r="C27" s="67"/>
      <c r="D27" s="67"/>
      <c r="E27" s="67"/>
      <c r="F27" s="67"/>
      <c r="G27" s="68"/>
      <c r="H27" s="67"/>
      <c r="I27" s="67"/>
      <c r="J27" s="67"/>
      <c r="K27" s="67"/>
      <c r="L27" s="67"/>
      <c r="M27" s="67"/>
      <c r="N27" s="67"/>
      <c r="O27" s="67"/>
      <c r="P27" s="67"/>
      <c r="Q27" s="67"/>
      <c r="R27" s="67"/>
      <c r="S27" s="67"/>
      <c r="T27" s="67"/>
      <c r="U27" s="67"/>
      <c r="V27" s="67"/>
      <c r="W27" s="67"/>
      <c r="X27" s="67"/>
      <c r="Y27" s="67"/>
      <c r="Z27" s="67"/>
      <c r="AA27" s="56"/>
    </row>
    <row r="28" spans="1:27" x14ac:dyDescent="0.25">
      <c r="A28" s="71"/>
      <c r="B28" s="72"/>
      <c r="C28" s="72"/>
      <c r="D28" s="72"/>
      <c r="E28" s="72"/>
      <c r="F28" s="72"/>
      <c r="G28" s="73" t="s">
        <v>488</v>
      </c>
      <c r="H28" s="116">
        <v>20</v>
      </c>
      <c r="I28" s="74" t="s">
        <v>13</v>
      </c>
      <c r="J28" s="67"/>
      <c r="K28" s="67"/>
      <c r="L28" s="67"/>
      <c r="M28" s="67"/>
      <c r="N28" s="67"/>
      <c r="O28" s="67"/>
      <c r="P28" s="67"/>
      <c r="Q28" s="67"/>
      <c r="R28" s="67"/>
      <c r="S28" s="67"/>
      <c r="T28" s="67"/>
      <c r="U28" s="67"/>
      <c r="V28" s="67"/>
      <c r="W28" s="67"/>
      <c r="X28" s="67"/>
      <c r="Y28" s="67"/>
      <c r="Z28" s="67"/>
      <c r="AA28" s="56"/>
    </row>
    <row r="29" spans="1:27" ht="18" x14ac:dyDescent="0.35">
      <c r="A29" s="75"/>
      <c r="B29" s="67"/>
      <c r="C29" s="67"/>
      <c r="D29" s="67"/>
      <c r="E29" s="67"/>
      <c r="F29" s="67"/>
      <c r="G29" s="68" t="s">
        <v>203</v>
      </c>
      <c r="H29" s="118">
        <f>Ipk_selected</f>
        <v>33.9389751552795</v>
      </c>
      <c r="I29" s="77" t="s">
        <v>11</v>
      </c>
      <c r="J29" s="67"/>
      <c r="K29" s="67"/>
      <c r="L29" s="67"/>
      <c r="M29" s="67"/>
      <c r="N29" s="67"/>
      <c r="O29" s="67"/>
      <c r="P29" s="67"/>
      <c r="Q29" s="67"/>
      <c r="R29" s="67"/>
      <c r="S29" s="67"/>
      <c r="T29" s="67"/>
      <c r="U29" s="67"/>
      <c r="V29" s="67"/>
      <c r="W29" s="67"/>
      <c r="X29" s="67"/>
      <c r="Y29" s="67"/>
      <c r="Z29" s="67"/>
      <c r="AA29" s="56"/>
    </row>
    <row r="30" spans="1:27" ht="18" x14ac:dyDescent="0.35">
      <c r="A30" s="75"/>
      <c r="B30" s="67"/>
      <c r="C30" s="67"/>
      <c r="D30" s="67"/>
      <c r="E30" s="67"/>
      <c r="F30" s="67"/>
      <c r="G30" s="68" t="s">
        <v>493</v>
      </c>
      <c r="H30" s="118">
        <f>Variable_Management!B135*1000</f>
        <v>2.9464649283743665</v>
      </c>
      <c r="I30" s="77" t="s">
        <v>105</v>
      </c>
      <c r="J30" s="67"/>
      <c r="K30" s="67"/>
      <c r="L30" s="67"/>
      <c r="M30" s="67"/>
      <c r="N30" s="67"/>
      <c r="O30" s="67"/>
      <c r="P30" s="67"/>
      <c r="Q30" s="67"/>
      <c r="R30" s="67"/>
      <c r="S30" s="67"/>
      <c r="T30" s="67"/>
      <c r="U30" s="67"/>
      <c r="V30" s="67"/>
      <c r="W30" s="67"/>
      <c r="X30" s="67"/>
      <c r="Y30" s="67"/>
      <c r="Z30" s="67"/>
      <c r="AA30" s="56"/>
    </row>
    <row r="31" spans="1:27" ht="18" x14ac:dyDescent="0.35">
      <c r="A31" s="75"/>
      <c r="B31" s="67"/>
      <c r="C31" s="67"/>
      <c r="D31" s="67"/>
      <c r="E31" s="67"/>
      <c r="F31" s="67"/>
      <c r="G31" s="68" t="s">
        <v>166</v>
      </c>
      <c r="H31" s="122">
        <f>Variable_Management!B136</f>
        <v>0</v>
      </c>
      <c r="I31" s="90" t="s">
        <v>36</v>
      </c>
      <c r="J31" s="67"/>
      <c r="K31" s="67"/>
      <c r="L31" s="67"/>
      <c r="M31" s="67"/>
      <c r="N31" s="67"/>
      <c r="O31" s="67"/>
      <c r="P31" s="67"/>
      <c r="Q31" s="67"/>
      <c r="R31" s="67"/>
      <c r="S31" s="67"/>
      <c r="T31" s="67"/>
      <c r="U31" s="67"/>
      <c r="V31" s="67"/>
      <c r="W31" s="67"/>
      <c r="X31" s="67"/>
      <c r="Y31" s="67"/>
      <c r="Z31" s="67"/>
      <c r="AA31" s="56"/>
    </row>
    <row r="32" spans="1:27" ht="18" x14ac:dyDescent="0.35">
      <c r="A32" s="75"/>
      <c r="B32" s="67"/>
      <c r="C32" s="67"/>
      <c r="D32" s="67"/>
      <c r="E32" s="67"/>
      <c r="F32" s="67"/>
      <c r="G32" s="68" t="s">
        <v>494</v>
      </c>
      <c r="H32" s="117">
        <v>3</v>
      </c>
      <c r="I32" s="77" t="s">
        <v>105</v>
      </c>
      <c r="J32" s="67"/>
      <c r="K32" s="67"/>
      <c r="L32" s="67"/>
      <c r="M32" s="67"/>
      <c r="N32" s="67"/>
      <c r="O32" s="67"/>
      <c r="P32" s="67"/>
      <c r="Q32" s="67"/>
      <c r="R32" s="67"/>
      <c r="S32" s="67"/>
      <c r="T32" s="67"/>
      <c r="U32" s="67"/>
      <c r="V32" s="67"/>
      <c r="W32" s="67"/>
      <c r="X32" s="67"/>
      <c r="Y32" s="67"/>
      <c r="Z32" s="67"/>
      <c r="AA32" s="56"/>
    </row>
    <row r="33" spans="1:27" ht="18" x14ac:dyDescent="0.35">
      <c r="A33" s="75"/>
      <c r="B33" s="67"/>
      <c r="C33" s="67"/>
      <c r="D33" s="67"/>
      <c r="E33" s="67"/>
      <c r="F33" s="67"/>
      <c r="G33" s="68" t="s">
        <v>169</v>
      </c>
      <c r="H33" s="117">
        <v>2100</v>
      </c>
      <c r="I33" s="90" t="s">
        <v>36</v>
      </c>
      <c r="J33" s="67"/>
      <c r="K33" s="67"/>
      <c r="L33" s="67"/>
      <c r="M33" s="67"/>
      <c r="N33" s="67"/>
      <c r="O33" s="67"/>
      <c r="P33" s="67"/>
      <c r="Q33" s="67"/>
      <c r="R33" s="67"/>
      <c r="S33" s="67"/>
      <c r="T33" s="67"/>
      <c r="U33" s="67"/>
      <c r="V33" s="67"/>
      <c r="W33" s="67"/>
      <c r="X33" s="67"/>
      <c r="Y33" s="67"/>
      <c r="Z33" s="67"/>
      <c r="AA33" s="56"/>
    </row>
    <row r="34" spans="1:27" x14ac:dyDescent="0.25">
      <c r="A34" s="75"/>
      <c r="B34" s="67"/>
      <c r="C34" s="67"/>
      <c r="D34" s="67"/>
      <c r="E34" s="67"/>
      <c r="F34" s="67"/>
      <c r="G34" s="68" t="s">
        <v>173</v>
      </c>
      <c r="H34" s="118">
        <f>IL_pk_max</f>
        <v>17.845833333333335</v>
      </c>
      <c r="I34" s="90" t="s">
        <v>11</v>
      </c>
      <c r="J34" s="67"/>
      <c r="K34" s="67"/>
      <c r="L34" s="67"/>
      <c r="M34" s="67"/>
      <c r="N34" s="67"/>
      <c r="O34" s="67"/>
      <c r="P34" s="67"/>
      <c r="Q34" s="67"/>
      <c r="R34" s="67"/>
      <c r="S34" s="67"/>
      <c r="T34" s="67"/>
      <c r="U34" s="67"/>
      <c r="V34" s="67"/>
      <c r="W34" s="67"/>
      <c r="X34" s="67"/>
      <c r="Y34" s="67"/>
      <c r="Z34" s="67"/>
      <c r="AA34" s="56"/>
    </row>
    <row r="35" spans="1:27" ht="15.75" thickBot="1" x14ac:dyDescent="0.3">
      <c r="A35" s="88"/>
      <c r="B35" s="83"/>
      <c r="C35" s="83"/>
      <c r="D35" s="83"/>
      <c r="E35" s="83"/>
      <c r="F35" s="83"/>
      <c r="G35" s="91" t="s">
        <v>191</v>
      </c>
      <c r="H35" s="123">
        <f>Variable_Management!B145</f>
        <v>20.522708333333334</v>
      </c>
      <c r="I35" s="92" t="s">
        <v>11</v>
      </c>
      <c r="J35" s="67"/>
      <c r="K35" s="67"/>
      <c r="L35" s="67"/>
      <c r="M35" s="67"/>
      <c r="N35" s="67"/>
      <c r="O35" s="67"/>
      <c r="P35" s="67"/>
      <c r="Q35" s="67"/>
      <c r="R35" s="67"/>
      <c r="S35" s="67"/>
      <c r="T35" s="67"/>
      <c r="U35" s="67"/>
      <c r="V35" s="67"/>
      <c r="W35" s="67"/>
      <c r="X35" s="67"/>
      <c r="Y35" s="67"/>
      <c r="Z35" s="67"/>
      <c r="AA35" s="56"/>
    </row>
    <row r="36" spans="1:27" x14ac:dyDescent="0.25">
      <c r="A36" s="67"/>
      <c r="B36" s="67"/>
      <c r="C36" s="67"/>
      <c r="D36" s="67"/>
      <c r="E36" s="67"/>
      <c r="F36" s="67"/>
      <c r="G36" s="68"/>
      <c r="H36" s="67"/>
      <c r="I36" s="67"/>
      <c r="J36" s="67"/>
      <c r="K36" s="67"/>
      <c r="L36" s="67"/>
      <c r="M36" s="67"/>
      <c r="N36" s="67"/>
      <c r="O36" s="67"/>
      <c r="P36" s="67"/>
      <c r="Q36" s="67"/>
      <c r="R36" s="67"/>
      <c r="S36" s="67"/>
      <c r="T36" s="67"/>
      <c r="U36" s="67"/>
      <c r="V36" s="67"/>
      <c r="W36" s="67"/>
      <c r="X36" s="67"/>
      <c r="Y36" s="67"/>
      <c r="Z36" s="67"/>
      <c r="AA36" s="56"/>
    </row>
    <row r="37" spans="1:27" ht="15.75" thickBot="1" x14ac:dyDescent="0.3">
      <c r="A37" s="70" t="s">
        <v>185</v>
      </c>
      <c r="B37" s="67"/>
      <c r="C37" s="67"/>
      <c r="D37" s="67"/>
      <c r="E37" s="67"/>
      <c r="F37" s="67"/>
      <c r="G37" s="68"/>
      <c r="H37" s="67"/>
      <c r="I37" s="67"/>
      <c r="J37" s="67"/>
      <c r="K37" s="67"/>
      <c r="L37" s="67"/>
      <c r="M37" s="67"/>
      <c r="N37" s="67"/>
      <c r="O37" s="67"/>
      <c r="P37" s="67"/>
      <c r="Q37" s="67"/>
      <c r="R37" s="67"/>
      <c r="S37" s="67"/>
      <c r="T37" s="67"/>
      <c r="U37" s="67"/>
      <c r="V37" s="67"/>
      <c r="W37" s="67"/>
      <c r="X37" s="67"/>
      <c r="Y37" s="67"/>
      <c r="Z37" s="67"/>
      <c r="AA37" s="56"/>
    </row>
    <row r="38" spans="1:27" ht="18" x14ac:dyDescent="0.35">
      <c r="A38" s="71"/>
      <c r="B38" s="72"/>
      <c r="C38" s="72"/>
      <c r="D38" s="72"/>
      <c r="E38" s="72"/>
      <c r="F38" s="72"/>
      <c r="G38" s="93" t="s">
        <v>541</v>
      </c>
      <c r="H38" s="116">
        <v>100</v>
      </c>
      <c r="I38" s="74" t="s">
        <v>186</v>
      </c>
      <c r="J38" s="67"/>
      <c r="K38" s="67"/>
      <c r="L38" s="67"/>
      <c r="M38" s="67"/>
      <c r="N38" s="67"/>
      <c r="O38" s="67"/>
      <c r="P38" s="67"/>
      <c r="Q38" s="67"/>
      <c r="R38" s="67"/>
      <c r="S38" s="67"/>
      <c r="T38" s="67"/>
      <c r="U38" s="67"/>
      <c r="V38" s="67"/>
      <c r="W38" s="67"/>
      <c r="X38" s="67"/>
      <c r="Y38" s="67"/>
      <c r="Z38" s="67"/>
      <c r="AA38" s="56"/>
    </row>
    <row r="39" spans="1:27" x14ac:dyDescent="0.25">
      <c r="A39" s="75"/>
      <c r="B39" s="67"/>
      <c r="C39" s="67"/>
      <c r="D39" s="67"/>
      <c r="E39" s="67"/>
      <c r="F39" s="67"/>
      <c r="G39" s="68" t="s">
        <v>187</v>
      </c>
      <c r="H39" s="143">
        <f>Cout_min*10^6</f>
        <v>69.293478260869563</v>
      </c>
      <c r="I39" s="77" t="s">
        <v>543</v>
      </c>
      <c r="J39" s="67"/>
      <c r="K39" s="67"/>
      <c r="L39" s="67"/>
      <c r="M39" s="67"/>
      <c r="N39" s="67"/>
      <c r="O39" s="67"/>
      <c r="P39" s="67"/>
      <c r="Q39" s="67"/>
      <c r="R39" s="67"/>
      <c r="S39" s="67"/>
      <c r="T39" s="67"/>
      <c r="U39" s="67"/>
      <c r="V39" s="67"/>
      <c r="W39" s="67"/>
      <c r="X39" s="67"/>
      <c r="Y39" s="67"/>
      <c r="Z39" s="67"/>
      <c r="AA39" s="56"/>
    </row>
    <row r="40" spans="1:27" ht="18" x14ac:dyDescent="0.35">
      <c r="A40" s="75"/>
      <c r="B40" s="67"/>
      <c r="C40" s="67"/>
      <c r="D40" s="67"/>
      <c r="E40" s="67"/>
      <c r="F40" s="67"/>
      <c r="G40" s="68" t="s">
        <v>195</v>
      </c>
      <c r="H40" s="118">
        <f>IRMS_COUT</f>
        <v>9.7232610942757383</v>
      </c>
      <c r="I40" s="77" t="s">
        <v>11</v>
      </c>
      <c r="J40" s="67"/>
      <c r="K40" s="67"/>
      <c r="L40" s="67"/>
      <c r="M40" s="67"/>
      <c r="N40" s="67"/>
      <c r="O40" s="67"/>
      <c r="P40" s="67"/>
      <c r="Q40" s="67"/>
      <c r="R40" s="67"/>
      <c r="S40" s="67"/>
      <c r="T40" s="67"/>
      <c r="U40" s="67"/>
      <c r="V40" s="67"/>
      <c r="W40" s="67"/>
      <c r="X40" s="67"/>
      <c r="Y40" s="67"/>
      <c r="Z40" s="67"/>
      <c r="AA40" s="56"/>
    </row>
    <row r="41" spans="1:27" ht="18" x14ac:dyDescent="0.35">
      <c r="A41" s="75"/>
      <c r="B41" s="67"/>
      <c r="C41" s="67"/>
      <c r="D41" s="67"/>
      <c r="E41" s="67"/>
      <c r="F41" s="67"/>
      <c r="G41" s="68" t="s">
        <v>188</v>
      </c>
      <c r="H41" s="117">
        <v>200</v>
      </c>
      <c r="I41" s="77" t="s">
        <v>543</v>
      </c>
      <c r="J41" s="67"/>
      <c r="K41" s="67"/>
      <c r="L41" s="67"/>
      <c r="M41" s="67"/>
      <c r="N41" s="67"/>
      <c r="O41" s="67"/>
      <c r="P41" s="67"/>
      <c r="Q41" s="67"/>
      <c r="R41" s="67"/>
      <c r="S41" s="67"/>
      <c r="T41" s="67"/>
      <c r="U41" s="67"/>
      <c r="V41" s="67"/>
      <c r="W41" s="67"/>
      <c r="X41" s="67"/>
      <c r="Y41" s="67"/>
      <c r="Z41" s="67"/>
      <c r="AA41" s="56"/>
    </row>
    <row r="42" spans="1:27" ht="18.75" thickBot="1" x14ac:dyDescent="0.4">
      <c r="A42" s="88"/>
      <c r="B42" s="83"/>
      <c r="C42" s="83"/>
      <c r="D42" s="83"/>
      <c r="E42" s="83"/>
      <c r="F42" s="83"/>
      <c r="G42" s="91" t="s">
        <v>198</v>
      </c>
      <c r="H42" s="124">
        <v>2</v>
      </c>
      <c r="I42" s="85" t="s">
        <v>105</v>
      </c>
      <c r="J42" s="67"/>
      <c r="K42" s="67"/>
      <c r="L42" s="67"/>
      <c r="M42" s="67"/>
      <c r="N42" s="67"/>
      <c r="O42" s="67"/>
      <c r="P42" s="67"/>
      <c r="Q42" s="67"/>
      <c r="R42" s="67"/>
      <c r="S42" s="67"/>
      <c r="T42" s="67"/>
      <c r="U42" s="67"/>
      <c r="V42" s="67"/>
      <c r="W42" s="67"/>
      <c r="X42" s="67"/>
      <c r="Y42" s="67"/>
      <c r="Z42" s="67"/>
      <c r="AA42" s="56"/>
    </row>
    <row r="43" spans="1:27" x14ac:dyDescent="0.25">
      <c r="A43" s="67"/>
      <c r="B43" s="67"/>
      <c r="C43" s="67"/>
      <c r="D43" s="67"/>
      <c r="E43" s="67"/>
      <c r="F43" s="67"/>
      <c r="G43" s="68"/>
      <c r="H43" s="67"/>
      <c r="I43" s="67"/>
      <c r="J43" s="67"/>
      <c r="K43" s="67"/>
      <c r="L43" s="67"/>
      <c r="M43" s="67"/>
      <c r="N43" s="67"/>
      <c r="O43" s="67"/>
      <c r="P43" s="67"/>
      <c r="Q43" s="67"/>
      <c r="R43" s="67"/>
      <c r="S43" s="67"/>
      <c r="T43" s="67"/>
      <c r="U43" s="67"/>
      <c r="V43" s="67"/>
      <c r="W43" s="67"/>
      <c r="X43" s="67"/>
      <c r="Y43" s="67"/>
      <c r="Z43" s="67"/>
      <c r="AA43" s="56"/>
    </row>
    <row r="44" spans="1:27" ht="15.75" thickBot="1" x14ac:dyDescent="0.3">
      <c r="A44" s="70" t="s">
        <v>319</v>
      </c>
      <c r="B44" s="67"/>
      <c r="C44" s="67"/>
      <c r="D44" s="67"/>
      <c r="E44" s="67"/>
      <c r="F44" s="67"/>
      <c r="G44" s="68"/>
      <c r="H44" s="67"/>
      <c r="I44" s="67"/>
      <c r="J44" s="67"/>
      <c r="K44" s="67"/>
      <c r="L44" s="67"/>
      <c r="M44" s="67"/>
      <c r="N44" s="67"/>
      <c r="O44" s="67"/>
      <c r="P44" s="67"/>
      <c r="Q44" s="67"/>
      <c r="R44" s="67"/>
      <c r="S44" s="67"/>
      <c r="T44" s="67"/>
      <c r="U44" s="67"/>
      <c r="V44" s="67"/>
      <c r="W44" s="67"/>
      <c r="X44" s="67"/>
      <c r="Y44" s="67"/>
      <c r="Z44" s="67"/>
      <c r="AA44" s="56"/>
    </row>
    <row r="45" spans="1:27" ht="18" x14ac:dyDescent="0.35">
      <c r="A45" s="71"/>
      <c r="B45" s="72"/>
      <c r="C45" s="72"/>
      <c r="D45" s="72"/>
      <c r="E45" s="72"/>
      <c r="F45" s="72"/>
      <c r="G45" s="93" t="s">
        <v>342</v>
      </c>
      <c r="H45" s="126">
        <f>Variable_Management!B161*(10^9)</f>
        <v>6.2745098039215685</v>
      </c>
      <c r="I45" s="74" t="s">
        <v>218</v>
      </c>
      <c r="J45" s="67"/>
      <c r="K45" s="67"/>
      <c r="L45" s="67"/>
      <c r="M45" s="67"/>
      <c r="N45" s="67"/>
      <c r="O45" s="67"/>
      <c r="P45" s="67"/>
      <c r="Q45" s="67"/>
      <c r="R45" s="67"/>
      <c r="S45" s="67"/>
      <c r="T45" s="67"/>
      <c r="U45" s="67"/>
      <c r="V45" s="67"/>
      <c r="W45" s="67"/>
      <c r="X45" s="67"/>
      <c r="Y45" s="67"/>
      <c r="Z45" s="67"/>
      <c r="AA45" s="56"/>
    </row>
    <row r="46" spans="1:27" ht="18" x14ac:dyDescent="0.35">
      <c r="A46" s="75"/>
      <c r="B46" s="67"/>
      <c r="C46" s="67"/>
      <c r="D46" s="67"/>
      <c r="E46" s="67"/>
      <c r="F46" s="67"/>
      <c r="G46" s="68" t="s">
        <v>529</v>
      </c>
      <c r="H46" s="117">
        <v>20</v>
      </c>
      <c r="I46" s="77" t="s">
        <v>343</v>
      </c>
      <c r="J46" s="67"/>
      <c r="K46" s="67"/>
      <c r="L46" s="67"/>
      <c r="M46" s="67"/>
      <c r="N46" s="67"/>
      <c r="O46" s="67"/>
      <c r="P46" s="67"/>
      <c r="Q46" s="67"/>
      <c r="R46" s="67"/>
      <c r="S46" s="67"/>
      <c r="T46" s="67"/>
      <c r="U46" s="67"/>
      <c r="V46" s="67"/>
      <c r="W46" s="67"/>
      <c r="X46" s="67"/>
      <c r="Y46" s="67"/>
      <c r="Z46" s="67"/>
      <c r="AA46" s="56"/>
    </row>
    <row r="47" spans="1:27" ht="18.75" thickBot="1" x14ac:dyDescent="0.4">
      <c r="A47" s="88"/>
      <c r="B47" s="83"/>
      <c r="C47" s="83"/>
      <c r="D47" s="83"/>
      <c r="E47" s="83"/>
      <c r="F47" s="83"/>
      <c r="G47" s="91" t="s">
        <v>346</v>
      </c>
      <c r="H47" s="127">
        <f>Variable_Management!B163*(10^9)</f>
        <v>255.99999999999997</v>
      </c>
      <c r="I47" s="85" t="s">
        <v>218</v>
      </c>
      <c r="J47" s="67"/>
      <c r="K47" s="67"/>
      <c r="L47" s="67"/>
      <c r="M47" s="67"/>
      <c r="N47" s="67"/>
      <c r="O47" s="67"/>
      <c r="P47" s="67"/>
      <c r="Q47" s="67"/>
      <c r="R47" s="67"/>
      <c r="S47" s="67"/>
      <c r="T47" s="67"/>
      <c r="U47" s="67"/>
      <c r="V47" s="67"/>
      <c r="W47" s="67"/>
      <c r="X47" s="67"/>
      <c r="Y47" s="67"/>
      <c r="Z47" s="67"/>
      <c r="AA47" s="56"/>
    </row>
    <row r="48" spans="1:27" x14ac:dyDescent="0.25">
      <c r="A48" s="67"/>
      <c r="B48" s="67"/>
      <c r="C48" s="67"/>
      <c r="D48" s="67"/>
      <c r="E48" s="67"/>
      <c r="F48" s="67"/>
      <c r="G48" s="68"/>
      <c r="H48" s="67"/>
      <c r="I48" s="67"/>
      <c r="J48" s="67"/>
      <c r="K48" s="67"/>
      <c r="L48" s="67"/>
      <c r="M48" s="67"/>
      <c r="N48" s="67"/>
      <c r="O48" s="67"/>
      <c r="P48" s="67"/>
      <c r="Q48" s="67"/>
      <c r="R48" s="67"/>
      <c r="S48" s="67"/>
      <c r="T48" s="67"/>
      <c r="U48" s="67"/>
      <c r="V48" s="67"/>
      <c r="W48" s="67"/>
      <c r="X48" s="67"/>
      <c r="Y48" s="67"/>
      <c r="Z48" s="67"/>
      <c r="AA48" s="56"/>
    </row>
    <row r="49" spans="1:27" ht="15.75" thickBot="1" x14ac:dyDescent="0.3">
      <c r="A49" s="70" t="s">
        <v>320</v>
      </c>
      <c r="B49" s="67"/>
      <c r="C49" s="67"/>
      <c r="D49" s="67"/>
      <c r="E49" s="67"/>
      <c r="F49" s="67"/>
      <c r="G49" s="68"/>
      <c r="H49" s="67"/>
      <c r="I49" s="67"/>
      <c r="J49" s="67"/>
      <c r="K49" s="67"/>
      <c r="L49" s="67"/>
      <c r="M49" s="67"/>
      <c r="N49" s="67"/>
      <c r="O49" s="67"/>
      <c r="P49" s="67"/>
      <c r="Q49" s="67"/>
      <c r="R49" s="67"/>
      <c r="S49" s="67"/>
      <c r="T49" s="67"/>
      <c r="U49" s="67"/>
      <c r="V49" s="67"/>
      <c r="W49" s="67"/>
      <c r="X49" s="67"/>
      <c r="Y49" s="67"/>
      <c r="Z49" s="67"/>
      <c r="AA49" s="56"/>
    </row>
    <row r="50" spans="1:27" ht="18" x14ac:dyDescent="0.35">
      <c r="A50" s="71"/>
      <c r="B50" s="72"/>
      <c r="C50" s="72"/>
      <c r="D50" s="72"/>
      <c r="E50" s="72"/>
      <c r="F50" s="72"/>
      <c r="G50" s="93" t="s">
        <v>348</v>
      </c>
      <c r="H50" s="116">
        <v>5.8</v>
      </c>
      <c r="I50" s="74" t="s">
        <v>10</v>
      </c>
      <c r="J50" s="67"/>
      <c r="K50" s="67"/>
      <c r="L50" s="67"/>
      <c r="M50" s="67"/>
      <c r="N50" s="67"/>
      <c r="O50" s="67"/>
      <c r="P50" s="67"/>
      <c r="Q50" s="67"/>
      <c r="R50" s="67"/>
      <c r="S50" s="67"/>
      <c r="T50" s="67"/>
      <c r="U50" s="67"/>
      <c r="V50" s="67"/>
      <c r="W50" s="67"/>
      <c r="X50" s="67"/>
      <c r="Y50" s="67"/>
      <c r="Z50" s="67"/>
      <c r="AA50" s="56"/>
    </row>
    <row r="51" spans="1:27" ht="18" x14ac:dyDescent="0.35">
      <c r="A51" s="75"/>
      <c r="B51" s="67"/>
      <c r="C51" s="67"/>
      <c r="D51" s="67"/>
      <c r="E51" s="67"/>
      <c r="F51" s="67"/>
      <c r="G51" s="68" t="s">
        <v>347</v>
      </c>
      <c r="H51" s="117">
        <v>5.4</v>
      </c>
      <c r="I51" s="77" t="s">
        <v>10</v>
      </c>
      <c r="J51" s="67"/>
      <c r="K51" s="67"/>
      <c r="L51" s="67"/>
      <c r="M51" s="67"/>
      <c r="N51" s="67"/>
      <c r="O51" s="67"/>
      <c r="P51" s="67"/>
      <c r="Q51" s="115">
        <f>VIN_min</f>
        <v>3.5</v>
      </c>
      <c r="R51" s="67"/>
      <c r="S51" s="67"/>
      <c r="T51" s="67"/>
      <c r="U51" s="67"/>
      <c r="V51" s="67"/>
      <c r="W51" s="67"/>
      <c r="X51" s="67"/>
      <c r="Y51" s="67"/>
      <c r="Z51" s="67"/>
      <c r="AA51" s="56"/>
    </row>
    <row r="52" spans="1:27" ht="18" x14ac:dyDescent="0.35">
      <c r="A52" s="75"/>
      <c r="B52" s="67"/>
      <c r="C52" s="67"/>
      <c r="D52" s="67"/>
      <c r="E52" s="67"/>
      <c r="F52" s="67"/>
      <c r="G52" s="68" t="s">
        <v>463</v>
      </c>
      <c r="H52" s="125">
        <f>Ruvlo_top_calc/1000</f>
        <v>41.719999999999942</v>
      </c>
      <c r="I52" s="90" t="s">
        <v>215</v>
      </c>
      <c r="J52" s="67"/>
      <c r="K52" s="67"/>
      <c r="L52" s="67"/>
      <c r="M52" s="67"/>
      <c r="N52" s="67"/>
      <c r="O52" s="67"/>
      <c r="P52" s="67"/>
      <c r="Q52" s="67"/>
      <c r="R52" s="67"/>
      <c r="S52" s="67"/>
      <c r="T52" s="67"/>
      <c r="U52" s="67"/>
      <c r="V52" s="67"/>
      <c r="W52" s="67"/>
      <c r="X52" s="67"/>
      <c r="Y52" s="67"/>
      <c r="Z52" s="67"/>
      <c r="AA52" s="56"/>
    </row>
    <row r="53" spans="1:27" ht="18" x14ac:dyDescent="0.35">
      <c r="A53" s="75"/>
      <c r="B53" s="67"/>
      <c r="C53" s="67"/>
      <c r="D53" s="67"/>
      <c r="E53" s="67"/>
      <c r="F53" s="67"/>
      <c r="G53" s="68" t="s">
        <v>464</v>
      </c>
      <c r="H53" s="117">
        <v>21</v>
      </c>
      <c r="I53" s="90" t="s">
        <v>215</v>
      </c>
      <c r="J53" s="67"/>
      <c r="K53" s="67"/>
      <c r="L53" s="67"/>
      <c r="M53" s="67"/>
      <c r="N53" s="67"/>
      <c r="O53" s="67"/>
      <c r="P53" s="67"/>
      <c r="Q53" s="67"/>
      <c r="R53" s="67"/>
      <c r="S53" s="67"/>
      <c r="T53" s="67"/>
      <c r="U53" s="67"/>
      <c r="V53" s="67"/>
      <c r="W53" s="67"/>
      <c r="X53" s="67"/>
      <c r="Y53" s="67"/>
      <c r="Z53" s="67"/>
      <c r="AA53" s="56"/>
    </row>
    <row r="54" spans="1:27" ht="18.75" thickBot="1" x14ac:dyDescent="0.4">
      <c r="A54" s="88"/>
      <c r="B54" s="83"/>
      <c r="C54" s="83"/>
      <c r="D54" s="83"/>
      <c r="E54" s="83"/>
      <c r="F54" s="83"/>
      <c r="G54" s="91" t="s">
        <v>465</v>
      </c>
      <c r="H54" s="219">
        <f>IF(Ruvlo_bottom_calc/1000=0,"NA",Ruvlo_bottom_calc/1000)</f>
        <v>7.3255813953488378</v>
      </c>
      <c r="I54" s="92" t="s">
        <v>215</v>
      </c>
      <c r="J54" s="67"/>
      <c r="K54" s="67"/>
      <c r="L54" s="67"/>
      <c r="M54" s="67"/>
      <c r="N54" s="67"/>
      <c r="O54" s="67"/>
      <c r="P54" s="67"/>
      <c r="Q54" s="67"/>
      <c r="R54" s="67"/>
      <c r="S54" s="67"/>
      <c r="T54" s="67"/>
      <c r="U54" s="67"/>
      <c r="V54" s="67"/>
      <c r="W54" s="67"/>
      <c r="X54" s="67"/>
      <c r="Y54" s="67"/>
      <c r="Z54" s="67"/>
      <c r="AA54" s="56"/>
    </row>
    <row r="55" spans="1:27" x14ac:dyDescent="0.25">
      <c r="A55" s="67"/>
      <c r="B55" s="67"/>
      <c r="C55" s="67"/>
      <c r="D55" s="67"/>
      <c r="E55" s="67"/>
      <c r="F55" s="67"/>
      <c r="G55" s="68"/>
      <c r="H55" s="67"/>
      <c r="I55" s="67"/>
      <c r="J55" s="67"/>
      <c r="K55" s="67"/>
      <c r="L55" s="67"/>
      <c r="M55" s="67"/>
      <c r="N55" s="67"/>
      <c r="O55" s="67"/>
      <c r="P55" s="67"/>
      <c r="Q55" s="67"/>
      <c r="R55" s="67"/>
      <c r="S55" s="67"/>
      <c r="T55" s="67"/>
      <c r="U55" s="67"/>
      <c r="V55" s="67"/>
      <c r="W55" s="67"/>
      <c r="X55" s="67"/>
      <c r="Y55" s="67"/>
      <c r="Z55" s="67"/>
      <c r="AA55" s="56"/>
    </row>
    <row r="56" spans="1:27" ht="15.75" thickBot="1" x14ac:dyDescent="0.3">
      <c r="A56" s="70" t="s">
        <v>371</v>
      </c>
      <c r="B56" s="67"/>
      <c r="C56" s="67"/>
      <c r="D56" s="67"/>
      <c r="E56" s="67"/>
      <c r="F56" s="67"/>
      <c r="G56" s="67"/>
      <c r="H56" s="67"/>
      <c r="I56" s="67"/>
      <c r="J56" s="67"/>
      <c r="K56" s="67"/>
      <c r="L56" s="67"/>
      <c r="M56" s="67"/>
      <c r="N56" s="67"/>
      <c r="O56" s="67"/>
      <c r="P56" s="67"/>
      <c r="Q56" s="67"/>
      <c r="R56" s="67"/>
      <c r="S56" s="67"/>
      <c r="T56" s="67"/>
      <c r="U56" s="67"/>
      <c r="V56" s="67"/>
      <c r="W56" s="67"/>
      <c r="X56" s="67"/>
      <c r="Y56" s="67"/>
      <c r="Z56" s="67"/>
      <c r="AA56" s="56"/>
    </row>
    <row r="57" spans="1:27" ht="18" x14ac:dyDescent="0.35">
      <c r="A57" s="94"/>
      <c r="B57" s="72"/>
      <c r="C57" s="72"/>
      <c r="D57" s="72"/>
      <c r="E57" s="72"/>
      <c r="F57" s="72"/>
      <c r="G57" s="95" t="s">
        <v>489</v>
      </c>
      <c r="H57" s="128" t="str">
        <f>VIN_nom&amp;"V"</f>
        <v>3.8V</v>
      </c>
      <c r="I57" s="74"/>
      <c r="J57" s="67"/>
      <c r="K57" s="67"/>
      <c r="L57" s="67"/>
      <c r="M57" s="67"/>
      <c r="N57" s="67"/>
      <c r="O57" s="67"/>
      <c r="P57" s="67"/>
      <c r="Q57" s="67"/>
      <c r="R57" s="67"/>
      <c r="S57" s="67"/>
      <c r="T57" s="67"/>
      <c r="U57" s="67"/>
      <c r="V57" s="67"/>
      <c r="W57" s="67"/>
      <c r="X57" s="67"/>
      <c r="Y57" s="67"/>
      <c r="Z57" s="67"/>
      <c r="AA57" s="56"/>
    </row>
    <row r="58" spans="1:27" x14ac:dyDescent="0.25">
      <c r="A58" s="75"/>
      <c r="B58" s="67"/>
      <c r="C58" s="67"/>
      <c r="D58" s="67"/>
      <c r="E58" s="67"/>
      <c r="F58" s="67"/>
      <c r="G58" s="67"/>
      <c r="H58" s="129"/>
      <c r="I58" s="77"/>
      <c r="J58" s="67"/>
      <c r="K58" s="67"/>
      <c r="L58" s="67"/>
      <c r="M58" s="67"/>
      <c r="N58" s="67"/>
      <c r="O58" s="67"/>
      <c r="P58" s="67"/>
      <c r="Q58" s="67"/>
      <c r="R58" s="67"/>
      <c r="S58" s="67"/>
      <c r="T58" s="67"/>
      <c r="U58" s="67"/>
      <c r="V58" s="67"/>
      <c r="W58" s="67"/>
      <c r="X58" s="67"/>
      <c r="Y58" s="67"/>
      <c r="Z58" s="67"/>
      <c r="AA58" s="56"/>
    </row>
    <row r="59" spans="1:27" x14ac:dyDescent="0.25">
      <c r="A59" s="96"/>
      <c r="B59" s="67"/>
      <c r="C59" s="67"/>
      <c r="D59" s="67"/>
      <c r="E59" s="67"/>
      <c r="F59" s="67"/>
      <c r="G59" s="97" t="s">
        <v>216</v>
      </c>
      <c r="H59" s="119"/>
      <c r="I59" s="77"/>
      <c r="J59" s="67"/>
      <c r="K59" s="67"/>
      <c r="L59" s="67"/>
      <c r="M59" s="67"/>
      <c r="N59" s="67"/>
      <c r="O59" s="67"/>
      <c r="P59" s="67"/>
      <c r="Q59" s="67"/>
      <c r="R59" s="67"/>
      <c r="S59" s="67"/>
      <c r="T59" s="67"/>
      <c r="U59" s="67"/>
      <c r="V59" s="67"/>
      <c r="W59" s="67"/>
      <c r="X59" s="67"/>
      <c r="Y59" s="67"/>
      <c r="Z59" s="67"/>
      <c r="AA59" s="56"/>
    </row>
    <row r="60" spans="1:27" ht="18" x14ac:dyDescent="0.35">
      <c r="A60" s="96"/>
      <c r="B60" s="67"/>
      <c r="C60" s="67"/>
      <c r="D60" s="67"/>
      <c r="E60" s="67"/>
      <c r="F60" s="67"/>
      <c r="G60" s="68" t="s">
        <v>318</v>
      </c>
      <c r="H60" s="117">
        <v>47</v>
      </c>
      <c r="I60" s="90" t="s">
        <v>215</v>
      </c>
      <c r="J60" s="67"/>
      <c r="K60" s="67"/>
      <c r="L60" s="67"/>
      <c r="M60" s="67"/>
      <c r="N60" s="67"/>
      <c r="O60" s="67"/>
      <c r="P60" s="67"/>
      <c r="Q60" s="67"/>
      <c r="R60" s="67"/>
      <c r="S60" s="67"/>
      <c r="T60" s="67"/>
      <c r="U60" s="67"/>
      <c r="V60" s="67"/>
      <c r="W60" s="67"/>
      <c r="X60" s="67"/>
      <c r="Y60" s="67"/>
      <c r="Z60" s="67"/>
      <c r="AA60" s="56"/>
    </row>
    <row r="61" spans="1:27" ht="18" x14ac:dyDescent="0.35">
      <c r="A61" s="96"/>
      <c r="B61" s="67"/>
      <c r="C61" s="67"/>
      <c r="D61" s="67"/>
      <c r="E61" s="67"/>
      <c r="F61" s="67"/>
      <c r="G61" s="68" t="s">
        <v>294</v>
      </c>
      <c r="H61" s="125">
        <f>RFBB_calc/1000</f>
        <v>3.1333333333333333</v>
      </c>
      <c r="I61" s="90" t="s">
        <v>215</v>
      </c>
      <c r="J61" s="67"/>
      <c r="K61" s="67"/>
      <c r="L61" s="67"/>
      <c r="M61" s="67"/>
      <c r="N61" s="67"/>
      <c r="O61" s="67"/>
      <c r="P61" s="67"/>
      <c r="Q61" s="67"/>
      <c r="R61" s="67"/>
      <c r="S61" s="67"/>
      <c r="T61" s="67"/>
      <c r="U61" s="67"/>
      <c r="V61" s="67"/>
      <c r="W61" s="67"/>
      <c r="X61" s="67"/>
      <c r="Y61" s="67"/>
      <c r="Z61" s="67"/>
      <c r="AA61" s="56"/>
    </row>
    <row r="62" spans="1:27" ht="18" x14ac:dyDescent="0.35">
      <c r="A62" s="96"/>
      <c r="B62" s="67"/>
      <c r="C62" s="67"/>
      <c r="D62" s="67"/>
      <c r="E62" s="67"/>
      <c r="F62" s="67"/>
      <c r="G62" s="68" t="s">
        <v>530</v>
      </c>
      <c r="H62" s="117">
        <v>2</v>
      </c>
      <c r="I62" s="90" t="s">
        <v>215</v>
      </c>
      <c r="J62" s="67"/>
      <c r="K62" s="67"/>
      <c r="L62" s="67"/>
      <c r="M62" s="67"/>
      <c r="N62" s="67"/>
      <c r="O62" s="67"/>
      <c r="P62" s="67"/>
      <c r="Q62" s="67"/>
      <c r="R62" s="67"/>
      <c r="S62" s="67"/>
      <c r="T62" s="67"/>
      <c r="U62" s="67"/>
      <c r="V62" s="67"/>
      <c r="W62" s="67"/>
      <c r="X62" s="67"/>
      <c r="Y62" s="67"/>
      <c r="Z62" s="67"/>
      <c r="AA62" s="56"/>
    </row>
    <row r="63" spans="1:27" x14ac:dyDescent="0.25">
      <c r="A63" s="75"/>
      <c r="B63" s="67"/>
      <c r="C63" s="67"/>
      <c r="D63" s="67"/>
      <c r="E63" s="67"/>
      <c r="F63" s="67"/>
      <c r="G63" s="68"/>
      <c r="H63" s="119"/>
      <c r="I63" s="77"/>
      <c r="J63" s="67"/>
      <c r="K63" s="67"/>
      <c r="L63" s="67"/>
      <c r="M63" s="67"/>
      <c r="N63" s="67"/>
      <c r="O63" s="67"/>
      <c r="P63" s="67"/>
      <c r="Q63" s="67"/>
      <c r="R63" s="67"/>
      <c r="S63" s="67"/>
      <c r="T63" s="67"/>
      <c r="U63" s="67"/>
      <c r="V63" s="67"/>
      <c r="W63" s="67"/>
      <c r="X63" s="67"/>
      <c r="Y63" s="67"/>
      <c r="Z63" s="67"/>
      <c r="AA63" s="56"/>
    </row>
    <row r="64" spans="1:27" x14ac:dyDescent="0.25">
      <c r="A64" s="75"/>
      <c r="B64" s="67"/>
      <c r="C64" s="67"/>
      <c r="D64" s="67"/>
      <c r="E64" s="67"/>
      <c r="F64" s="67"/>
      <c r="G64" s="68"/>
      <c r="H64" s="119"/>
      <c r="I64" s="77"/>
      <c r="J64" s="67"/>
      <c r="K64" s="67"/>
      <c r="L64" s="67"/>
      <c r="M64" s="67"/>
      <c r="N64" s="67"/>
      <c r="O64" s="67"/>
      <c r="P64" s="67"/>
      <c r="Q64" s="67"/>
      <c r="R64" s="67"/>
      <c r="S64" s="67"/>
      <c r="T64" s="67"/>
      <c r="U64" s="67"/>
      <c r="V64" s="67"/>
      <c r="W64" s="67"/>
      <c r="X64" s="67"/>
      <c r="Y64" s="67"/>
      <c r="Z64" s="67"/>
      <c r="AA64" s="56"/>
    </row>
    <row r="65" spans="1:27" x14ac:dyDescent="0.25">
      <c r="A65" s="75"/>
      <c r="B65" s="67"/>
      <c r="C65" s="67"/>
      <c r="D65" s="67"/>
      <c r="E65" s="67"/>
      <c r="F65" s="67"/>
      <c r="G65" s="68" t="s">
        <v>550</v>
      </c>
      <c r="H65" s="220">
        <f>fcross_est/1000</f>
        <v>4.7785491492051912</v>
      </c>
      <c r="I65" s="77" t="s">
        <v>12</v>
      </c>
      <c r="J65" s="67"/>
      <c r="K65" s="67"/>
      <c r="L65" s="67"/>
      <c r="M65" s="67"/>
      <c r="N65" s="67"/>
      <c r="O65" s="67"/>
      <c r="P65" s="67"/>
      <c r="Q65" s="67"/>
      <c r="R65" s="67"/>
      <c r="S65" s="67"/>
      <c r="T65" s="67"/>
      <c r="U65" s="67"/>
      <c r="V65" s="67"/>
      <c r="W65" s="67"/>
      <c r="X65" s="67"/>
      <c r="Y65" s="67"/>
      <c r="Z65" s="67"/>
      <c r="AA65" s="56"/>
    </row>
    <row r="66" spans="1:27" ht="18" x14ac:dyDescent="0.35">
      <c r="A66" s="75"/>
      <c r="B66" s="67"/>
      <c r="C66" s="67"/>
      <c r="D66" s="67"/>
      <c r="E66" s="67"/>
      <c r="F66" s="67"/>
      <c r="G66" s="68" t="s">
        <v>551</v>
      </c>
      <c r="H66" s="117">
        <v>3.5</v>
      </c>
      <c r="I66" s="77" t="s">
        <v>12</v>
      </c>
      <c r="J66" s="67"/>
      <c r="K66" s="67"/>
      <c r="L66" s="67"/>
      <c r="M66" s="67"/>
      <c r="N66" s="67"/>
      <c r="O66" s="67"/>
      <c r="P66" s="67"/>
      <c r="Q66" s="67"/>
      <c r="R66" s="67"/>
      <c r="S66" s="67"/>
      <c r="T66" s="67"/>
      <c r="U66" s="67"/>
      <c r="V66" s="67"/>
      <c r="W66" s="67"/>
      <c r="X66" s="67"/>
      <c r="Y66" s="67"/>
      <c r="Z66" s="67"/>
      <c r="AA66" s="56"/>
    </row>
    <row r="67" spans="1:27" x14ac:dyDescent="0.25">
      <c r="A67" s="75"/>
      <c r="B67" s="67"/>
      <c r="C67" s="67"/>
      <c r="D67" s="67"/>
      <c r="E67" s="67"/>
      <c r="F67" s="67"/>
      <c r="G67" s="68"/>
      <c r="H67" s="119"/>
      <c r="I67" s="77"/>
      <c r="J67" s="67"/>
      <c r="K67" s="67"/>
      <c r="L67" s="67" t="str">
        <f>Loop_Modeling!A68</f>
        <v>Crossover Frequency = 3.7 kHz</v>
      </c>
      <c r="M67" s="67"/>
      <c r="N67" s="67"/>
      <c r="O67" s="67"/>
      <c r="P67" s="67"/>
      <c r="Q67" s="67"/>
      <c r="R67" s="67"/>
      <c r="S67" s="67"/>
      <c r="T67" s="67"/>
      <c r="U67" s="67"/>
      <c r="V67" s="67"/>
      <c r="W67" s="67"/>
      <c r="X67" s="67"/>
      <c r="Y67" s="67"/>
      <c r="Z67" s="67"/>
      <c r="AA67" s="56"/>
    </row>
    <row r="68" spans="1:27" ht="15.75" thickBot="1" x14ac:dyDescent="0.3">
      <c r="A68" s="75"/>
      <c r="B68" s="67"/>
      <c r="C68" s="67"/>
      <c r="D68" s="67"/>
      <c r="E68" s="67"/>
      <c r="F68" s="99" t="s">
        <v>323</v>
      </c>
      <c r="G68" s="99"/>
      <c r="H68" s="130" t="s">
        <v>324</v>
      </c>
      <c r="I68" s="100"/>
      <c r="J68" s="67"/>
      <c r="K68" s="67"/>
      <c r="L68" s="67" t="str">
        <f>Loop_Modeling!A69</f>
        <v>Phase Margin = 58°</v>
      </c>
      <c r="M68" s="67"/>
      <c r="N68" s="67"/>
      <c r="O68" s="67"/>
      <c r="P68" s="67"/>
      <c r="Q68" s="67"/>
      <c r="R68" s="67"/>
      <c r="S68" s="67"/>
      <c r="T68" s="67"/>
      <c r="U68" s="67"/>
      <c r="V68" s="67"/>
      <c r="W68" s="67"/>
      <c r="X68" s="67"/>
      <c r="Y68" s="67"/>
      <c r="Z68" s="67"/>
      <c r="AA68" s="56"/>
    </row>
    <row r="69" spans="1:27" ht="18.75" thickBot="1" x14ac:dyDescent="0.4">
      <c r="A69" s="75"/>
      <c r="B69" s="67"/>
      <c r="C69" s="67"/>
      <c r="D69" s="67"/>
      <c r="E69" s="68" t="s">
        <v>322</v>
      </c>
      <c r="F69" s="141">
        <f>Rcomp_calc/1000</f>
        <v>5.097319765399706</v>
      </c>
      <c r="G69" s="135" t="s">
        <v>215</v>
      </c>
      <c r="H69" s="132">
        <v>5.0999999999999996</v>
      </c>
      <c r="I69" s="90" t="s">
        <v>215</v>
      </c>
      <c r="J69" s="67"/>
      <c r="K69" s="67"/>
      <c r="L69" s="67"/>
      <c r="M69" s="67"/>
      <c r="N69" s="67"/>
      <c r="O69" s="67"/>
      <c r="P69" s="67"/>
      <c r="Q69" s="67"/>
      <c r="R69" s="67"/>
      <c r="S69" s="67"/>
      <c r="T69" s="67"/>
      <c r="U69" s="67"/>
      <c r="V69" s="67"/>
      <c r="W69" s="67"/>
      <c r="X69" s="67"/>
      <c r="Y69" s="67"/>
      <c r="Z69" s="67"/>
      <c r="AA69" s="56"/>
    </row>
    <row r="70" spans="1:27" ht="18.75" thickBot="1" x14ac:dyDescent="0.4">
      <c r="A70" s="75"/>
      <c r="B70" s="67"/>
      <c r="C70" s="67"/>
      <c r="D70" s="67"/>
      <c r="E70" s="68" t="s">
        <v>448</v>
      </c>
      <c r="F70" s="133">
        <f>CComp_calc*(10^9)</f>
        <v>23.431984332678319</v>
      </c>
      <c r="G70" s="135" t="s">
        <v>218</v>
      </c>
      <c r="H70" s="132">
        <v>22</v>
      </c>
      <c r="I70" s="77" t="s">
        <v>218</v>
      </c>
      <c r="J70" s="67"/>
      <c r="K70" s="67"/>
      <c r="L70" s="67"/>
      <c r="M70" s="67"/>
      <c r="N70" s="67"/>
      <c r="O70" s="67"/>
      <c r="P70" s="67"/>
      <c r="Q70" s="67"/>
      <c r="R70" s="67"/>
      <c r="S70" s="67"/>
      <c r="T70" s="67"/>
      <c r="U70" s="67"/>
      <c r="V70" s="67"/>
      <c r="W70" s="67"/>
      <c r="X70" s="67"/>
      <c r="Y70" s="67"/>
      <c r="Z70" s="67"/>
      <c r="AA70" s="56"/>
    </row>
    <row r="71" spans="1:27" ht="18.75" thickBot="1" x14ac:dyDescent="0.4">
      <c r="A71" s="88"/>
      <c r="B71" s="83"/>
      <c r="C71" s="83"/>
      <c r="D71" s="83"/>
      <c r="E71" s="91" t="s">
        <v>449</v>
      </c>
      <c r="F71" s="131">
        <f>Variable_Management!B231*(10^12)</f>
        <v>1383.9950701078362</v>
      </c>
      <c r="G71" s="136" t="s">
        <v>217</v>
      </c>
      <c r="H71" s="124">
        <v>1500</v>
      </c>
      <c r="I71" s="85" t="s">
        <v>217</v>
      </c>
      <c r="J71" s="67"/>
      <c r="K71" s="67"/>
      <c r="L71" s="67"/>
      <c r="M71" s="67"/>
      <c r="N71" s="67"/>
      <c r="O71" s="67"/>
      <c r="P71" s="67"/>
      <c r="Q71" s="67"/>
      <c r="R71" s="67"/>
      <c r="S71" s="67"/>
      <c r="T71" s="67"/>
      <c r="U71" s="67"/>
      <c r="V71" s="67"/>
      <c r="W71" s="67"/>
      <c r="X71" s="67"/>
      <c r="Y71" s="67"/>
      <c r="Z71" s="67"/>
      <c r="AA71" s="56"/>
    </row>
    <row r="72" spans="1:27" x14ac:dyDescent="0.25">
      <c r="A72" s="67"/>
      <c r="B72" s="67"/>
      <c r="C72" s="67"/>
      <c r="D72" s="67"/>
      <c r="E72" s="68"/>
      <c r="F72" s="101"/>
      <c r="G72" s="68"/>
      <c r="H72" s="98"/>
      <c r="I72" s="67"/>
      <c r="J72" s="67"/>
      <c r="K72" s="67"/>
      <c r="L72" s="67"/>
      <c r="M72" s="67"/>
      <c r="N72" s="67"/>
      <c r="O72" s="67"/>
      <c r="P72" s="67"/>
      <c r="Q72" s="67"/>
      <c r="R72" s="67"/>
      <c r="S72" s="67"/>
      <c r="T72" s="67"/>
      <c r="U72" s="67"/>
      <c r="V72" s="67"/>
      <c r="W72" s="67"/>
      <c r="X72" s="67"/>
      <c r="Y72" s="67"/>
      <c r="Z72" s="67"/>
      <c r="AA72" s="56"/>
    </row>
    <row r="73" spans="1:27" ht="23.25" x14ac:dyDescent="0.35">
      <c r="A73" s="102" t="s">
        <v>321</v>
      </c>
      <c r="B73" s="103"/>
      <c r="C73" s="103"/>
      <c r="D73" s="103"/>
      <c r="E73" s="103"/>
      <c r="F73" s="103"/>
      <c r="G73" s="104"/>
      <c r="H73" s="103"/>
      <c r="I73" s="103"/>
      <c r="J73" s="103"/>
      <c r="K73" s="103"/>
      <c r="L73" s="103"/>
      <c r="M73" s="103"/>
      <c r="N73" s="103"/>
      <c r="O73" s="103"/>
      <c r="P73" s="103"/>
      <c r="Q73" s="103"/>
      <c r="R73" s="103"/>
      <c r="S73" s="103"/>
      <c r="T73" s="105"/>
      <c r="U73" s="105"/>
      <c r="V73" s="105"/>
      <c r="W73" s="105"/>
      <c r="X73" s="105"/>
      <c r="Y73" s="105"/>
      <c r="Z73" s="105"/>
    </row>
    <row r="74" spans="1:27" x14ac:dyDescent="0.25">
      <c r="A74" s="67"/>
      <c r="B74" s="67"/>
      <c r="C74" s="67"/>
      <c r="D74" s="67"/>
      <c r="E74" s="67"/>
      <c r="F74" s="67"/>
      <c r="G74" s="67"/>
      <c r="H74" s="67"/>
      <c r="I74" s="67"/>
      <c r="J74" s="67"/>
      <c r="K74" s="67"/>
      <c r="L74" s="67"/>
      <c r="M74" s="67"/>
      <c r="N74" s="67"/>
      <c r="O74" s="67"/>
      <c r="P74" s="67"/>
      <c r="Q74" s="67"/>
      <c r="R74" s="67"/>
      <c r="S74" s="67"/>
      <c r="T74" s="67"/>
      <c r="U74" s="67"/>
      <c r="V74" s="67"/>
      <c r="W74" s="67"/>
      <c r="X74" s="67"/>
      <c r="Y74" s="67"/>
      <c r="Z74" s="67"/>
      <c r="AA74" s="56"/>
    </row>
    <row r="75" spans="1:27" ht="15.75" thickBot="1" x14ac:dyDescent="0.3">
      <c r="A75" s="106" t="s">
        <v>399</v>
      </c>
      <c r="B75" s="67"/>
      <c r="C75" s="67"/>
      <c r="D75" s="67"/>
      <c r="E75" s="67"/>
      <c r="F75" s="67"/>
      <c r="G75" s="67"/>
      <c r="H75" s="67"/>
      <c r="I75" s="67"/>
      <c r="J75" s="67"/>
      <c r="K75" s="67"/>
      <c r="L75" s="67"/>
      <c r="M75" s="67"/>
      <c r="N75" s="67"/>
      <c r="O75" s="67"/>
      <c r="P75" s="67"/>
      <c r="Q75" s="67"/>
      <c r="R75" s="67"/>
      <c r="S75" s="67"/>
      <c r="T75" s="67"/>
      <c r="U75" s="67"/>
      <c r="V75" s="67"/>
      <c r="W75" s="67"/>
      <c r="X75" s="67"/>
      <c r="Y75" s="67"/>
      <c r="Z75" s="67"/>
      <c r="AA75" s="56"/>
    </row>
    <row r="76" spans="1:27" ht="15.75" x14ac:dyDescent="0.3">
      <c r="A76" s="71"/>
      <c r="B76" s="72"/>
      <c r="C76" s="72"/>
      <c r="D76" s="72"/>
      <c r="E76" s="72"/>
      <c r="F76" s="72"/>
      <c r="G76" s="107" t="s">
        <v>387</v>
      </c>
      <c r="H76" s="116">
        <v>4.5999999999999996</v>
      </c>
      <c r="I76" s="108" t="s">
        <v>394</v>
      </c>
      <c r="J76" s="98"/>
      <c r="K76" s="98"/>
      <c r="L76" s="98"/>
      <c r="M76" s="98"/>
      <c r="N76" s="98"/>
      <c r="O76" s="98"/>
      <c r="P76" s="98"/>
      <c r="Q76" s="98"/>
      <c r="R76" s="98"/>
      <c r="S76" s="98"/>
      <c r="T76" s="98"/>
      <c r="U76" s="98"/>
      <c r="V76" s="98"/>
      <c r="W76" s="98"/>
      <c r="X76" s="98"/>
      <c r="Y76" s="98"/>
      <c r="Z76" s="98"/>
      <c r="AA76" s="56"/>
    </row>
    <row r="77" spans="1:27" ht="15.75" x14ac:dyDescent="0.3">
      <c r="A77" s="96"/>
      <c r="B77" s="67"/>
      <c r="C77" s="67"/>
      <c r="D77" s="67"/>
      <c r="E77" s="67"/>
      <c r="F77" s="67"/>
      <c r="G77" s="109" t="s">
        <v>388</v>
      </c>
      <c r="H77" s="117">
        <v>39.4</v>
      </c>
      <c r="I77" s="110" t="s">
        <v>395</v>
      </c>
      <c r="J77" s="98"/>
      <c r="K77" s="98"/>
      <c r="L77" s="98"/>
      <c r="M77" s="98"/>
      <c r="N77" s="98"/>
      <c r="O77" s="98"/>
      <c r="P77" s="98"/>
      <c r="Q77" s="98"/>
      <c r="R77" s="98"/>
      <c r="S77" s="98"/>
      <c r="T77" s="98"/>
      <c r="U77" s="98"/>
      <c r="V77" s="98"/>
      <c r="W77" s="98"/>
      <c r="X77" s="98"/>
      <c r="Y77" s="98"/>
      <c r="Z77" s="98"/>
      <c r="AA77" s="56"/>
    </row>
    <row r="78" spans="1:27" ht="15.75" x14ac:dyDescent="0.3">
      <c r="A78" s="96"/>
      <c r="B78" s="67"/>
      <c r="C78" s="67"/>
      <c r="D78" s="67"/>
      <c r="E78" s="67"/>
      <c r="F78" s="67"/>
      <c r="G78" s="109" t="s">
        <v>389</v>
      </c>
      <c r="H78" s="117">
        <v>11.1</v>
      </c>
      <c r="I78" s="110" t="s">
        <v>395</v>
      </c>
      <c r="J78" s="98"/>
      <c r="K78" s="98"/>
      <c r="L78" s="98"/>
      <c r="M78" s="98"/>
      <c r="N78" s="98"/>
      <c r="O78" s="98"/>
      <c r="P78" s="98"/>
      <c r="Q78" s="98"/>
      <c r="R78" s="98"/>
      <c r="S78" s="98"/>
      <c r="T78" s="98"/>
      <c r="U78" s="98"/>
      <c r="V78" s="98"/>
      <c r="W78" s="98"/>
      <c r="X78" s="98"/>
      <c r="Y78" s="98"/>
      <c r="Z78" s="98"/>
      <c r="AA78" s="56"/>
    </row>
    <row r="79" spans="1:27" ht="15.75" x14ac:dyDescent="0.3">
      <c r="A79" s="75"/>
      <c r="B79" s="67"/>
      <c r="C79" s="67"/>
      <c r="D79" s="67"/>
      <c r="E79" s="67"/>
      <c r="F79" s="67"/>
      <c r="G79" s="109" t="s">
        <v>390</v>
      </c>
      <c r="H79" s="117">
        <v>12.3</v>
      </c>
      <c r="I79" s="110" t="s">
        <v>395</v>
      </c>
      <c r="J79" s="98"/>
      <c r="K79" s="98"/>
      <c r="L79" s="98"/>
      <c r="M79" s="98"/>
      <c r="N79" s="98"/>
      <c r="O79" s="98"/>
      <c r="P79" s="98"/>
      <c r="Q79" s="98"/>
      <c r="R79" s="98"/>
      <c r="S79" s="98"/>
      <c r="T79" s="98"/>
      <c r="U79" s="98"/>
      <c r="V79" s="98"/>
      <c r="W79" s="98"/>
      <c r="X79" s="98"/>
      <c r="Y79" s="98"/>
      <c r="Z79" s="98"/>
      <c r="AA79" s="56"/>
    </row>
    <row r="80" spans="1:27" ht="15.75" x14ac:dyDescent="0.3">
      <c r="A80" s="75"/>
      <c r="B80" s="67"/>
      <c r="C80" s="67"/>
      <c r="D80" s="67"/>
      <c r="E80" s="67"/>
      <c r="F80" s="67"/>
      <c r="G80" s="109" t="s">
        <v>391</v>
      </c>
      <c r="H80" s="117">
        <v>1.5</v>
      </c>
      <c r="I80" s="110" t="s">
        <v>396</v>
      </c>
      <c r="J80" s="98"/>
      <c r="K80" s="98"/>
      <c r="L80" s="98"/>
      <c r="M80" s="98"/>
      <c r="N80" s="98"/>
      <c r="O80" s="98"/>
      <c r="P80" s="98"/>
      <c r="Q80" s="98"/>
      <c r="R80" s="98"/>
      <c r="S80" s="98"/>
      <c r="T80" s="98"/>
      <c r="U80" s="98"/>
      <c r="V80" s="98"/>
      <c r="W80" s="98"/>
      <c r="X80" s="98"/>
      <c r="Y80" s="98"/>
      <c r="Z80" s="98"/>
      <c r="AA80" s="56"/>
    </row>
    <row r="81" spans="1:27" ht="15.75" x14ac:dyDescent="0.3">
      <c r="A81" s="75"/>
      <c r="B81" s="67"/>
      <c r="C81" s="67"/>
      <c r="D81" s="67"/>
      <c r="E81" s="67"/>
      <c r="F81" s="67"/>
      <c r="G81" s="109" t="s">
        <v>392</v>
      </c>
      <c r="H81" s="117">
        <v>60</v>
      </c>
      <c r="I81" s="110" t="s">
        <v>397</v>
      </c>
      <c r="J81" s="98"/>
      <c r="K81" s="98"/>
      <c r="L81" s="98"/>
      <c r="M81" s="98"/>
      <c r="N81" s="98"/>
      <c r="O81" s="98"/>
      <c r="P81" s="98"/>
      <c r="Q81" s="98"/>
      <c r="R81" s="98"/>
      <c r="S81" s="98"/>
      <c r="T81" s="98"/>
      <c r="U81" s="98"/>
      <c r="V81" s="98"/>
      <c r="W81" s="98"/>
      <c r="X81" s="98"/>
      <c r="Y81" s="98"/>
      <c r="Z81" s="98"/>
      <c r="AA81" s="56"/>
    </row>
    <row r="82" spans="1:27" ht="16.5" thickBot="1" x14ac:dyDescent="0.35">
      <c r="A82" s="88"/>
      <c r="B82" s="83"/>
      <c r="C82" s="83"/>
      <c r="D82" s="83"/>
      <c r="E82" s="83"/>
      <c r="F82" s="83"/>
      <c r="G82" s="111" t="s">
        <v>393</v>
      </c>
      <c r="H82" s="124">
        <v>1.7</v>
      </c>
      <c r="I82" s="112" t="s">
        <v>10</v>
      </c>
      <c r="J82" s="98"/>
      <c r="K82" s="98"/>
      <c r="L82" s="98"/>
      <c r="M82" s="98"/>
      <c r="N82" s="98"/>
      <c r="O82" s="98"/>
      <c r="P82" s="98"/>
      <c r="Q82" s="98"/>
      <c r="R82" s="98"/>
      <c r="S82" s="98"/>
      <c r="T82" s="98"/>
      <c r="U82" s="98"/>
      <c r="V82" s="98"/>
      <c r="W82" s="98"/>
      <c r="X82" s="98"/>
      <c r="Y82" s="98"/>
      <c r="Z82" s="98"/>
      <c r="AA82" s="56"/>
    </row>
    <row r="83" spans="1:27" x14ac:dyDescent="0.25">
      <c r="A83" s="67"/>
      <c r="B83" s="67"/>
      <c r="C83" s="67"/>
      <c r="D83" s="67"/>
      <c r="E83" s="67"/>
      <c r="F83" s="67"/>
      <c r="G83" s="68"/>
      <c r="H83" s="67"/>
      <c r="I83" s="67"/>
      <c r="J83" s="67"/>
      <c r="K83" s="67"/>
      <c r="L83" s="67"/>
      <c r="M83" s="67"/>
      <c r="N83" s="67"/>
      <c r="O83" s="67"/>
      <c r="P83" s="67"/>
      <c r="Q83" s="67"/>
      <c r="R83" s="67"/>
      <c r="S83" s="67"/>
      <c r="T83" s="67"/>
      <c r="U83" s="67"/>
      <c r="V83" s="67"/>
      <c r="W83" s="67"/>
      <c r="X83" s="67"/>
      <c r="Y83" s="67"/>
      <c r="Z83" s="67"/>
      <c r="AA83" s="56"/>
    </row>
    <row r="84" spans="1:27" ht="15.75" thickBot="1" x14ac:dyDescent="0.3">
      <c r="A84" s="106" t="s">
        <v>398</v>
      </c>
      <c r="B84" s="67"/>
      <c r="C84" s="67"/>
      <c r="D84" s="67"/>
      <c r="E84" s="67"/>
      <c r="F84" s="67"/>
      <c r="G84" s="68"/>
      <c r="H84" s="67"/>
      <c r="I84" s="67"/>
      <c r="J84" s="67"/>
      <c r="K84" s="67"/>
      <c r="L84" s="67"/>
      <c r="M84" s="67"/>
      <c r="N84" s="67"/>
      <c r="O84" s="67"/>
      <c r="P84" s="67"/>
      <c r="Q84" s="67"/>
      <c r="R84" s="67"/>
      <c r="S84" s="67"/>
      <c r="T84" s="67"/>
      <c r="U84" s="67"/>
      <c r="V84" s="67"/>
      <c r="W84" s="67"/>
      <c r="X84" s="67"/>
      <c r="Y84" s="67"/>
      <c r="Z84" s="67"/>
      <c r="AA84" s="56"/>
    </row>
    <row r="85" spans="1:27" ht="18" x14ac:dyDescent="0.35">
      <c r="A85" s="71"/>
      <c r="B85" s="72"/>
      <c r="C85" s="72"/>
      <c r="D85" s="72"/>
      <c r="E85" s="72"/>
      <c r="F85" s="72"/>
      <c r="G85" s="93" t="s">
        <v>492</v>
      </c>
      <c r="H85" s="134">
        <f>IOUT</f>
        <v>5.0999999999999996</v>
      </c>
      <c r="I85" s="74" t="s">
        <v>11</v>
      </c>
      <c r="J85" s="98"/>
      <c r="K85" s="98"/>
      <c r="L85" s="98"/>
      <c r="M85" s="98"/>
      <c r="N85" s="98"/>
      <c r="O85" s="98"/>
      <c r="P85" s="98"/>
      <c r="Q85" s="98"/>
      <c r="R85" s="98"/>
      <c r="S85" s="98"/>
      <c r="T85" s="98"/>
      <c r="U85" s="98"/>
      <c r="V85" s="98"/>
      <c r="W85" s="98"/>
      <c r="X85" s="98"/>
      <c r="Y85" s="98"/>
      <c r="Z85" s="98"/>
      <c r="AA85" s="56"/>
    </row>
    <row r="86" spans="1:27" ht="18" x14ac:dyDescent="0.35">
      <c r="A86" s="75"/>
      <c r="B86" s="67"/>
      <c r="C86" s="67"/>
      <c r="D86" s="67"/>
      <c r="E86" s="67"/>
      <c r="F86" s="67"/>
      <c r="G86" s="68" t="s">
        <v>400</v>
      </c>
      <c r="H86" s="117">
        <v>480</v>
      </c>
      <c r="I86" s="77" t="s">
        <v>186</v>
      </c>
      <c r="J86" s="98"/>
      <c r="K86" s="98"/>
      <c r="L86" s="98"/>
      <c r="M86" s="98"/>
      <c r="N86" s="98"/>
      <c r="O86" s="98"/>
      <c r="P86" s="98"/>
      <c r="Q86" s="98"/>
      <c r="R86" s="98"/>
      <c r="S86" s="98"/>
      <c r="T86" s="98"/>
      <c r="U86" s="98"/>
      <c r="V86" s="98"/>
      <c r="W86" s="98"/>
      <c r="X86" s="98"/>
      <c r="Y86" s="98"/>
      <c r="Z86" s="98"/>
      <c r="AA86" s="56"/>
    </row>
    <row r="87" spans="1:27" ht="15.75" thickBot="1" x14ac:dyDescent="0.3">
      <c r="A87" s="88"/>
      <c r="B87" s="83"/>
      <c r="C87" s="83"/>
      <c r="D87" s="83"/>
      <c r="E87" s="83"/>
      <c r="F87" s="83"/>
      <c r="G87" s="91" t="s">
        <v>408</v>
      </c>
      <c r="H87" s="124">
        <v>10</v>
      </c>
      <c r="I87" s="85" t="s">
        <v>395</v>
      </c>
      <c r="J87" s="98"/>
      <c r="K87" s="98"/>
      <c r="L87" s="98"/>
      <c r="M87" s="98"/>
      <c r="N87" s="98"/>
      <c r="O87" s="98"/>
      <c r="P87" s="98"/>
      <c r="Q87" s="98"/>
      <c r="R87" s="98"/>
      <c r="S87" s="98"/>
      <c r="T87" s="98"/>
      <c r="U87" s="98"/>
      <c r="V87" s="98"/>
      <c r="W87" s="98"/>
      <c r="X87" s="98"/>
      <c r="Y87" s="98"/>
      <c r="Z87" s="98"/>
      <c r="AA87" s="56"/>
    </row>
    <row r="88" spans="1:27" x14ac:dyDescent="0.25">
      <c r="A88" s="67"/>
      <c r="B88" s="67"/>
      <c r="C88" s="67"/>
      <c r="D88" s="67"/>
      <c r="E88" s="67"/>
      <c r="F88" s="67"/>
      <c r="G88" s="68"/>
      <c r="H88" s="67"/>
      <c r="I88" s="67"/>
      <c r="J88" s="67"/>
      <c r="K88" s="67"/>
      <c r="L88" s="67"/>
      <c r="M88" s="67"/>
      <c r="N88" s="67"/>
      <c r="O88" s="67"/>
      <c r="P88" s="67"/>
      <c r="Q88" s="67"/>
      <c r="R88" s="67"/>
      <c r="S88" s="67"/>
      <c r="T88" s="67"/>
      <c r="U88" s="67"/>
      <c r="V88" s="67"/>
      <c r="W88" s="67"/>
      <c r="X88" s="67"/>
      <c r="Y88" s="67"/>
      <c r="Z88" s="67"/>
      <c r="AA88" s="56"/>
    </row>
    <row r="89" spans="1:27" x14ac:dyDescent="0.25">
      <c r="A89" s="67"/>
      <c r="B89" s="67"/>
      <c r="C89" s="67"/>
      <c r="D89" s="67"/>
      <c r="E89" s="67"/>
      <c r="F89" s="67"/>
      <c r="G89" s="68"/>
      <c r="H89" s="67"/>
      <c r="I89" s="67"/>
      <c r="J89" s="67"/>
      <c r="K89" s="67"/>
      <c r="L89" s="67"/>
      <c r="M89" s="67"/>
      <c r="N89" s="67"/>
      <c r="O89" s="67"/>
      <c r="P89" s="67"/>
      <c r="Q89" s="67"/>
      <c r="R89" s="67"/>
      <c r="S89" s="67"/>
      <c r="T89" s="67"/>
      <c r="U89" s="67"/>
      <c r="V89" s="67"/>
      <c r="W89" s="67"/>
      <c r="X89" s="67"/>
      <c r="Y89" s="67"/>
      <c r="Z89" s="67"/>
      <c r="AA89" s="56"/>
    </row>
    <row r="90" spans="1:27" x14ac:dyDescent="0.25">
      <c r="A90" s="67"/>
      <c r="B90" s="67"/>
      <c r="C90" s="67"/>
      <c r="D90" s="67"/>
      <c r="E90" s="67"/>
      <c r="F90" s="67"/>
      <c r="G90" s="68"/>
      <c r="H90" s="67"/>
      <c r="I90" s="67"/>
      <c r="J90" s="67"/>
      <c r="K90" s="67"/>
      <c r="L90" s="67"/>
      <c r="M90" s="67"/>
      <c r="N90" s="67"/>
      <c r="O90" s="67"/>
      <c r="P90" s="67"/>
      <c r="Q90" s="67"/>
      <c r="R90" s="67"/>
      <c r="S90" s="67"/>
      <c r="T90" s="67"/>
      <c r="U90" s="67"/>
      <c r="V90" s="67"/>
      <c r="W90" s="67"/>
      <c r="X90" s="67"/>
      <c r="Y90" s="67"/>
      <c r="Z90" s="67"/>
      <c r="AA90" s="56"/>
    </row>
    <row r="91" spans="1:27" x14ac:dyDescent="0.25">
      <c r="A91" s="67"/>
      <c r="B91" s="67"/>
      <c r="C91" s="67"/>
      <c r="D91" s="67"/>
      <c r="E91" s="67"/>
      <c r="F91" s="67"/>
      <c r="G91" s="68"/>
      <c r="H91" s="67"/>
      <c r="I91" s="67"/>
      <c r="J91" s="67"/>
      <c r="K91" s="67"/>
      <c r="L91" s="67"/>
      <c r="M91" s="67"/>
      <c r="N91" s="67"/>
      <c r="O91" s="67"/>
      <c r="P91" s="67"/>
      <c r="Q91" s="67"/>
      <c r="R91" s="67"/>
      <c r="S91" s="67"/>
      <c r="T91" s="67"/>
      <c r="U91" s="67"/>
      <c r="V91" s="67"/>
      <c r="W91" s="67"/>
      <c r="X91" s="67"/>
      <c r="Y91" s="67"/>
      <c r="Z91" s="67"/>
      <c r="AA91" s="56"/>
    </row>
    <row r="92" spans="1:27" x14ac:dyDescent="0.25">
      <c r="A92" s="67"/>
      <c r="B92" s="67"/>
      <c r="C92" s="67"/>
      <c r="D92" s="67"/>
      <c r="E92" s="67"/>
      <c r="F92" s="67"/>
      <c r="G92" s="68"/>
      <c r="H92" s="67"/>
      <c r="I92" s="67"/>
      <c r="J92" s="67"/>
      <c r="K92" s="67"/>
      <c r="L92" s="67"/>
      <c r="M92" s="67"/>
      <c r="N92" s="67"/>
      <c r="O92" s="67"/>
      <c r="P92" s="67"/>
      <c r="Q92" s="67"/>
      <c r="R92" s="67"/>
      <c r="S92" s="67"/>
      <c r="T92" s="67"/>
      <c r="U92" s="67"/>
      <c r="V92" s="67"/>
      <c r="W92" s="67"/>
      <c r="X92" s="67"/>
      <c r="Y92" s="67"/>
      <c r="Z92" s="67"/>
      <c r="AA92" s="56"/>
    </row>
    <row r="93" spans="1:27" x14ac:dyDescent="0.25">
      <c r="A93" s="67"/>
      <c r="B93" s="67"/>
      <c r="C93" s="67"/>
      <c r="D93" s="67"/>
      <c r="E93" s="67"/>
      <c r="F93" s="67"/>
      <c r="G93" s="68"/>
      <c r="H93" s="67"/>
      <c r="I93" s="67"/>
      <c r="J93" s="67"/>
      <c r="K93" s="67"/>
      <c r="L93" s="67"/>
      <c r="M93" s="67"/>
      <c r="N93" s="67"/>
      <c r="O93" s="67"/>
      <c r="P93" s="67"/>
      <c r="Q93" s="67"/>
      <c r="R93" s="67"/>
      <c r="S93" s="67"/>
      <c r="T93" s="67"/>
      <c r="U93" s="67"/>
      <c r="V93" s="67"/>
      <c r="W93" s="67"/>
      <c r="X93" s="67"/>
      <c r="Y93" s="67"/>
      <c r="Z93" s="67"/>
      <c r="AA93" s="56"/>
    </row>
    <row r="94" spans="1:27" x14ac:dyDescent="0.25">
      <c r="A94" s="67"/>
      <c r="B94" s="67"/>
      <c r="C94" s="67"/>
      <c r="D94" s="67"/>
      <c r="E94" s="67"/>
      <c r="F94" s="67"/>
      <c r="G94" s="68"/>
      <c r="H94" s="67"/>
      <c r="I94" s="67"/>
      <c r="J94" s="67"/>
      <c r="K94" s="67"/>
      <c r="L94" s="67"/>
      <c r="M94" s="67"/>
      <c r="N94" s="67"/>
      <c r="O94" s="67"/>
      <c r="P94" s="67"/>
      <c r="Q94" s="67"/>
      <c r="R94" s="67"/>
      <c r="S94" s="67"/>
      <c r="T94" s="67"/>
      <c r="U94" s="67"/>
      <c r="V94" s="67"/>
      <c r="W94" s="67"/>
      <c r="X94" s="67"/>
      <c r="Y94" s="67"/>
      <c r="Z94" s="67"/>
      <c r="AA94" s="56"/>
    </row>
    <row r="95" spans="1:27" x14ac:dyDescent="0.25">
      <c r="A95" s="67"/>
      <c r="B95" s="67"/>
      <c r="C95" s="67"/>
      <c r="D95" s="67"/>
      <c r="E95" s="67"/>
      <c r="F95" s="67"/>
      <c r="G95" s="68"/>
      <c r="H95" s="67"/>
      <c r="I95" s="67"/>
      <c r="J95" s="67"/>
      <c r="K95" s="67"/>
      <c r="L95" s="67"/>
      <c r="M95" s="67"/>
      <c r="N95" s="67"/>
      <c r="O95" s="67"/>
      <c r="P95" s="67"/>
      <c r="Q95" s="67"/>
      <c r="R95" s="67"/>
      <c r="S95" s="67"/>
      <c r="T95" s="67"/>
      <c r="U95" s="67"/>
      <c r="V95" s="67"/>
      <c r="W95" s="67"/>
      <c r="X95" s="67"/>
      <c r="Y95" s="67"/>
      <c r="Z95" s="67"/>
      <c r="AA95" s="56"/>
    </row>
    <row r="96" spans="1:27" x14ac:dyDescent="0.25">
      <c r="A96" s="67"/>
      <c r="B96" s="67"/>
      <c r="C96" s="67"/>
      <c r="D96" s="67"/>
      <c r="E96" s="67"/>
      <c r="F96" s="67"/>
      <c r="G96" s="68"/>
      <c r="H96" s="67"/>
      <c r="I96" s="67"/>
      <c r="J96" s="67"/>
      <c r="K96" s="67"/>
      <c r="L96" s="67"/>
      <c r="M96" s="67"/>
      <c r="N96" s="67"/>
      <c r="O96" s="67"/>
      <c r="P96" s="67"/>
      <c r="Q96" s="67"/>
      <c r="R96" s="67"/>
      <c r="S96" s="67"/>
      <c r="T96" s="67"/>
      <c r="U96" s="67"/>
      <c r="V96" s="67"/>
      <c r="W96" s="67"/>
      <c r="X96" s="67"/>
      <c r="Y96" s="67"/>
      <c r="Z96" s="67"/>
      <c r="AA96" s="56"/>
    </row>
    <row r="97" spans="1:27" x14ac:dyDescent="0.25">
      <c r="A97" s="67"/>
      <c r="B97" s="67"/>
      <c r="C97" s="67"/>
      <c r="D97" s="67"/>
      <c r="E97" s="67"/>
      <c r="F97" s="67"/>
      <c r="G97" s="68"/>
      <c r="H97" s="67"/>
      <c r="I97" s="67"/>
      <c r="J97" s="67"/>
      <c r="K97" s="67"/>
      <c r="L97" s="67"/>
      <c r="M97" s="67"/>
      <c r="N97" s="67"/>
      <c r="O97" s="67"/>
      <c r="P97" s="67"/>
      <c r="Q97" s="67"/>
      <c r="R97" s="67"/>
      <c r="S97" s="67"/>
      <c r="T97" s="67"/>
      <c r="U97" s="67"/>
      <c r="V97" s="67"/>
      <c r="W97" s="67"/>
      <c r="X97" s="67"/>
      <c r="Y97" s="67"/>
      <c r="Z97" s="67"/>
      <c r="AA97" s="56"/>
    </row>
    <row r="98" spans="1:27" x14ac:dyDescent="0.25">
      <c r="A98" s="67"/>
      <c r="B98" s="67"/>
      <c r="C98" s="67"/>
      <c r="D98" s="67"/>
      <c r="E98" s="67"/>
      <c r="F98" s="67"/>
      <c r="G98" s="68"/>
      <c r="H98" s="67"/>
      <c r="I98" s="67"/>
      <c r="J98" s="67"/>
      <c r="K98" s="67"/>
      <c r="L98" s="67"/>
      <c r="M98" s="67"/>
      <c r="N98" s="67"/>
      <c r="O98" s="67"/>
      <c r="P98" s="67"/>
      <c r="Q98" s="67"/>
      <c r="R98" s="67"/>
      <c r="S98" s="67"/>
      <c r="T98" s="67"/>
      <c r="U98" s="67"/>
      <c r="V98" s="67"/>
      <c r="W98" s="67"/>
      <c r="X98" s="67"/>
      <c r="Y98" s="67"/>
      <c r="Z98" s="67"/>
      <c r="AA98" s="56"/>
    </row>
    <row r="99" spans="1:27" x14ac:dyDescent="0.25">
      <c r="A99" s="67"/>
      <c r="B99" s="67"/>
      <c r="C99" s="67"/>
      <c r="D99" s="67"/>
      <c r="E99" s="67"/>
      <c r="F99" s="67"/>
      <c r="G99" s="68"/>
      <c r="H99" s="67"/>
      <c r="I99" s="67"/>
      <c r="J99" s="67"/>
      <c r="K99" s="67"/>
      <c r="L99" s="67"/>
      <c r="M99" s="67"/>
      <c r="N99" s="67"/>
      <c r="O99" s="67"/>
      <c r="P99" s="67"/>
      <c r="Q99" s="67"/>
      <c r="R99" s="67"/>
      <c r="S99" s="67"/>
      <c r="T99" s="67"/>
      <c r="U99" s="67"/>
      <c r="V99" s="67"/>
      <c r="W99" s="67"/>
      <c r="X99" s="67"/>
      <c r="Y99" s="67"/>
      <c r="Z99" s="67"/>
      <c r="AA99" s="56"/>
    </row>
    <row r="100" spans="1:27" x14ac:dyDescent="0.25">
      <c r="A100" s="58"/>
      <c r="B100" s="58"/>
      <c r="C100" s="58"/>
      <c r="D100" s="58"/>
      <c r="E100" s="58"/>
      <c r="F100" s="58"/>
      <c r="G100" s="59"/>
      <c r="H100" s="58"/>
      <c r="I100" s="58"/>
      <c r="J100" s="58"/>
      <c r="K100" s="58"/>
      <c r="L100" s="58"/>
      <c r="M100" s="58"/>
      <c r="N100" s="58"/>
      <c r="O100" s="58"/>
      <c r="P100" s="58"/>
      <c r="Q100" s="58"/>
      <c r="R100" s="58"/>
      <c r="S100" s="58"/>
      <c r="T100" s="58"/>
      <c r="U100" s="58"/>
      <c r="V100" s="58"/>
      <c r="W100" s="58"/>
      <c r="X100" s="58"/>
      <c r="Y100" s="58"/>
      <c r="Z100" s="58"/>
      <c r="AA100" s="56"/>
    </row>
  </sheetData>
  <sheetProtection algorithmName="SHA-512" hashValue="IUA5uLyW0mrRZkyPJKKIRFc3+5hN1b0hecgM8dzHCtjOUVEzhalBCWCXogf3HWMbmjeUOfL+5zp1szCxL2zuFA==" saltValue="VgYrN/Jn0z4UXKKRqvjtkQ==" spinCount="100000" sheet="1" objects="1" scenarios="1" selectLockedCells="1"/>
  <mergeCells count="1">
    <mergeCell ref="N3:O3"/>
  </mergeCells>
  <conditionalFormatting sqref="H7">
    <cfRule type="cellIs" dxfId="10" priority="2" operator="greaterThan">
      <formula>VIN_op_max_56</formula>
    </cfRule>
    <cfRule type="cellIs" dxfId="9" priority="17" operator="greaterThan">
      <formula>VIN_op_max</formula>
    </cfRule>
    <cfRule type="cellIs" dxfId="8" priority="18" operator="lessThan">
      <formula>VIN_op_min</formula>
    </cfRule>
  </conditionalFormatting>
  <conditionalFormatting sqref="H8">
    <cfRule type="cellIs" dxfId="7" priority="16" operator="notBetween">
      <formula>$H$7</formula>
      <formula>$H$9</formula>
    </cfRule>
  </conditionalFormatting>
  <conditionalFormatting sqref="H9">
    <cfRule type="cellIs" dxfId="6" priority="1" operator="greaterThan">
      <formula>VIN_op_max_56</formula>
    </cfRule>
    <cfRule type="cellIs" dxfId="5" priority="13" operator="greaterThan">
      <formula>VIN_op_max</formula>
    </cfRule>
    <cfRule type="cellIs" dxfId="4" priority="14" operator="lessThan">
      <formula>VIN_op_min</formula>
    </cfRule>
  </conditionalFormatting>
  <conditionalFormatting sqref="H17">
    <cfRule type="cellIs" dxfId="3" priority="6" operator="greaterThan">
      <formula>$H$16</formula>
    </cfRule>
  </conditionalFormatting>
  <conditionalFormatting sqref="H57">
    <cfRule type="expression" dxfId="1" priority="11">
      <formula>$H$8&gt;$H$9</formula>
    </cfRule>
    <cfRule type="expression" dxfId="0" priority="12">
      <formula>$H$8&lt;$H$7</formula>
    </cfRule>
  </conditionalFormatting>
  <dataValidations disablePrompts="1" count="1">
    <dataValidation type="list" allowBlank="1" showInputMessage="1" showErrorMessage="1" sqref="H18" xr:uid="{B6CBC9E4-52B2-4FA8-BCFD-24B327448BB5}">
      <formula1>CondMode</formula1>
    </dataValidation>
  </dataValidations>
  <hyperlinks>
    <hyperlink ref="N3" location="About!A1" display="TERMS OF USE" xr:uid="{EE270A3B-8816-419E-84BC-D008FEAD0366}"/>
    <hyperlink ref="N3:O3" location="Licenses!A1" display="TERMS OF USE" xr:uid="{7B8CA94F-4734-4CAD-88EF-98DE4E41009B}"/>
  </hyperlinks>
  <pageMargins left="0.2" right="0.2" top="0.25" bottom="0.25" header="0" footer="0"/>
  <pageSetup paperSize="9" scale="44"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70" r:id="rId4" name="Drop Down 146">
              <controlPr defaultSize="0" print="0" autoLine="0" autoPict="0" altText="This is just there to fix the excel issue with comments and linked pictures">
                <anchor moveWithCells="1">
                  <from>
                    <xdr:col>14</xdr:col>
                    <xdr:colOff>590550</xdr:colOff>
                    <xdr:row>30</xdr:row>
                    <xdr:rowOff>85725</xdr:rowOff>
                  </from>
                  <to>
                    <xdr:col>16</xdr:col>
                    <xdr:colOff>219075</xdr:colOff>
                    <xdr:row>31</xdr:row>
                    <xdr:rowOff>114300</xdr:rowOff>
                  </to>
                </anchor>
              </controlPr>
            </control>
          </mc:Choice>
        </mc:AlternateContent>
        <mc:AlternateContent xmlns:mc="http://schemas.openxmlformats.org/markup-compatibility/2006">
          <mc:Choice Requires="x14">
            <control shapeId="1060" r:id="rId5" name="Spinner 36">
              <controlPr defaultSize="0" autoPict="0">
                <anchor moveWithCells="1" sizeWithCells="1">
                  <from>
                    <xdr:col>7</xdr:col>
                    <xdr:colOff>504825</xdr:colOff>
                    <xdr:row>56</xdr:row>
                    <xdr:rowOff>0</xdr:rowOff>
                  </from>
                  <to>
                    <xdr:col>8</xdr:col>
                    <xdr:colOff>9525</xdr:colOff>
                    <xdr:row>58</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 id="{AB53E77D-5294-4F50-832B-89A6F7F8A8A1}">
            <xm:f>NOT(Variable_Management!$K$30)</xm:f>
            <x14:dxf>
              <font>
                <color rgb="FFC00000"/>
              </font>
              <fill>
                <patternFill>
                  <bgColor theme="5" tint="0.59996337778862885"/>
                </patternFill>
              </fill>
            </x14:dxf>
          </x14:cfRule>
          <xm:sqref>H23</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
  <sheetViews>
    <sheetView workbookViewId="0">
      <selection activeCell="C31" sqref="C31"/>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S256"/>
  <sheetViews>
    <sheetView zoomScale="85" zoomScaleNormal="85" workbookViewId="0">
      <pane ySplit="5" topLeftCell="A48" activePane="bottomLeft" state="frozen"/>
      <selection activeCell="N8" sqref="N8"/>
      <selection pane="bottomLeft" activeCell="B89" sqref="B89"/>
    </sheetView>
  </sheetViews>
  <sheetFormatPr defaultRowHeight="15" x14ac:dyDescent="0.25"/>
  <cols>
    <col min="1" max="1" width="28.85546875" customWidth="1"/>
    <col min="2" max="2" width="19.5703125" customWidth="1"/>
    <col min="3" max="3" width="10.85546875" customWidth="1"/>
    <col min="4" max="4" width="10" bestFit="1" customWidth="1"/>
    <col min="5" max="5" width="18.7109375" customWidth="1"/>
    <col min="6" max="6" width="14.7109375" customWidth="1"/>
    <col min="7" max="7" width="15.140625" customWidth="1"/>
    <col min="8" max="9" width="12.5703125" customWidth="1"/>
    <col min="11" max="11" width="12.85546875" bestFit="1" customWidth="1"/>
    <col min="12" max="14" width="12.28515625" bestFit="1" customWidth="1"/>
  </cols>
  <sheetData>
    <row r="1" spans="1:17" ht="27.75" x14ac:dyDescent="0.4">
      <c r="A1" s="229" t="s">
        <v>15</v>
      </c>
      <c r="B1" s="229"/>
      <c r="C1" s="229"/>
      <c r="D1" s="229"/>
      <c r="E1" s="229"/>
      <c r="F1" s="229"/>
      <c r="G1" s="229"/>
      <c r="H1" s="229"/>
      <c r="I1" s="229"/>
      <c r="J1" s="229"/>
    </row>
    <row r="2" spans="1:17" x14ac:dyDescent="0.25">
      <c r="A2" s="5"/>
      <c r="B2" s="5" t="s">
        <v>16</v>
      </c>
      <c r="C2" s="6"/>
      <c r="D2" s="4"/>
      <c r="E2" s="5"/>
      <c r="F2" s="5"/>
      <c r="G2" s="5"/>
      <c r="H2" s="5"/>
      <c r="I2" s="5"/>
      <c r="J2" s="5"/>
    </row>
    <row r="3" spans="1:17" x14ac:dyDescent="0.25">
      <c r="A3" s="5"/>
      <c r="B3" s="5" t="s">
        <v>17</v>
      </c>
      <c r="C3" s="7"/>
      <c r="D3" s="4"/>
      <c r="E3" s="5"/>
      <c r="F3" s="14" t="s">
        <v>63</v>
      </c>
      <c r="G3" s="15" t="s">
        <v>64</v>
      </c>
      <c r="H3" s="26" t="s">
        <v>67</v>
      </c>
      <c r="I3" s="5"/>
      <c r="J3" s="5"/>
    </row>
    <row r="4" spans="1:17" x14ac:dyDescent="0.25">
      <c r="A4" s="5"/>
      <c r="B4" s="5" t="s">
        <v>18</v>
      </c>
      <c r="C4" s="8"/>
      <c r="D4" s="4"/>
      <c r="E4" s="5"/>
      <c r="F4" s="5"/>
      <c r="G4" s="5"/>
      <c r="H4" s="5"/>
      <c r="I4" s="5"/>
      <c r="J4" s="5"/>
    </row>
    <row r="5" spans="1:17" x14ac:dyDescent="0.25">
      <c r="A5" s="9" t="s">
        <v>19</v>
      </c>
      <c r="B5" s="9" t="s">
        <v>20</v>
      </c>
      <c r="C5" s="9" t="s">
        <v>21</v>
      </c>
      <c r="D5" s="4"/>
      <c r="E5" s="230" t="s">
        <v>22</v>
      </c>
      <c r="F5" s="230"/>
      <c r="G5" s="230"/>
      <c r="H5" s="230"/>
      <c r="I5" s="5"/>
      <c r="J5" s="9" t="s">
        <v>23</v>
      </c>
      <c r="K5" s="9" t="s">
        <v>71</v>
      </c>
      <c r="L5" s="4"/>
      <c r="M5" s="4"/>
      <c r="N5" s="4"/>
      <c r="O5" s="4"/>
      <c r="P5" s="4"/>
      <c r="Q5" s="4"/>
    </row>
    <row r="6" spans="1:17" ht="15.75" x14ac:dyDescent="0.25">
      <c r="A6" s="10" t="s">
        <v>24</v>
      </c>
      <c r="B6" s="9"/>
      <c r="C6" s="9"/>
      <c r="D6" s="9"/>
      <c r="E6" s="5"/>
      <c r="F6" s="5"/>
      <c r="G6" s="5"/>
      <c r="H6" s="5"/>
      <c r="I6" s="5"/>
      <c r="J6" s="9"/>
      <c r="K6" s="4"/>
      <c r="L6" s="4"/>
      <c r="M6" s="4"/>
      <c r="N6" s="4"/>
      <c r="O6" s="4"/>
      <c r="P6" s="4"/>
      <c r="Q6" s="4"/>
    </row>
    <row r="7" spans="1:17" x14ac:dyDescent="0.25">
      <c r="A7" t="s">
        <v>25</v>
      </c>
      <c r="B7" s="3">
        <f>'Design Converter'!H7</f>
        <v>3.5</v>
      </c>
      <c r="C7" t="s">
        <v>10</v>
      </c>
      <c r="E7" t="s">
        <v>28</v>
      </c>
    </row>
    <row r="8" spans="1:17" x14ac:dyDescent="0.25">
      <c r="A8" t="s">
        <v>26</v>
      </c>
      <c r="B8" s="3">
        <f>'Design Converter'!H8</f>
        <v>3.8</v>
      </c>
      <c r="C8" t="s">
        <v>10</v>
      </c>
      <c r="E8" t="s">
        <v>29</v>
      </c>
      <c r="K8">
        <f>IF(VIN_min&lt;VIN_min,1,IF(VIN_nom&gt;VIN_max,1,0))</f>
        <v>0</v>
      </c>
    </row>
    <row r="9" spans="1:17" x14ac:dyDescent="0.25">
      <c r="A9" t="s">
        <v>27</v>
      </c>
      <c r="B9" s="3">
        <f>'Design Converter'!H9</f>
        <v>4.2</v>
      </c>
      <c r="C9" t="s">
        <v>10</v>
      </c>
      <c r="E9" t="s">
        <v>30</v>
      </c>
    </row>
    <row r="10" spans="1:17" x14ac:dyDescent="0.25">
      <c r="A10" t="s">
        <v>68</v>
      </c>
      <c r="B10" s="3">
        <f>'Design Converter'!H12*1000</f>
        <v>575000</v>
      </c>
      <c r="C10" t="s">
        <v>69</v>
      </c>
      <c r="E10" t="s">
        <v>70</v>
      </c>
    </row>
    <row r="11" spans="1:17" x14ac:dyDescent="0.25">
      <c r="A11" t="s">
        <v>73</v>
      </c>
      <c r="B11" s="18">
        <f>((2.21*10^10)/Fsw)-955</f>
        <v>37479.782608695656</v>
      </c>
      <c r="C11" s="2" t="s">
        <v>36</v>
      </c>
      <c r="E11" t="s">
        <v>74</v>
      </c>
    </row>
    <row r="13" spans="1:17" x14ac:dyDescent="0.25">
      <c r="A13" t="s">
        <v>31</v>
      </c>
      <c r="B13" s="3">
        <f>'Design Converter'!H10</f>
        <v>16</v>
      </c>
      <c r="C13" t="s">
        <v>10</v>
      </c>
      <c r="E13" t="s">
        <v>32</v>
      </c>
    </row>
    <row r="14" spans="1:17" x14ac:dyDescent="0.25">
      <c r="A14" t="s">
        <v>33</v>
      </c>
      <c r="B14" s="3">
        <f>'Design Converter'!H11</f>
        <v>5.0999999999999996</v>
      </c>
      <c r="C14" t="s">
        <v>11</v>
      </c>
      <c r="E14" t="s">
        <v>34</v>
      </c>
    </row>
    <row r="15" spans="1:17" x14ac:dyDescent="0.25">
      <c r="A15" t="s">
        <v>35</v>
      </c>
      <c r="B15" s="1">
        <f>VOUT/IOUT</f>
        <v>3.1372549019607847</v>
      </c>
      <c r="C15" s="2" t="s">
        <v>36</v>
      </c>
      <c r="E15" t="s">
        <v>42</v>
      </c>
    </row>
    <row r="16" spans="1:17" x14ac:dyDescent="0.25">
      <c r="A16" t="s">
        <v>37</v>
      </c>
      <c r="B16" s="1">
        <f>VOUT*IOUT</f>
        <v>81.599999999999994</v>
      </c>
      <c r="C16" s="2" t="s">
        <v>38</v>
      </c>
      <c r="E16" t="s">
        <v>41</v>
      </c>
    </row>
    <row r="17" spans="1:19" x14ac:dyDescent="0.25">
      <c r="A17" t="s">
        <v>39</v>
      </c>
      <c r="B17" s="11">
        <f>'Design Converter'!H14/100</f>
        <v>0.9</v>
      </c>
      <c r="E17" t="s">
        <v>40</v>
      </c>
    </row>
    <row r="19" spans="1:19" x14ac:dyDescent="0.25">
      <c r="A19" s="33" t="s">
        <v>519</v>
      </c>
    </row>
    <row r="20" spans="1:19" x14ac:dyDescent="0.25">
      <c r="A20" t="s">
        <v>43</v>
      </c>
      <c r="B20" s="1">
        <f>IF(B$36="DCM",B55,B39)</f>
        <v>0.78125</v>
      </c>
      <c r="E20" t="s">
        <v>44</v>
      </c>
    </row>
    <row r="21" spans="1:19" x14ac:dyDescent="0.25">
      <c r="A21" t="s">
        <v>45</v>
      </c>
      <c r="B21" s="12">
        <f>Constants!B20</f>
        <v>0.93</v>
      </c>
      <c r="E21" t="s">
        <v>46</v>
      </c>
      <c r="K21">
        <f>IF(((1-D_limit_nom)/Constants!B12)&lt;Fsw,1,0)</f>
        <v>0</v>
      </c>
    </row>
    <row r="23" spans="1:19" x14ac:dyDescent="0.25">
      <c r="A23" t="s">
        <v>82</v>
      </c>
      <c r="B23" s="1">
        <f>IF(B$36="DCM",B58,B42)</f>
        <v>0.78125</v>
      </c>
      <c r="E23" t="s">
        <v>506</v>
      </c>
    </row>
    <row r="24" spans="1:19" x14ac:dyDescent="0.25">
      <c r="B24" s="13">
        <f>IF(B$36="DCM",B59,B43)</f>
        <v>1.3586956521739131E-6</v>
      </c>
      <c r="C24" t="s">
        <v>54</v>
      </c>
      <c r="E24" t="s">
        <v>333</v>
      </c>
    </row>
    <row r="25" spans="1:19" x14ac:dyDescent="0.25">
      <c r="A25" t="s">
        <v>92</v>
      </c>
      <c r="B25" s="17">
        <f>IF(B$36="DCM",B60,B44)</f>
        <v>23.314285714285713</v>
      </c>
      <c r="C25" t="s">
        <v>11</v>
      </c>
      <c r="E25" t="s">
        <v>95</v>
      </c>
      <c r="K25" t="s">
        <v>559</v>
      </c>
      <c r="L25" t="s">
        <v>560</v>
      </c>
      <c r="M25" t="s">
        <v>572</v>
      </c>
    </row>
    <row r="26" spans="1:19" x14ac:dyDescent="0.25">
      <c r="J26" t="s">
        <v>561</v>
      </c>
      <c r="K26" t="b">
        <f>Dc_CCM_VIN_min&lt;B58</f>
        <v>1</v>
      </c>
      <c r="L26" t="b">
        <f>Dc_CCM_VIN_nom&lt;Dc_DCM_VIN_nom</f>
        <v>1</v>
      </c>
      <c r="M26" t="b">
        <f>Dc_CCM_VIN_max&lt;B66</f>
        <v>1</v>
      </c>
    </row>
    <row r="27" spans="1:19" x14ac:dyDescent="0.25">
      <c r="A27" t="s">
        <v>83</v>
      </c>
      <c r="B27" s="1">
        <f>IF(B$36="DCM",B62,B46)</f>
        <v>0.76249999999999996</v>
      </c>
      <c r="E27" t="s">
        <v>507</v>
      </c>
      <c r="J27" t="s">
        <v>565</v>
      </c>
      <c r="K27" t="b">
        <f>AND(K26:M26)</f>
        <v>1</v>
      </c>
    </row>
    <row r="28" spans="1:19" x14ac:dyDescent="0.25">
      <c r="B28" s="13">
        <f>IF(B$36="DCM",B63,B47)</f>
        <v>1.3260869565217391E-6</v>
      </c>
      <c r="C28" t="s">
        <v>54</v>
      </c>
      <c r="E28" t="s">
        <v>333</v>
      </c>
      <c r="J28" t="s">
        <v>566</v>
      </c>
      <c r="K28" t="b">
        <f>NOT(OR(K26:M26))</f>
        <v>0</v>
      </c>
    </row>
    <row r="29" spans="1:19" x14ac:dyDescent="0.25">
      <c r="A29" t="s">
        <v>93</v>
      </c>
      <c r="B29" s="17">
        <f>IF(B$36="DCM",B64,B48)</f>
        <v>21.473684210526315</v>
      </c>
      <c r="C29" t="s">
        <v>11</v>
      </c>
      <c r="E29" t="s">
        <v>96</v>
      </c>
      <c r="J29" t="s">
        <v>562</v>
      </c>
      <c r="K29" t="b">
        <f>NOT(OR(K27:K28))</f>
        <v>0</v>
      </c>
    </row>
    <row r="30" spans="1:19" x14ac:dyDescent="0.25">
      <c r="J30" t="s">
        <v>567</v>
      </c>
      <c r="K30" t="b">
        <f>IF(Dc_Mode="CCM",K27,IF(Dc_Mode="DCM",K28,K29))</f>
        <v>1</v>
      </c>
      <c r="P30" t="s">
        <v>557</v>
      </c>
      <c r="Q30" t="s">
        <v>555</v>
      </c>
      <c r="R30" t="s">
        <v>556</v>
      </c>
      <c r="S30" t="s">
        <v>558</v>
      </c>
    </row>
    <row r="31" spans="1:19" x14ac:dyDescent="0.25">
      <c r="A31" t="s">
        <v>84</v>
      </c>
      <c r="B31" s="1">
        <f>IF(B$36="DCM",B66,B50)</f>
        <v>0.73750000000000004</v>
      </c>
      <c r="E31" t="s">
        <v>508</v>
      </c>
      <c r="K31" t="s">
        <v>554</v>
      </c>
      <c r="L31" s="137">
        <f>VIN_min/(Fsw*2*IOUT)*Dc_VIN_min*(1-Dc_VIN_min)</f>
        <v>1.0198542732310315E-7</v>
      </c>
      <c r="M31" s="137">
        <f>VIN_nom/(Fsw*2*IOUT)*Dc_VIN_nom*(1-Dc_VIN_nom)</f>
        <v>1.1733269394714408E-7</v>
      </c>
      <c r="N31" s="137">
        <f>VIN_max/(Fsw*2*IOUT)*Dc_VIN_max*(1-Dc_VIN_max)</f>
        <v>1.3863491048593347E-7</v>
      </c>
      <c r="P31" s="137">
        <f>Q31*0.9</f>
        <v>9.1786884590792831E-8</v>
      </c>
      <c r="Q31" s="137">
        <f>MIN(L31:N31)</f>
        <v>1.0198542732310315E-7</v>
      </c>
      <c r="R31" s="137">
        <f>MAX(L31:N31)</f>
        <v>1.3863491048593347E-7</v>
      </c>
      <c r="S31" s="137">
        <f>R31*1.1</f>
        <v>1.5249840153452683E-7</v>
      </c>
    </row>
    <row r="32" spans="1:19" x14ac:dyDescent="0.25">
      <c r="B32" s="13">
        <f>IF(B$36="DCM",B67,B51)</f>
        <v>1.282608695652174E-6</v>
      </c>
      <c r="C32" t="s">
        <v>54</v>
      </c>
      <c r="E32" t="s">
        <v>333</v>
      </c>
    </row>
    <row r="33" spans="1:14" x14ac:dyDescent="0.25">
      <c r="A33" t="s">
        <v>94</v>
      </c>
      <c r="B33" s="17">
        <f>IF(B$36="DCM",B68,B52)</f>
        <v>19.428571428571427</v>
      </c>
      <c r="C33" t="s">
        <v>11</v>
      </c>
      <c r="E33" t="s">
        <v>97</v>
      </c>
    </row>
    <row r="34" spans="1:14" x14ac:dyDescent="0.25">
      <c r="N34" t="s">
        <v>553</v>
      </c>
    </row>
    <row r="35" spans="1:14" x14ac:dyDescent="0.25">
      <c r="A35" t="s">
        <v>534</v>
      </c>
      <c r="B35" s="140" t="str">
        <f>IF(AND(K35&lt;Lm,L35&lt;Lm,M35&lt;Lm),"CCM",IF(AND(K35&gt;Lm,L35&gt;Lm,M35&gt;Lm),"DCM","CCM/DCM"))</f>
        <v>CCM</v>
      </c>
      <c r="E35" t="s">
        <v>517</v>
      </c>
      <c r="K35" s="137">
        <f>VIN_min/(Fsw*2*IOUT)*Dc_CCM_VIN_min*(1-Dc_CCM_VIN_min)</f>
        <v>1.0198542732310315E-7</v>
      </c>
      <c r="L35" s="137">
        <f>IF(AND(B50&lt;0.5,B42&gt;0.5),VIN_min/(Fsw*2*IOUT)*0.5*(1-0.5),VIN_min/(Fsw*2*IOUT)*Dc_CCM_VIN_nom*(1-Dc_CCM_VIN_nom))</f>
        <v>1.080695865302643E-7</v>
      </c>
      <c r="M35" s="137">
        <f>VIN_min/(Fsw*2*IOUT)*Dc_CCM_VIN_max*(1-Dc_VIN_max)</f>
        <v>1.1552909207161124E-7</v>
      </c>
      <c r="N35" t="b">
        <f>IF(Dc_Mode="CCM",IF(Lm&lt;MAX(K35,L35,M35),TRUE,IF(Lm&gt;MIN(K35,L35,M35),TRUE,FALSE)))</f>
        <v>1</v>
      </c>
    </row>
    <row r="36" spans="1:14" x14ac:dyDescent="0.25">
      <c r="A36" t="s">
        <v>533</v>
      </c>
      <c r="B36" s="139" t="str">
        <f>'Design Converter'!H18</f>
        <v>CCM</v>
      </c>
      <c r="E36" t="s">
        <v>516</v>
      </c>
      <c r="K36" t="str">
        <f>IF(OR(B35="CCM",B35="CCM/DCM"),"CCM","DCM")</f>
        <v>CCM</v>
      </c>
      <c r="L36" t="str">
        <f>IF(B35="CCM/DCM","DCM","")</f>
        <v/>
      </c>
    </row>
    <row r="38" spans="1:14" x14ac:dyDescent="0.25">
      <c r="A38" s="33" t="s">
        <v>495</v>
      </c>
    </row>
    <row r="39" spans="1:14" x14ac:dyDescent="0.25">
      <c r="A39" t="s">
        <v>509</v>
      </c>
      <c r="B39" s="1">
        <f>1-VIN_min/VOUT</f>
        <v>0.78125</v>
      </c>
      <c r="E39" t="s">
        <v>44</v>
      </c>
    </row>
    <row r="42" spans="1:14" x14ac:dyDescent="0.25">
      <c r="A42" t="s">
        <v>510</v>
      </c>
      <c r="B42" s="1">
        <f>1-VIN_min/VOUT</f>
        <v>0.78125</v>
      </c>
      <c r="E42" t="s">
        <v>85</v>
      </c>
    </row>
    <row r="43" spans="1:14" x14ac:dyDescent="0.25">
      <c r="B43" s="13">
        <f>B42/Fsw</f>
        <v>1.3586956521739131E-6</v>
      </c>
      <c r="C43" t="s">
        <v>54</v>
      </c>
      <c r="E43" t="s">
        <v>333</v>
      </c>
    </row>
    <row r="44" spans="1:14" x14ac:dyDescent="0.25">
      <c r="A44" t="s">
        <v>511</v>
      </c>
      <c r="B44" s="17">
        <f>(VOUT*IOUT)/(VIN_min)</f>
        <v>23.314285714285713</v>
      </c>
      <c r="C44" t="s">
        <v>11</v>
      </c>
      <c r="E44" t="s">
        <v>95</v>
      </c>
    </row>
    <row r="46" spans="1:14" x14ac:dyDescent="0.25">
      <c r="A46" t="s">
        <v>512</v>
      </c>
      <c r="B46" s="1">
        <f>1-VIN_nom/VOUT</f>
        <v>0.76249999999999996</v>
      </c>
      <c r="E46" t="s">
        <v>86</v>
      </c>
    </row>
    <row r="47" spans="1:14" x14ac:dyDescent="0.25">
      <c r="B47" s="13">
        <f>B46/Fsw</f>
        <v>1.3260869565217391E-6</v>
      </c>
      <c r="C47" t="s">
        <v>54</v>
      </c>
      <c r="E47" t="s">
        <v>333</v>
      </c>
    </row>
    <row r="48" spans="1:14" x14ac:dyDescent="0.25">
      <c r="A48" t="s">
        <v>513</v>
      </c>
      <c r="B48" s="17">
        <f>(VOUT*IOUT)/(VIN_nom)</f>
        <v>21.473684210526315</v>
      </c>
      <c r="C48" t="s">
        <v>11</v>
      </c>
      <c r="E48" t="s">
        <v>96</v>
      </c>
    </row>
    <row r="50" spans="1:5" x14ac:dyDescent="0.25">
      <c r="A50" t="s">
        <v>514</v>
      </c>
      <c r="B50" s="1">
        <f>1-VIN_max/VOUT</f>
        <v>0.73750000000000004</v>
      </c>
      <c r="E50" t="s">
        <v>87</v>
      </c>
    </row>
    <row r="51" spans="1:5" x14ac:dyDescent="0.25">
      <c r="B51" s="13">
        <f>B50/Fsw</f>
        <v>1.282608695652174E-6</v>
      </c>
      <c r="C51" t="s">
        <v>54</v>
      </c>
      <c r="E51" t="s">
        <v>333</v>
      </c>
    </row>
    <row r="52" spans="1:5" x14ac:dyDescent="0.25">
      <c r="A52" t="s">
        <v>515</v>
      </c>
      <c r="B52" s="17">
        <f>(VOUT*IOUT)/(VIN_max)</f>
        <v>19.428571428571427</v>
      </c>
      <c r="C52" t="s">
        <v>11</v>
      </c>
      <c r="E52" t="s">
        <v>97</v>
      </c>
    </row>
    <row r="54" spans="1:5" x14ac:dyDescent="0.25">
      <c r="A54" s="33" t="s">
        <v>496</v>
      </c>
    </row>
    <row r="55" spans="1:5" x14ac:dyDescent="0.25">
      <c r="A55" t="s">
        <v>497</v>
      </c>
      <c r="B55" s="1">
        <f>1/VIN_min*SQRT(2*Lm*(VOUT-VIN_min)*Fsw*IOUT)</f>
        <v>2.4463633985062438</v>
      </c>
      <c r="E55" t="s">
        <v>44</v>
      </c>
    </row>
    <row r="58" spans="1:5" x14ac:dyDescent="0.25">
      <c r="A58" t="s">
        <v>501</v>
      </c>
      <c r="B58" s="1">
        <f>1/VIN_min*SQRT(2*Lm*(VOUT-VIN_min)*Fsw*IOUT)</f>
        <v>2.4463633985062438</v>
      </c>
      <c r="E58" t="s">
        <v>498</v>
      </c>
    </row>
    <row r="59" spans="1:5" x14ac:dyDescent="0.25">
      <c r="B59" s="13">
        <f>B58/Fsw</f>
        <v>4.2545450408804243E-6</v>
      </c>
      <c r="C59" t="s">
        <v>54</v>
      </c>
      <c r="E59" t="s">
        <v>333</v>
      </c>
    </row>
    <row r="60" spans="1:5" x14ac:dyDescent="0.25">
      <c r="A60" t="s">
        <v>502</v>
      </c>
      <c r="B60" s="17">
        <f>(VOUT*IOUT)/(VIN_min)</f>
        <v>23.314285714285713</v>
      </c>
      <c r="C60" t="s">
        <v>11</v>
      </c>
      <c r="E60" t="s">
        <v>95</v>
      </c>
    </row>
    <row r="62" spans="1:5" x14ac:dyDescent="0.25">
      <c r="A62" t="s">
        <v>503</v>
      </c>
      <c r="B62" s="1">
        <f>1/VIN_nom*SQRT(2*Lm*(VOUT-VIN_nom)*Fsw*IOUT)</f>
        <v>2.2260264836288837</v>
      </c>
      <c r="E62" t="s">
        <v>499</v>
      </c>
    </row>
    <row r="63" spans="1:5" x14ac:dyDescent="0.25">
      <c r="B63" s="13">
        <f>B62/Fsw</f>
        <v>3.8713504063111023E-6</v>
      </c>
      <c r="C63" t="s">
        <v>54</v>
      </c>
      <c r="E63" t="s">
        <v>333</v>
      </c>
    </row>
    <row r="64" spans="1:5" x14ac:dyDescent="0.25">
      <c r="A64" t="s">
        <v>504</v>
      </c>
      <c r="B64" s="17">
        <f>(VOUT*IOUT)/(VIN_nom)</f>
        <v>21.473684210526315</v>
      </c>
      <c r="C64" t="s">
        <v>11</v>
      </c>
      <c r="E64" t="s">
        <v>96</v>
      </c>
    </row>
    <row r="66" spans="1:5" x14ac:dyDescent="0.25">
      <c r="A66" t="s">
        <v>505</v>
      </c>
      <c r="B66" s="1">
        <f>1/VIN_max*SQRT(2*Lm*(VOUT-VIN_max)*Fsw*IOUT)</f>
        <v>1.9807320161313822</v>
      </c>
      <c r="E66" t="s">
        <v>500</v>
      </c>
    </row>
    <row r="67" spans="1:5" x14ac:dyDescent="0.25">
      <c r="B67" s="13">
        <f>B66/Fsw</f>
        <v>3.4447513324024039E-6</v>
      </c>
      <c r="C67" t="s">
        <v>54</v>
      </c>
      <c r="E67" t="s">
        <v>333</v>
      </c>
    </row>
    <row r="68" spans="1:5" x14ac:dyDescent="0.25">
      <c r="A68" t="s">
        <v>94</v>
      </c>
      <c r="B68" s="17">
        <f>(VOUT*IOUT)/(VIN_max)</f>
        <v>19.428571428571427</v>
      </c>
      <c r="C68" t="s">
        <v>11</v>
      </c>
      <c r="E68" t="s">
        <v>97</v>
      </c>
    </row>
    <row r="70" spans="1:5" x14ac:dyDescent="0.25">
      <c r="A70" s="19" t="s">
        <v>77</v>
      </c>
    </row>
    <row r="71" spans="1:5" x14ac:dyDescent="0.25">
      <c r="A71" t="s">
        <v>99</v>
      </c>
      <c r="B71" s="3">
        <f>'Design Converter'!H21/100</f>
        <v>0.6</v>
      </c>
      <c r="E71" t="s">
        <v>122</v>
      </c>
    </row>
    <row r="72" spans="1:5" x14ac:dyDescent="0.25">
      <c r="A72" s="22" t="s">
        <v>107</v>
      </c>
    </row>
    <row r="73" spans="1:5" x14ac:dyDescent="0.25">
      <c r="A73" t="s">
        <v>90</v>
      </c>
      <c r="B73" s="25">
        <f>(VIN_min*Dc_VIN_min)/(IL_avg_VIN_min*ILrip*Fsw)</f>
        <v>3.3995142441034389E-7</v>
      </c>
      <c r="C73" t="s">
        <v>98</v>
      </c>
      <c r="E73" t="s">
        <v>91</v>
      </c>
    </row>
    <row r="74" spans="1:5" x14ac:dyDescent="0.25">
      <c r="A74" t="s">
        <v>569</v>
      </c>
      <c r="B74" s="25">
        <f>(VIN_nom*Dc_VIN_nom)/(IL_avg_VIN_nom*ILrip*Fsw)</f>
        <v>3.9110897982381357E-7</v>
      </c>
      <c r="C74" t="s">
        <v>98</v>
      </c>
      <c r="E74" t="s">
        <v>570</v>
      </c>
    </row>
    <row r="75" spans="1:5" x14ac:dyDescent="0.25">
      <c r="A75" t="s">
        <v>568</v>
      </c>
      <c r="B75" s="25">
        <f>(VIN_max*Dc_VIN_max)/(IL_avg_VIN_max*ILrip*Fsw)</f>
        <v>4.6211636828644507E-7</v>
      </c>
      <c r="C75" t="s">
        <v>98</v>
      </c>
      <c r="E75" t="s">
        <v>571</v>
      </c>
    </row>
    <row r="76" spans="1:5" x14ac:dyDescent="0.25">
      <c r="A76" t="s">
        <v>100</v>
      </c>
      <c r="B76" s="25">
        <f>AVERAGE(B73:B75)</f>
        <v>3.9772559084020082E-7</v>
      </c>
      <c r="C76" t="s">
        <v>98</v>
      </c>
      <c r="E76" t="s">
        <v>101</v>
      </c>
    </row>
    <row r="78" spans="1:5" x14ac:dyDescent="0.25">
      <c r="A78" s="22" t="s">
        <v>108</v>
      </c>
    </row>
    <row r="79" spans="1:5" x14ac:dyDescent="0.25">
      <c r="A79" t="s">
        <v>133</v>
      </c>
      <c r="B79" s="12">
        <v>0.33</v>
      </c>
      <c r="C79" t="s">
        <v>13</v>
      </c>
      <c r="E79" t="s">
        <v>132</v>
      </c>
    </row>
    <row r="80" spans="1:5" x14ac:dyDescent="0.25">
      <c r="A80" t="s">
        <v>109</v>
      </c>
      <c r="B80" s="1">
        <f>IF(Dc_VIN_max&lt;Dc_rip_max,VOUT*(1-Dc_rip_max),VOUT*(1-Dc_VIN_max))</f>
        <v>4.1999999999999993</v>
      </c>
      <c r="C80" t="s">
        <v>10</v>
      </c>
      <c r="E80" t="s">
        <v>136</v>
      </c>
    </row>
    <row r="81" spans="1:5" x14ac:dyDescent="0.25">
      <c r="A81" t="s">
        <v>110</v>
      </c>
      <c r="B81" s="16">
        <f>(VOUT*IOUT)/(VIN_33)</f>
        <v>19.428571428571431</v>
      </c>
      <c r="C81" t="s">
        <v>11</v>
      </c>
      <c r="E81" t="s">
        <v>135</v>
      </c>
    </row>
    <row r="82" spans="1:5" x14ac:dyDescent="0.25">
      <c r="A82" t="s">
        <v>111</v>
      </c>
      <c r="B82" s="25">
        <f>(VIN_33*0.33)/(IIN_33*ILrip*Fsw)</f>
        <v>2.0677749360613806E-7</v>
      </c>
      <c r="C82" t="s">
        <v>98</v>
      </c>
      <c r="E82" t="s">
        <v>134</v>
      </c>
    </row>
    <row r="84" spans="1:5" x14ac:dyDescent="0.25">
      <c r="A84" t="s">
        <v>102</v>
      </c>
      <c r="B84" s="21">
        <f>'Design Converter'!H23*10^-6</f>
        <v>9.9999999999999995E-7</v>
      </c>
      <c r="C84" t="s">
        <v>98</v>
      </c>
      <c r="E84" t="s">
        <v>103</v>
      </c>
    </row>
    <row r="85" spans="1:5" x14ac:dyDescent="0.25">
      <c r="A85" t="s">
        <v>104</v>
      </c>
      <c r="B85" s="3">
        <f>'Design Converter'!H24*10^-3</f>
        <v>5.0000000000000001E-3</v>
      </c>
      <c r="C85" s="2" t="s">
        <v>36</v>
      </c>
      <c r="E85" t="s">
        <v>137</v>
      </c>
    </row>
    <row r="86" spans="1:5" x14ac:dyDescent="0.25">
      <c r="A86" t="s">
        <v>138</v>
      </c>
      <c r="B86" s="12">
        <v>0.2</v>
      </c>
      <c r="C86" s="2"/>
      <c r="E86" t="s">
        <v>139</v>
      </c>
    </row>
    <row r="88" spans="1:5" x14ac:dyDescent="0.25">
      <c r="A88" s="22" t="s">
        <v>573</v>
      </c>
      <c r="C88" s="2"/>
    </row>
    <row r="89" spans="1:5" x14ac:dyDescent="0.25">
      <c r="A89" t="s">
        <v>574</v>
      </c>
      <c r="B89" s="227">
        <f>VIN_min/(2*Fsw*IOUT)*(1-VIN_min/VOUT)*(1-(1-VIN_min/VOUT))</f>
        <v>1.0198542732310315E-7</v>
      </c>
      <c r="C89" s="2"/>
    </row>
    <row r="90" spans="1:5" x14ac:dyDescent="0.25">
      <c r="C90" s="2"/>
    </row>
    <row r="91" spans="1:5" x14ac:dyDescent="0.25">
      <c r="A91" s="22" t="s">
        <v>495</v>
      </c>
      <c r="C91" s="2"/>
    </row>
    <row r="92" spans="1:5" x14ac:dyDescent="0.25">
      <c r="A92" t="s">
        <v>115</v>
      </c>
      <c r="B92" s="16">
        <f>(VIN_min*Dc_VIN_min)/(Lm*Fsw)</f>
        <v>4.7554347826086962</v>
      </c>
      <c r="C92" t="s">
        <v>11</v>
      </c>
      <c r="E92" t="s">
        <v>116</v>
      </c>
    </row>
    <row r="93" spans="1:5" x14ac:dyDescent="0.25">
      <c r="A93" t="s">
        <v>113</v>
      </c>
      <c r="B93" s="16">
        <f>(IL_avg_VIN_min/EFF_est)+(ILrip_VINmin/2)</f>
        <v>28.282479296066249</v>
      </c>
      <c r="C93" t="s">
        <v>11</v>
      </c>
      <c r="E93" t="s">
        <v>114</v>
      </c>
    </row>
    <row r="95" spans="1:5" x14ac:dyDescent="0.25">
      <c r="A95" t="s">
        <v>117</v>
      </c>
      <c r="B95" s="16">
        <f>(VIN_nom*Dc_VIN_nom)/(Lm*Fsw)</f>
        <v>5.0391304347826082</v>
      </c>
      <c r="C95" t="s">
        <v>11</v>
      </c>
      <c r="E95" t="s">
        <v>123</v>
      </c>
    </row>
    <row r="96" spans="1:5" x14ac:dyDescent="0.25">
      <c r="A96" t="s">
        <v>118</v>
      </c>
      <c r="B96" s="16">
        <f>(IL_avg_VIN_nom/EFF_est)+(ILrip_VINnom/2)</f>
        <v>26.37921434019832</v>
      </c>
      <c r="C96" t="s">
        <v>11</v>
      </c>
      <c r="E96" t="s">
        <v>124</v>
      </c>
    </row>
    <row r="98" spans="1:5" x14ac:dyDescent="0.25">
      <c r="A98" t="s">
        <v>119</v>
      </c>
      <c r="B98" s="16">
        <f>(VIN_max*Dc_VIN_max)/(Lm*Fsw)</f>
        <v>5.3869565217391315</v>
      </c>
      <c r="C98" t="s">
        <v>11</v>
      </c>
      <c r="E98" t="s">
        <v>125</v>
      </c>
    </row>
    <row r="99" spans="1:5" x14ac:dyDescent="0.25">
      <c r="A99" t="s">
        <v>120</v>
      </c>
      <c r="B99" s="16">
        <f>(IL_avg_VIN_max/EFF_est)+(ILrip_VINmax/2)</f>
        <v>24.28077984817115</v>
      </c>
      <c r="C99" t="s">
        <v>11</v>
      </c>
      <c r="E99" t="s">
        <v>126</v>
      </c>
    </row>
    <row r="100" spans="1:5" x14ac:dyDescent="0.25">
      <c r="C100" s="2"/>
    </row>
    <row r="101" spans="1:5" x14ac:dyDescent="0.25">
      <c r="A101" s="22" t="s">
        <v>496</v>
      </c>
      <c r="C101" s="2"/>
    </row>
    <row r="102" spans="1:5" x14ac:dyDescent="0.25">
      <c r="A102" t="s">
        <v>115</v>
      </c>
      <c r="B102" s="16">
        <f>(VIN_min*Dc_VIN_min)/(Lm*Fsw)</f>
        <v>4.7554347826086962</v>
      </c>
      <c r="C102" t="s">
        <v>11</v>
      </c>
      <c r="E102" t="s">
        <v>116</v>
      </c>
    </row>
    <row r="103" spans="1:5" x14ac:dyDescent="0.25">
      <c r="A103" t="s">
        <v>113</v>
      </c>
      <c r="B103" s="16">
        <f>B102</f>
        <v>4.7554347826086962</v>
      </c>
      <c r="C103" t="s">
        <v>11</v>
      </c>
      <c r="E103" t="s">
        <v>114</v>
      </c>
    </row>
    <row r="105" spans="1:5" x14ac:dyDescent="0.25">
      <c r="A105" t="s">
        <v>117</v>
      </c>
      <c r="B105" s="16">
        <f>(VIN_nom*Dc_VIN_nom)/(Lm*Fsw)</f>
        <v>5.0391304347826082</v>
      </c>
      <c r="C105" t="s">
        <v>11</v>
      </c>
      <c r="E105" t="s">
        <v>123</v>
      </c>
    </row>
    <row r="106" spans="1:5" x14ac:dyDescent="0.25">
      <c r="A106" t="s">
        <v>118</v>
      </c>
      <c r="B106" s="16">
        <f>B105</f>
        <v>5.0391304347826082</v>
      </c>
      <c r="C106" t="s">
        <v>11</v>
      </c>
      <c r="E106" t="s">
        <v>124</v>
      </c>
    </row>
    <row r="108" spans="1:5" x14ac:dyDescent="0.25">
      <c r="A108" t="s">
        <v>119</v>
      </c>
      <c r="B108" s="16">
        <f>(VIN_max*Dc_VIN_max)/(Lm*Fsw)</f>
        <v>5.3869565217391315</v>
      </c>
      <c r="C108" t="s">
        <v>11</v>
      </c>
      <c r="E108" t="s">
        <v>125</v>
      </c>
    </row>
    <row r="109" spans="1:5" x14ac:dyDescent="0.25">
      <c r="A109" t="s">
        <v>120</v>
      </c>
      <c r="B109" s="16">
        <f>B108</f>
        <v>5.3869565217391315</v>
      </c>
      <c r="C109" t="s">
        <v>11</v>
      </c>
      <c r="E109" t="s">
        <v>126</v>
      </c>
    </row>
    <row r="110" spans="1:5" x14ac:dyDescent="0.25">
      <c r="C110" s="2"/>
    </row>
    <row r="111" spans="1:5" x14ac:dyDescent="0.25">
      <c r="A111" s="22" t="s">
        <v>324</v>
      </c>
      <c r="B111" t="s">
        <v>112</v>
      </c>
    </row>
    <row r="112" spans="1:5" x14ac:dyDescent="0.25">
      <c r="A112" t="s">
        <v>115</v>
      </c>
      <c r="B112" s="16">
        <f>IF(B$36="CCM",B92,B102)</f>
        <v>4.7554347826086962</v>
      </c>
      <c r="C112" t="s">
        <v>11</v>
      </c>
      <c r="E112" t="s">
        <v>116</v>
      </c>
    </row>
    <row r="113" spans="1:13" x14ac:dyDescent="0.25">
      <c r="A113" t="s">
        <v>113</v>
      </c>
      <c r="B113" s="16">
        <f>IF(B$36="CCM",B93,B103)</f>
        <v>28.282479296066249</v>
      </c>
      <c r="C113" t="s">
        <v>11</v>
      </c>
      <c r="E113" t="s">
        <v>114</v>
      </c>
    </row>
    <row r="115" spans="1:13" x14ac:dyDescent="0.25">
      <c r="A115" t="s">
        <v>117</v>
      </c>
      <c r="B115" s="16">
        <f>IF(B$36="CCM",B95,B105)</f>
        <v>5.0391304347826082</v>
      </c>
      <c r="C115" t="s">
        <v>11</v>
      </c>
      <c r="E115" t="s">
        <v>123</v>
      </c>
    </row>
    <row r="116" spans="1:13" x14ac:dyDescent="0.25">
      <c r="A116" t="s">
        <v>118</v>
      </c>
      <c r="B116" s="16">
        <f>IF(B$36="CCM",B96,B106)</f>
        <v>26.37921434019832</v>
      </c>
      <c r="C116" t="s">
        <v>11</v>
      </c>
      <c r="E116" t="s">
        <v>124</v>
      </c>
    </row>
    <row r="118" spans="1:13" x14ac:dyDescent="0.25">
      <c r="A118" t="s">
        <v>119</v>
      </c>
      <c r="B118" s="16">
        <f>IF(B$36="CCM",B98,B108)</f>
        <v>5.3869565217391315</v>
      </c>
      <c r="C118" t="s">
        <v>11</v>
      </c>
      <c r="E118" t="s">
        <v>125</v>
      </c>
    </row>
    <row r="119" spans="1:13" x14ac:dyDescent="0.25">
      <c r="A119" t="s">
        <v>120</v>
      </c>
      <c r="B119" s="16">
        <f>IF(B$36="CCM",B99,B109)</f>
        <v>24.28077984817115</v>
      </c>
      <c r="C119" t="s">
        <v>11</v>
      </c>
      <c r="E119" t="s">
        <v>126</v>
      </c>
    </row>
    <row r="121" spans="1:13" x14ac:dyDescent="0.25">
      <c r="A121" s="19" t="s">
        <v>121</v>
      </c>
    </row>
    <row r="122" spans="1:13" x14ac:dyDescent="0.25">
      <c r="A122" t="s">
        <v>128</v>
      </c>
      <c r="B122" s="3">
        <f>'Design Converter'!H28/100</f>
        <v>0.2</v>
      </c>
      <c r="E122" t="s">
        <v>129</v>
      </c>
    </row>
    <row r="123" spans="1:13" x14ac:dyDescent="0.25">
      <c r="A123" t="s">
        <v>130</v>
      </c>
      <c r="B123" s="17">
        <f>(1+Ipk_margin)*ILp_VINmin</f>
        <v>33.9389751552795</v>
      </c>
      <c r="C123" t="s">
        <v>11</v>
      </c>
      <c r="E123" t="s">
        <v>131</v>
      </c>
    </row>
    <row r="124" spans="1:13" x14ac:dyDescent="0.25">
      <c r="B124" s="17"/>
    </row>
    <row r="125" spans="1:13" x14ac:dyDescent="0.25">
      <c r="A125" t="s">
        <v>142</v>
      </c>
      <c r="B125" s="12">
        <v>0.6</v>
      </c>
      <c r="E125" t="s">
        <v>143</v>
      </c>
      <c r="J125">
        <f>Fsw*Isl*Rsl_int*Lm</f>
        <v>2.2994249999999997E-2</v>
      </c>
    </row>
    <row r="126" spans="1:13" x14ac:dyDescent="0.25">
      <c r="J126">
        <f>Isl</f>
        <v>2.9999999999999997E-5</v>
      </c>
      <c r="K126">
        <f>Fsw</f>
        <v>575000</v>
      </c>
      <c r="L126">
        <f>Lm</f>
        <v>9.9999999999999995E-7</v>
      </c>
      <c r="M126">
        <f>Rsl_int</f>
        <v>1333</v>
      </c>
    </row>
    <row r="127" spans="1:13" x14ac:dyDescent="0.25">
      <c r="A127" t="s">
        <v>140</v>
      </c>
      <c r="B127" s="25">
        <f>(1/B125)*((Fsw*Isl*Rsl_int*Lm)/(VOUT-VIN_min))</f>
        <v>3.0658999999999999E-3</v>
      </c>
      <c r="C127" s="2" t="s">
        <v>36</v>
      </c>
      <c r="E127" t="s">
        <v>141</v>
      </c>
    </row>
    <row r="128" spans="1:13" x14ac:dyDescent="0.25">
      <c r="A128" t="s">
        <v>148</v>
      </c>
      <c r="B128" s="25">
        <f>Vcl/Ipk_selected</f>
        <v>2.9464649283743663E-3</v>
      </c>
      <c r="C128" s="2" t="s">
        <v>36</v>
      </c>
      <c r="E128" t="s">
        <v>149</v>
      </c>
    </row>
    <row r="130" spans="1:11" x14ac:dyDescent="0.25">
      <c r="A130" t="s">
        <v>155</v>
      </c>
      <c r="B130" s="12">
        <v>0.83299999999999996</v>
      </c>
      <c r="E130" t="s">
        <v>156</v>
      </c>
    </row>
    <row r="131" spans="1:11" x14ac:dyDescent="0.25">
      <c r="A131" t="s">
        <v>154</v>
      </c>
      <c r="B131" s="24">
        <f>(Lm*Fsw*(Vcl+(Dc_VIN_min*Isl*Rsl_int)))/((Dc_VIN_min*Kslope*VOUT)-(Dc_VIN_min*Kslope*VIN_min)+(Ipk_selected*Lm*Fsw))</f>
        <v>2.729299861831565E-3</v>
      </c>
      <c r="C131" s="2" t="s">
        <v>36</v>
      </c>
      <c r="E131" t="s">
        <v>165</v>
      </c>
    </row>
    <row r="132" spans="1:11" x14ac:dyDescent="0.25">
      <c r="A132" t="s">
        <v>157</v>
      </c>
      <c r="B132" s="16">
        <f>(Vcl-(Ipk_selected*Rcs_w_sl))/(Isl*Dc_VIN_min)</f>
        <v>314.46868471427206</v>
      </c>
      <c r="C132" s="2" t="s">
        <v>36</v>
      </c>
      <c r="E132" t="s">
        <v>164</v>
      </c>
    </row>
    <row r="134" spans="1:11" x14ac:dyDescent="0.25">
      <c r="A134" t="s">
        <v>152</v>
      </c>
      <c r="B134" s="1">
        <f>IF(AND(Rcs_wo_sl&gt;Rcs_max,OR(B36="CCM",B36="CCM/DCM")),1,0)</f>
        <v>0</v>
      </c>
      <c r="E134" t="s">
        <v>153</v>
      </c>
    </row>
    <row r="135" spans="1:11" x14ac:dyDescent="0.25">
      <c r="A135" t="s">
        <v>158</v>
      </c>
      <c r="B135" s="27">
        <f>IF(B134=0,Rcs_wo_sl,Rcs_w_sl)</f>
        <v>2.9464649283743663E-3</v>
      </c>
      <c r="C135" s="2" t="s">
        <v>36</v>
      </c>
      <c r="E135" t="s">
        <v>162</v>
      </c>
    </row>
    <row r="136" spans="1:11" x14ac:dyDescent="0.25">
      <c r="A136" t="s">
        <v>159</v>
      </c>
      <c r="B136" s="1">
        <f>IF(K136&gt;Rsl_max,Rsl_max,K136)</f>
        <v>0</v>
      </c>
      <c r="C136" s="2" t="s">
        <v>36</v>
      </c>
      <c r="E136" t="s">
        <v>163</v>
      </c>
      <c r="K136">
        <f>IF(B134=0,0,B132)</f>
        <v>0</v>
      </c>
    </row>
    <row r="138" spans="1:11" x14ac:dyDescent="0.25">
      <c r="A138" t="s">
        <v>160</v>
      </c>
      <c r="B138" s="28">
        <f>'Design Converter'!H32/1000</f>
        <v>3.0000000000000001E-3</v>
      </c>
      <c r="C138" s="2" t="s">
        <v>36</v>
      </c>
      <c r="E138" t="s">
        <v>167</v>
      </c>
    </row>
    <row r="139" spans="1:11" x14ac:dyDescent="0.25">
      <c r="A139" t="s">
        <v>161</v>
      </c>
      <c r="B139" s="3">
        <f>'Design Converter'!H33</f>
        <v>2100</v>
      </c>
      <c r="C139" s="2" t="s">
        <v>36</v>
      </c>
      <c r="E139" t="s">
        <v>168</v>
      </c>
    </row>
    <row r="141" spans="1:11" x14ac:dyDescent="0.25">
      <c r="A141" t="s">
        <v>172</v>
      </c>
      <c r="B141" s="1">
        <f>(Isl*(Rsl_int+R_sl)*Fsw)/(((VOUT-VIN_min)/Lm)*R_cs)</f>
        <v>1.5791799999999998</v>
      </c>
      <c r="C141" t="s">
        <v>180</v>
      </c>
      <c r="E141" t="s">
        <v>170</v>
      </c>
      <c r="K141">
        <f>IF(B141&lt;0.5,1,0)</f>
        <v>0</v>
      </c>
    </row>
    <row r="142" spans="1:11" x14ac:dyDescent="0.25">
      <c r="A142" t="s">
        <v>174</v>
      </c>
      <c r="B142" s="17">
        <f>(Vcl-(Isl*R_sl*Dc_VIN_min))/R_cs</f>
        <v>16.927083333333336</v>
      </c>
      <c r="C142" t="s">
        <v>11</v>
      </c>
      <c r="E142" t="s">
        <v>176</v>
      </c>
      <c r="K142">
        <f>IF(IL_pk&lt;Ipk_selected,1,0)</f>
        <v>1</v>
      </c>
    </row>
    <row r="143" spans="1:11" x14ac:dyDescent="0.25">
      <c r="A143" t="s">
        <v>175</v>
      </c>
      <c r="B143" s="17">
        <f>(Vcl-(Isl*R_sl*Dc_VIN_max))/R_cs</f>
        <v>17.845833333333335</v>
      </c>
      <c r="C143" t="s">
        <v>11</v>
      </c>
      <c r="E143" t="s">
        <v>177</v>
      </c>
    </row>
    <row r="144" spans="1:11" x14ac:dyDescent="0.25">
      <c r="A144" t="s">
        <v>178</v>
      </c>
      <c r="B144" s="1">
        <f>0.15</f>
        <v>0.15</v>
      </c>
      <c r="E144" t="s">
        <v>179</v>
      </c>
    </row>
    <row r="145" spans="1:5" x14ac:dyDescent="0.25">
      <c r="A145" t="s">
        <v>181</v>
      </c>
      <c r="B145" s="16">
        <f>(1+B144)*B143</f>
        <v>20.522708333333334</v>
      </c>
      <c r="C145" t="s">
        <v>11</v>
      </c>
      <c r="E145" t="s">
        <v>182</v>
      </c>
    </row>
    <row r="147" spans="1:5" x14ac:dyDescent="0.25">
      <c r="A147" s="22" t="s">
        <v>183</v>
      </c>
    </row>
    <row r="148" spans="1:5" x14ac:dyDescent="0.25">
      <c r="A148" t="s">
        <v>184</v>
      </c>
    </row>
    <row r="150" spans="1:5" x14ac:dyDescent="0.25">
      <c r="A150" s="30" t="s">
        <v>185</v>
      </c>
    </row>
    <row r="152" spans="1:5" x14ac:dyDescent="0.25">
      <c r="A152" t="s">
        <v>190</v>
      </c>
      <c r="B152" s="31">
        <f>'Design Converter'!H38/1000</f>
        <v>0.1</v>
      </c>
      <c r="C152" t="s">
        <v>10</v>
      </c>
      <c r="E152" t="s">
        <v>189</v>
      </c>
    </row>
    <row r="153" spans="1:5" x14ac:dyDescent="0.25">
      <c r="A153" t="s">
        <v>192</v>
      </c>
      <c r="B153" s="1">
        <f>IOUT*Dc_VIN_min/(Fsw*Vout_rip_sel)</f>
        <v>6.9293478260869563E-5</v>
      </c>
      <c r="C153" t="s">
        <v>193</v>
      </c>
      <c r="E153" t="s">
        <v>194</v>
      </c>
    </row>
    <row r="154" spans="1:5" x14ac:dyDescent="0.25">
      <c r="A154" t="s">
        <v>196</v>
      </c>
      <c r="B154" s="16">
        <f>SQRT((1-Dc_VIN_min)*((IOUT^2)*(Dc_VIN_min/((1-Dc_VIN_min)^2))+((ILrip_VINmin^2)/3)))</f>
        <v>9.7232610942757383</v>
      </c>
      <c r="C154" t="s">
        <v>11</v>
      </c>
      <c r="E154" t="s">
        <v>197</v>
      </c>
    </row>
    <row r="155" spans="1:5" x14ac:dyDescent="0.25">
      <c r="A155" t="s">
        <v>202</v>
      </c>
      <c r="B155" s="3">
        <f>'Design Converter'!H41*(10^-6)</f>
        <v>1.9999999999999998E-4</v>
      </c>
      <c r="C155" t="s">
        <v>193</v>
      </c>
      <c r="E155" t="s">
        <v>200</v>
      </c>
    </row>
    <row r="156" spans="1:5" x14ac:dyDescent="0.25">
      <c r="A156" t="s">
        <v>199</v>
      </c>
      <c r="B156" s="3">
        <f>'Design Converter'!H42/1000</f>
        <v>2E-3</v>
      </c>
      <c r="C156" s="2" t="s">
        <v>36</v>
      </c>
      <c r="E156" t="s">
        <v>201</v>
      </c>
    </row>
    <row r="157" spans="1:5" x14ac:dyDescent="0.25">
      <c r="A157" t="s">
        <v>331</v>
      </c>
      <c r="B157">
        <f>SQRT((IOUT^2)+(IL_avg_VIN_min^2)-(2*IOUT*IL_avg_VIN_min)-(2*Dc_VIN_min*(IOUT^2))-(Dc_VIN_min*(IL_avg_VIN_min^2))+(2*Dc_VIN_min*IOUT*IL_avg_VIN_min))</f>
        <v>7.2285705463014667</v>
      </c>
      <c r="E157" s="38" t="s">
        <v>332</v>
      </c>
    </row>
    <row r="159" spans="1:5" x14ac:dyDescent="0.25">
      <c r="A159" s="30" t="s">
        <v>350</v>
      </c>
    </row>
    <row r="160" spans="1:5" x14ac:dyDescent="0.25">
      <c r="A160" t="s">
        <v>335</v>
      </c>
      <c r="B160" s="12">
        <f>Iss</f>
        <v>9.9999999999999991E-6</v>
      </c>
      <c r="C160" t="s">
        <v>11</v>
      </c>
      <c r="E160" t="s">
        <v>337</v>
      </c>
    </row>
    <row r="161" spans="1:5" x14ac:dyDescent="0.25">
      <c r="A161" t="s">
        <v>338</v>
      </c>
      <c r="B161" s="1">
        <f>Iss*VOUT*Cout/(Vref*IOUT)</f>
        <v>6.2745098039215682E-9</v>
      </c>
      <c r="C161" t="s">
        <v>193</v>
      </c>
      <c r="E161" t="s">
        <v>339</v>
      </c>
    </row>
    <row r="162" spans="1:5" x14ac:dyDescent="0.25">
      <c r="A162" t="s">
        <v>340</v>
      </c>
      <c r="B162" s="3">
        <f>'Design Converter'!H46*(10^-3)</f>
        <v>0.02</v>
      </c>
      <c r="C162" t="s">
        <v>54</v>
      </c>
      <c r="E162" t="s">
        <v>341</v>
      </c>
    </row>
    <row r="163" spans="1:5" x14ac:dyDescent="0.25">
      <c r="A163" t="s">
        <v>344</v>
      </c>
      <c r="B163" s="1">
        <f>(tss*Iss)/(Vref*(1-(VIN_min/VOUT)))</f>
        <v>2.5599999999999996E-7</v>
      </c>
      <c r="C163" t="s">
        <v>193</v>
      </c>
      <c r="E163" t="s">
        <v>345</v>
      </c>
    </row>
    <row r="165" spans="1:5" x14ac:dyDescent="0.25">
      <c r="A165" s="30" t="s">
        <v>349</v>
      </c>
    </row>
    <row r="166" spans="1:5" x14ac:dyDescent="0.25">
      <c r="A166" t="s">
        <v>351</v>
      </c>
      <c r="B166" s="3">
        <f>'Design Converter'!H50</f>
        <v>5.8</v>
      </c>
      <c r="C166" t="s">
        <v>10</v>
      </c>
      <c r="E166" t="s">
        <v>353</v>
      </c>
    </row>
    <row r="167" spans="1:5" x14ac:dyDescent="0.25">
      <c r="A167" t="s">
        <v>352</v>
      </c>
      <c r="B167" s="3">
        <f>'Design Converter'!H51</f>
        <v>5.4</v>
      </c>
      <c r="C167" t="s">
        <v>10</v>
      </c>
      <c r="E167" t="s">
        <v>354</v>
      </c>
    </row>
    <row r="168" spans="1:5" x14ac:dyDescent="0.25">
      <c r="A168" t="s">
        <v>356</v>
      </c>
      <c r="B168" s="12">
        <f>UV_rise</f>
        <v>1.5</v>
      </c>
      <c r="C168" t="s">
        <v>10</v>
      </c>
      <c r="E168" t="s">
        <v>361</v>
      </c>
    </row>
    <row r="169" spans="1:5" x14ac:dyDescent="0.25">
      <c r="A169" t="s">
        <v>357</v>
      </c>
      <c r="B169" s="12">
        <f>UV_fall</f>
        <v>1.45</v>
      </c>
      <c r="C169" t="s">
        <v>10</v>
      </c>
      <c r="E169" t="s">
        <v>360</v>
      </c>
    </row>
    <row r="170" spans="1:5" x14ac:dyDescent="0.25">
      <c r="A170" t="s">
        <v>362</v>
      </c>
      <c r="B170" s="12">
        <f>UV_I_hyst</f>
        <v>4.9999999999999996E-6</v>
      </c>
      <c r="C170" t="s">
        <v>11</v>
      </c>
      <c r="E170" t="s">
        <v>364</v>
      </c>
    </row>
    <row r="171" spans="1:5" x14ac:dyDescent="0.25">
      <c r="A171" t="s">
        <v>365</v>
      </c>
      <c r="B171" s="18">
        <f>((Vuvlo_on*0.967)-Vuvlo_off)/(UV_I_hyst)</f>
        <v>41719.999999999942</v>
      </c>
      <c r="C171" s="2" t="s">
        <v>36</v>
      </c>
      <c r="E171" t="s">
        <v>466</v>
      </c>
    </row>
    <row r="172" spans="1:5" x14ac:dyDescent="0.25">
      <c r="A172" t="s">
        <v>365</v>
      </c>
      <c r="B172" s="3">
        <f>'Design Converter'!H53*1000</f>
        <v>21000</v>
      </c>
      <c r="C172" s="2" t="s">
        <v>36</v>
      </c>
      <c r="E172" t="s">
        <v>467</v>
      </c>
    </row>
    <row r="173" spans="1:5" x14ac:dyDescent="0.25">
      <c r="A173" t="s">
        <v>366</v>
      </c>
      <c r="B173" s="18">
        <f>UV_rise*Ruvlo_top/(Vuvlo_on-UV_rise)</f>
        <v>7325.5813953488378</v>
      </c>
      <c r="C173" s="2" t="s">
        <v>36</v>
      </c>
      <c r="E173" t="s">
        <v>468</v>
      </c>
    </row>
    <row r="174" spans="1:5" x14ac:dyDescent="0.25">
      <c r="A174" t="s">
        <v>367</v>
      </c>
      <c r="B174" s="17">
        <f>UV_rise*(Ruvlo_top+Ruvlo_bottom_calc)/Ruvlo_bottom_calc</f>
        <v>5.8</v>
      </c>
      <c r="E174" t="s">
        <v>369</v>
      </c>
    </row>
    <row r="175" spans="1:5" x14ac:dyDescent="0.25">
      <c r="A175" t="s">
        <v>368</v>
      </c>
      <c r="B175" s="17">
        <f>Ruvlo_top*((UV_fall/Ruvlo_top)-(UV_I_hyst)+(UV_fall/Ruvlo_bottom_calc))</f>
        <v>5.5016666666666669</v>
      </c>
      <c r="E175" t="s">
        <v>370</v>
      </c>
    </row>
    <row r="178" spans="1:5" x14ac:dyDescent="0.25">
      <c r="A178" s="30" t="s">
        <v>204</v>
      </c>
    </row>
    <row r="179" spans="1:5" x14ac:dyDescent="0.25">
      <c r="A179" s="34" t="s">
        <v>232</v>
      </c>
      <c r="B179" s="3" t="str">
        <f>'Design Converter'!H57</f>
        <v>3.8V</v>
      </c>
      <c r="C179" t="s">
        <v>10</v>
      </c>
      <c r="E179" t="s">
        <v>276</v>
      </c>
    </row>
    <row r="180" spans="1:5" x14ac:dyDescent="0.25">
      <c r="A180" s="34"/>
    </row>
    <row r="181" spans="1:5" x14ac:dyDescent="0.25">
      <c r="A181" s="33" t="s">
        <v>291</v>
      </c>
    </row>
    <row r="182" spans="1:5" x14ac:dyDescent="0.25">
      <c r="A182" t="s">
        <v>224</v>
      </c>
      <c r="B182" s="3">
        <f>'Design Converter'!H60*(10^3)</f>
        <v>47000</v>
      </c>
      <c r="C182" s="2" t="s">
        <v>36</v>
      </c>
      <c r="E182" t="s">
        <v>277</v>
      </c>
    </row>
    <row r="183" spans="1:5" x14ac:dyDescent="0.25">
      <c r="A183" t="s">
        <v>281</v>
      </c>
      <c r="B183" s="18">
        <f>(RFBT*Vref)/(VOUT-Vref)</f>
        <v>3133.3333333333335</v>
      </c>
      <c r="C183" s="2" t="s">
        <v>36</v>
      </c>
      <c r="E183" t="s">
        <v>284</v>
      </c>
    </row>
    <row r="184" spans="1:5" x14ac:dyDescent="0.25">
      <c r="A184" t="s">
        <v>225</v>
      </c>
      <c r="B184" s="3">
        <f>'Design Converter'!H62*(10^3)</f>
        <v>2000</v>
      </c>
      <c r="C184" s="2" t="s">
        <v>36</v>
      </c>
      <c r="E184" t="s">
        <v>285</v>
      </c>
    </row>
    <row r="185" spans="1:5" x14ac:dyDescent="0.25">
      <c r="A185" t="s">
        <v>286</v>
      </c>
      <c r="B185" s="1">
        <f>VOUT/(RFBB+RFBT)</f>
        <v>3.2653061224489796E-4</v>
      </c>
      <c r="C185" s="2" t="s">
        <v>11</v>
      </c>
      <c r="E185" t="s">
        <v>287</v>
      </c>
    </row>
    <row r="186" spans="1:5" x14ac:dyDescent="0.25">
      <c r="C186" s="2"/>
    </row>
    <row r="187" spans="1:5" x14ac:dyDescent="0.25">
      <c r="A187" s="33" t="s">
        <v>292</v>
      </c>
      <c r="E187" t="s">
        <v>457</v>
      </c>
    </row>
    <row r="189" spans="1:5" x14ac:dyDescent="0.25">
      <c r="A189" t="s">
        <v>470</v>
      </c>
      <c r="B189">
        <f>(Gcomp*(VIN_min/VOUT)*(VOUT/IOUT))/(2*R_cs*Acs)</f>
        <v>16.584967320261438</v>
      </c>
    </row>
    <row r="191" spans="1:5" x14ac:dyDescent="0.25">
      <c r="A191" t="s">
        <v>471</v>
      </c>
      <c r="B191" s="12">
        <f>2/(Cout*(VOUT/IOUT))</f>
        <v>3187.5</v>
      </c>
      <c r="C191" t="s">
        <v>454</v>
      </c>
      <c r="E191" t="s">
        <v>453</v>
      </c>
    </row>
    <row r="192" spans="1:5" x14ac:dyDescent="0.25">
      <c r="A192" t="s">
        <v>472</v>
      </c>
      <c r="B192" s="1">
        <f>B191/(2*PI())</f>
        <v>507.30638110541639</v>
      </c>
      <c r="C192" t="s">
        <v>69</v>
      </c>
      <c r="E192" t="s">
        <v>288</v>
      </c>
    </row>
    <row r="194" spans="1:5" x14ac:dyDescent="0.25">
      <c r="A194" t="s">
        <v>473</v>
      </c>
      <c r="B194" s="12">
        <f>1/(Cout*Resr)</f>
        <v>2500000</v>
      </c>
      <c r="C194" t="s">
        <v>455</v>
      </c>
      <c r="E194" t="s">
        <v>456</v>
      </c>
    </row>
    <row r="195" spans="1:5" x14ac:dyDescent="0.25">
      <c r="A195" t="s">
        <v>474</v>
      </c>
      <c r="B195" s="1">
        <f>B194/(2*PI())</f>
        <v>397887.35772973835</v>
      </c>
      <c r="C195" t="s">
        <v>69</v>
      </c>
      <c r="E195" t="s">
        <v>290</v>
      </c>
    </row>
    <row r="197" spans="1:5" x14ac:dyDescent="0.25">
      <c r="A197" t="s">
        <v>475</v>
      </c>
      <c r="B197" s="12">
        <f>((VOUT/IOUT)*((VIN_min/VOUT)^2))/(Lm)</f>
        <v>150122.54901960786</v>
      </c>
      <c r="E197" t="s">
        <v>452</v>
      </c>
    </row>
    <row r="198" spans="1:5" x14ac:dyDescent="0.25">
      <c r="A198" t="s">
        <v>476</v>
      </c>
      <c r="B198" s="18">
        <f>B197/(2*PI())</f>
        <v>23892.745746025957</v>
      </c>
      <c r="C198" t="s">
        <v>69</v>
      </c>
      <c r="E198" t="s">
        <v>289</v>
      </c>
    </row>
    <row r="199" spans="1:5" x14ac:dyDescent="0.25">
      <c r="B199">
        <f>Fsw/10</f>
        <v>57500</v>
      </c>
      <c r="C199" t="s">
        <v>69</v>
      </c>
      <c r="E199" t="s">
        <v>297</v>
      </c>
    </row>
    <row r="200" spans="1:5" x14ac:dyDescent="0.25">
      <c r="B200">
        <f>IF((B198/5)&lt;(B199),0,1)</f>
        <v>0</v>
      </c>
      <c r="E200" t="s">
        <v>299</v>
      </c>
    </row>
    <row r="202" spans="1:5" x14ac:dyDescent="0.25">
      <c r="A202" t="s">
        <v>477</v>
      </c>
      <c r="B202" s="1">
        <f>(Isl*(Rsl_int+R_sl)*Fsw)</f>
        <v>59219.249999999993</v>
      </c>
      <c r="C202" t="s">
        <v>180</v>
      </c>
      <c r="E202" t="s">
        <v>248</v>
      </c>
    </row>
    <row r="203" spans="1:5" x14ac:dyDescent="0.25">
      <c r="A203" t="s">
        <v>478</v>
      </c>
      <c r="B203" s="1">
        <f>(R_cs*VIN_min*Acs)/Lm</f>
        <v>10500.000000000002</v>
      </c>
      <c r="C203" t="s">
        <v>180</v>
      </c>
      <c r="E203" t="s">
        <v>249</v>
      </c>
    </row>
    <row r="204" spans="1:5" x14ac:dyDescent="0.25">
      <c r="B204" s="1"/>
    </row>
    <row r="205" spans="1:5" x14ac:dyDescent="0.25">
      <c r="A205" t="s">
        <v>479</v>
      </c>
      <c r="B205" s="1">
        <f>2*PI()*Fsw</f>
        <v>3612831.5516282623</v>
      </c>
      <c r="C205" t="s">
        <v>251</v>
      </c>
    </row>
    <row r="206" spans="1:5" x14ac:dyDescent="0.25">
      <c r="A206" t="s">
        <v>480</v>
      </c>
      <c r="B206" s="1">
        <f>1/(PI()*(((VIN_min/VOUT)*(1+(B202/B203)))-0.5))</f>
        <v>0.33418908964652655</v>
      </c>
    </row>
    <row r="212" spans="1:5" x14ac:dyDescent="0.25">
      <c r="A212" t="s">
        <v>293</v>
      </c>
      <c r="B212" s="17">
        <f>IF(B200=0,fz_rhp/5,Fsw/10)</f>
        <v>4778.5491492051915</v>
      </c>
      <c r="C212" t="s">
        <v>69</v>
      </c>
      <c r="E212" t="s">
        <v>298</v>
      </c>
    </row>
    <row r="213" spans="1:5" x14ac:dyDescent="0.25">
      <c r="A213" t="s">
        <v>295</v>
      </c>
      <c r="B213" s="3">
        <f>'Design Converter'!H66*1000</f>
        <v>3500</v>
      </c>
      <c r="C213" t="s">
        <v>69</v>
      </c>
      <c r="E213" t="s">
        <v>296</v>
      </c>
    </row>
    <row r="215" spans="1:5" x14ac:dyDescent="0.25">
      <c r="A215" t="s">
        <v>304</v>
      </c>
      <c r="B215" s="20">
        <f>Gplant_fc_dB</f>
        <v>7.6158842013436709</v>
      </c>
      <c r="C215" t="s">
        <v>275</v>
      </c>
      <c r="E215" t="s">
        <v>305</v>
      </c>
    </row>
    <row r="216" spans="1:5" x14ac:dyDescent="0.25">
      <c r="A216" t="s">
        <v>300</v>
      </c>
      <c r="B216" s="20">
        <f>10^(B215/20)</f>
        <v>2.4032237653898521</v>
      </c>
      <c r="C216" t="s">
        <v>180</v>
      </c>
      <c r="E216" t="s">
        <v>301</v>
      </c>
    </row>
    <row r="217" spans="1:5" x14ac:dyDescent="0.25">
      <c r="A217" t="s">
        <v>306</v>
      </c>
      <c r="B217" s="20">
        <f>1/B216</f>
        <v>0.41610773595099643</v>
      </c>
      <c r="C217" t="s">
        <v>180</v>
      </c>
      <c r="E217" t="s">
        <v>307</v>
      </c>
    </row>
    <row r="219" spans="1:5" x14ac:dyDescent="0.25">
      <c r="A219" t="s">
        <v>313</v>
      </c>
      <c r="B219">
        <f>fcross/10</f>
        <v>350</v>
      </c>
      <c r="C219" t="s">
        <v>69</v>
      </c>
      <c r="E219" t="s">
        <v>311</v>
      </c>
    </row>
    <row r="220" spans="1:5" x14ac:dyDescent="0.25">
      <c r="A220" t="s">
        <v>314</v>
      </c>
      <c r="B220" s="35">
        <f>SQRT(B192*fcross)</f>
        <v>1332.5060352092059</v>
      </c>
      <c r="C220" t="s">
        <v>69</v>
      </c>
      <c r="E220" t="s">
        <v>312</v>
      </c>
    </row>
    <row r="221" spans="1:5" x14ac:dyDescent="0.25">
      <c r="A221" t="s">
        <v>310</v>
      </c>
      <c r="B221" s="35">
        <f>B220</f>
        <v>1332.5060352092059</v>
      </c>
      <c r="C221" t="s">
        <v>69</v>
      </c>
    </row>
    <row r="223" spans="1:5" x14ac:dyDescent="0.25">
      <c r="A223" t="s">
        <v>317</v>
      </c>
      <c r="B223" s="32">
        <f>fz_rhp</f>
        <v>23892.745746025957</v>
      </c>
      <c r="C223" t="s">
        <v>69</v>
      </c>
      <c r="E223" t="s">
        <v>490</v>
      </c>
    </row>
    <row r="224" spans="1:5" x14ac:dyDescent="0.25">
      <c r="E224" t="s">
        <v>491</v>
      </c>
    </row>
    <row r="227" spans="1:5" x14ac:dyDescent="0.25">
      <c r="A227" t="s">
        <v>308</v>
      </c>
      <c r="B227" s="23">
        <f>(Gea_mid_calc*(RFBT+RFBB)/(RFBB*gm_ea))</f>
        <v>5097.3197653997058</v>
      </c>
      <c r="C227" s="2" t="s">
        <v>36</v>
      </c>
      <c r="E227" t="s">
        <v>309</v>
      </c>
    </row>
    <row r="228" spans="1:5" x14ac:dyDescent="0.25">
      <c r="A228" t="s">
        <v>214</v>
      </c>
      <c r="B228" s="3">
        <f>'Design Converter'!H69*1000</f>
        <v>5100</v>
      </c>
      <c r="C228" s="2" t="s">
        <v>36</v>
      </c>
      <c r="E228" t="s">
        <v>221</v>
      </c>
    </row>
    <row r="229" spans="1:5" x14ac:dyDescent="0.25">
      <c r="A229" t="s">
        <v>315</v>
      </c>
      <c r="B229" s="36">
        <f>1/(2*PI()*fz_ea_est*Rcomp_calc)</f>
        <v>2.343198433267832E-8</v>
      </c>
      <c r="C229" s="2" t="s">
        <v>193</v>
      </c>
    </row>
    <row r="230" spans="1:5" x14ac:dyDescent="0.25">
      <c r="A230" t="s">
        <v>219</v>
      </c>
      <c r="B230" s="3">
        <f>'Design Converter'!H70*(10^-9)</f>
        <v>2.2000000000000002E-8</v>
      </c>
      <c r="C230" t="s">
        <v>193</v>
      </c>
      <c r="E230" t="s">
        <v>222</v>
      </c>
    </row>
    <row r="231" spans="1:5" x14ac:dyDescent="0.25">
      <c r="A231" t="s">
        <v>316</v>
      </c>
      <c r="B231" s="36">
        <f>(CComp_calc)/((CComp_calc*Rcomp_calc*2*PI()*fp_ea_est)-1)</f>
        <v>1.3839950701078362E-9</v>
      </c>
      <c r="C231" t="s">
        <v>193</v>
      </c>
    </row>
    <row r="232" spans="1:5" x14ac:dyDescent="0.25">
      <c r="A232" t="s">
        <v>220</v>
      </c>
      <c r="B232" s="3">
        <f>'Design Converter'!H71*(10^-12)</f>
        <v>1.5E-9</v>
      </c>
      <c r="C232" t="s">
        <v>193</v>
      </c>
      <c r="E232" t="s">
        <v>223</v>
      </c>
    </row>
    <row r="235" spans="1:5" x14ac:dyDescent="0.25">
      <c r="A235" s="30" t="s">
        <v>379</v>
      </c>
    </row>
    <row r="236" spans="1:5" x14ac:dyDescent="0.25">
      <c r="A236" s="30" t="s">
        <v>398</v>
      </c>
    </row>
    <row r="237" spans="1:5" x14ac:dyDescent="0.25">
      <c r="A237" s="52" t="s">
        <v>461</v>
      </c>
      <c r="E237" t="s">
        <v>462</v>
      </c>
    </row>
    <row r="238" spans="1:5" x14ac:dyDescent="0.25">
      <c r="A238" t="s">
        <v>380</v>
      </c>
      <c r="B238">
        <f>'Design Converter'!H86/1000</f>
        <v>0.48</v>
      </c>
      <c r="C238" t="s">
        <v>10</v>
      </c>
      <c r="E238" t="s">
        <v>381</v>
      </c>
    </row>
    <row r="239" spans="1:5" x14ac:dyDescent="0.25">
      <c r="A239" t="s">
        <v>411</v>
      </c>
      <c r="B239">
        <f>'Design Converter'!H87*(10^-9)</f>
        <v>1E-8</v>
      </c>
      <c r="C239" t="s">
        <v>409</v>
      </c>
      <c r="E239" t="s">
        <v>410</v>
      </c>
    </row>
    <row r="242" spans="1:8" x14ac:dyDescent="0.25">
      <c r="A242" s="30" t="s">
        <v>401</v>
      </c>
    </row>
    <row r="243" spans="1:8" ht="15.75" x14ac:dyDescent="0.3">
      <c r="A243" t="s">
        <v>412</v>
      </c>
      <c r="B243" s="3">
        <f>'Design Converter'!H76*(10^-3)</f>
        <v>4.5999999999999999E-3</v>
      </c>
      <c r="C243" s="2" t="s">
        <v>36</v>
      </c>
      <c r="E243" s="44" t="s">
        <v>387</v>
      </c>
    </row>
    <row r="244" spans="1:8" ht="15.75" x14ac:dyDescent="0.3">
      <c r="A244" t="s">
        <v>402</v>
      </c>
      <c r="B244" s="3">
        <f>'Design Converter'!H77*(10^-9)</f>
        <v>3.9400000000000002E-8</v>
      </c>
      <c r="C244" t="s">
        <v>193</v>
      </c>
      <c r="E244" s="44" t="s">
        <v>388</v>
      </c>
    </row>
    <row r="245" spans="1:8" ht="15.75" x14ac:dyDescent="0.3">
      <c r="A245" t="s">
        <v>404</v>
      </c>
      <c r="B245" s="3">
        <f>'Design Converter'!H78*(10^-9)</f>
        <v>1.11E-8</v>
      </c>
      <c r="C245" t="s">
        <v>193</v>
      </c>
      <c r="E245" s="44" t="s">
        <v>389</v>
      </c>
    </row>
    <row r="246" spans="1:8" ht="15.75" x14ac:dyDescent="0.3">
      <c r="A246" t="s">
        <v>403</v>
      </c>
      <c r="B246" s="3">
        <f>'Design Converter'!H79*(10^-9)</f>
        <v>1.2300000000000001E-8</v>
      </c>
      <c r="C246" t="s">
        <v>193</v>
      </c>
      <c r="E246" s="44" t="s">
        <v>390</v>
      </c>
    </row>
    <row r="247" spans="1:8" ht="15.75" x14ac:dyDescent="0.3">
      <c r="A247" t="s">
        <v>405</v>
      </c>
      <c r="B247" s="3">
        <f>'Design Converter'!H80</f>
        <v>1.5</v>
      </c>
      <c r="C247" s="2" t="s">
        <v>36</v>
      </c>
      <c r="E247" s="44" t="s">
        <v>391</v>
      </c>
    </row>
    <row r="248" spans="1:8" x14ac:dyDescent="0.25">
      <c r="A248" t="s">
        <v>413</v>
      </c>
      <c r="B248" s="12">
        <v>1.5</v>
      </c>
      <c r="C248" s="2"/>
      <c r="E248" s="44" t="s">
        <v>414</v>
      </c>
      <c r="H248" t="s">
        <v>423</v>
      </c>
    </row>
    <row r="249" spans="1:8" ht="15.75" x14ac:dyDescent="0.3">
      <c r="A249" t="s">
        <v>406</v>
      </c>
      <c r="B249" s="3">
        <f>'Design Converter'!H81</f>
        <v>60</v>
      </c>
      <c r="C249" s="2" t="s">
        <v>397</v>
      </c>
      <c r="E249" s="44" t="s">
        <v>392</v>
      </c>
    </row>
    <row r="250" spans="1:8" ht="15.75" x14ac:dyDescent="0.3">
      <c r="A250" t="s">
        <v>407</v>
      </c>
      <c r="B250" s="3">
        <f>'Design Converter'!H82</f>
        <v>1.7</v>
      </c>
      <c r="C250" s="2" t="s">
        <v>10</v>
      </c>
      <c r="E250" s="44" t="s">
        <v>393</v>
      </c>
    </row>
    <row r="251" spans="1:8" x14ac:dyDescent="0.25">
      <c r="A251" t="s">
        <v>419</v>
      </c>
      <c r="B251" s="12">
        <f>Vcc</f>
        <v>6.75</v>
      </c>
      <c r="C251" s="2" t="s">
        <v>10</v>
      </c>
      <c r="E251" s="44" t="s">
        <v>424</v>
      </c>
    </row>
    <row r="252" spans="1:8" x14ac:dyDescent="0.25">
      <c r="C252" s="2"/>
      <c r="E252" s="44"/>
    </row>
    <row r="253" spans="1:8" x14ac:dyDescent="0.25">
      <c r="C253" s="2"/>
      <c r="E253" s="44"/>
    </row>
    <row r="254" spans="1:8" x14ac:dyDescent="0.25">
      <c r="A254" t="s">
        <v>415</v>
      </c>
      <c r="B254" s="27">
        <f>Vth+(((VOUT*IOUT)/VIN_min)/gfs)</f>
        <v>2.0885714285714285</v>
      </c>
      <c r="C254" s="2" t="s">
        <v>10</v>
      </c>
      <c r="E254" s="44" t="s">
        <v>416</v>
      </c>
    </row>
    <row r="255" spans="1:8" x14ac:dyDescent="0.25">
      <c r="A255" t="s">
        <v>425</v>
      </c>
      <c r="B255" s="1">
        <f>(Qgd+(Qgs/2))*((Rgate+B248)/(Vcc-B254))</f>
        <v>1.110174685871897E-8</v>
      </c>
      <c r="C255" s="2" t="s">
        <v>54</v>
      </c>
      <c r="E255" s="44" t="s">
        <v>417</v>
      </c>
    </row>
    <row r="256" spans="1:8" ht="15.75" thickBot="1" x14ac:dyDescent="0.3">
      <c r="A256" t="s">
        <v>426</v>
      </c>
      <c r="B256" s="1">
        <f>(Qgd+(Qgs/2))*((B248+Rgate)/B254)</f>
        <v>2.477770177838577E-8</v>
      </c>
      <c r="C256" t="s">
        <v>54</v>
      </c>
      <c r="E256" s="45" t="s">
        <v>418</v>
      </c>
    </row>
  </sheetData>
  <mergeCells count="2">
    <mergeCell ref="A1:J1"/>
    <mergeCell ref="E5:H5"/>
  </mergeCells>
  <pageMargins left="0.7" right="0.7" top="0.75" bottom="0.75" header="0.3" footer="0.3"/>
  <pageSetup orientation="portrait" r:id="rId1"/>
  <drawing r:id="rId2"/>
  <legacyDrawing r:id="rId3"/>
  <oleObjects>
    <mc:AlternateContent xmlns:mc="http://schemas.openxmlformats.org/markup-compatibility/2006">
      <mc:Choice Requires="x14">
        <oleObject progId="Mathcad" shapeId="2053" r:id="rId4">
          <objectPr defaultSize="0" autoPict="0" r:id="rId5">
            <anchor moveWithCells="1">
              <from>
                <xdr:col>8</xdr:col>
                <xdr:colOff>57150</xdr:colOff>
                <xdr:row>154</xdr:row>
                <xdr:rowOff>133350</xdr:rowOff>
              </from>
              <to>
                <xdr:col>12</xdr:col>
                <xdr:colOff>390525</xdr:colOff>
                <xdr:row>157</xdr:row>
                <xdr:rowOff>19050</xdr:rowOff>
              </to>
            </anchor>
          </objectPr>
        </oleObject>
      </mc:Choice>
      <mc:Fallback>
        <oleObject progId="Mathcad" shapeId="2053"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T157"/>
  <sheetViews>
    <sheetView topLeftCell="R1" zoomScale="85" zoomScaleNormal="85" workbookViewId="0">
      <pane ySplit="6" topLeftCell="A135" activePane="bottomLeft" state="frozen"/>
      <selection activeCell="N8" sqref="N8"/>
      <selection pane="bottomLeft" activeCell="N8" sqref="N8"/>
    </sheetView>
  </sheetViews>
  <sheetFormatPr defaultRowHeight="15" x14ac:dyDescent="0.25"/>
  <cols>
    <col min="10" max="10" width="10" bestFit="1" customWidth="1"/>
    <col min="18" max="18" width="8.85546875"/>
    <col min="21" max="21" width="8.85546875"/>
    <col min="24" max="24" width="8.85546875"/>
    <col min="25" max="25" width="12" bestFit="1" customWidth="1"/>
    <col min="28" max="28" width="8.85546875"/>
    <col min="30" max="30" width="8.85546875"/>
    <col min="35" max="35" width="8.85546875"/>
    <col min="39" max="39" width="11" bestFit="1" customWidth="1"/>
    <col min="42" max="43" width="8.85546875"/>
  </cols>
  <sheetData>
    <row r="1" spans="1:46" ht="27.75" x14ac:dyDescent="0.4">
      <c r="A1" s="229" t="s">
        <v>15</v>
      </c>
      <c r="B1" s="229"/>
      <c r="C1" s="229"/>
      <c r="D1" s="229"/>
      <c r="E1" s="229"/>
      <c r="F1" s="229"/>
      <c r="G1" s="229"/>
      <c r="H1" s="229"/>
      <c r="I1" s="229"/>
      <c r="J1" s="229"/>
      <c r="K1" s="229"/>
      <c r="L1" s="229"/>
      <c r="M1" s="229"/>
    </row>
    <row r="4" spans="1:46" ht="15.75" thickBot="1" x14ac:dyDescent="0.3">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row>
    <row r="5" spans="1:46" ht="30" x14ac:dyDescent="0.25">
      <c r="R5" s="234" t="s">
        <v>372</v>
      </c>
      <c r="S5" s="235"/>
      <c r="T5" s="235"/>
      <c r="U5" s="236"/>
      <c r="V5" s="234" t="s">
        <v>373</v>
      </c>
      <c r="W5" s="235"/>
      <c r="X5" s="236"/>
      <c r="Y5" s="234" t="s">
        <v>446</v>
      </c>
      <c r="Z5" s="235"/>
      <c r="AA5" s="235"/>
      <c r="AB5" s="235"/>
      <c r="AC5" s="235"/>
      <c r="AD5" s="236"/>
      <c r="AE5" s="234" t="s">
        <v>445</v>
      </c>
      <c r="AF5" s="235"/>
      <c r="AG5" s="235"/>
      <c r="AH5" s="235"/>
      <c r="AI5" s="236"/>
      <c r="AJ5" s="234" t="s">
        <v>447</v>
      </c>
      <c r="AK5" s="235"/>
      <c r="AL5" s="235"/>
      <c r="AM5" s="235"/>
      <c r="AN5" s="236"/>
      <c r="AO5" s="231" t="s">
        <v>442</v>
      </c>
      <c r="AP5" s="232"/>
      <c r="AQ5" s="233"/>
      <c r="AR5" s="49" t="s">
        <v>435</v>
      </c>
      <c r="AS5" s="50"/>
      <c r="AT5" s="51"/>
    </row>
    <row r="6" spans="1:46" ht="18" x14ac:dyDescent="0.35">
      <c r="R6" s="39" t="s">
        <v>31</v>
      </c>
      <c r="S6" s="37" t="s">
        <v>33</v>
      </c>
      <c r="T6" s="37" t="s">
        <v>327</v>
      </c>
      <c r="U6" s="40" t="s">
        <v>330</v>
      </c>
      <c r="V6" s="39" t="s">
        <v>328</v>
      </c>
      <c r="W6" s="37" t="s">
        <v>329</v>
      </c>
      <c r="X6" s="40" t="s">
        <v>377</v>
      </c>
      <c r="Y6" s="39" t="s">
        <v>374</v>
      </c>
      <c r="Z6" s="37" t="s">
        <v>376</v>
      </c>
      <c r="AA6" s="37" t="s">
        <v>375</v>
      </c>
      <c r="AB6" s="46" t="s">
        <v>383</v>
      </c>
      <c r="AC6" s="46" t="s">
        <v>384</v>
      </c>
      <c r="AD6" s="48" t="s">
        <v>433</v>
      </c>
      <c r="AE6" s="39" t="s">
        <v>427</v>
      </c>
      <c r="AF6" s="37" t="s">
        <v>428</v>
      </c>
      <c r="AG6" s="46" t="s">
        <v>430</v>
      </c>
      <c r="AH6" s="46" t="s">
        <v>429</v>
      </c>
      <c r="AI6" s="48" t="s">
        <v>431</v>
      </c>
      <c r="AJ6" s="39" t="s">
        <v>382</v>
      </c>
      <c r="AK6" s="37" t="s">
        <v>378</v>
      </c>
      <c r="AL6" s="37" t="s">
        <v>385</v>
      </c>
      <c r="AM6" s="37" t="s">
        <v>386</v>
      </c>
      <c r="AN6" s="40" t="s">
        <v>432</v>
      </c>
      <c r="AO6" s="39" t="s">
        <v>434</v>
      </c>
      <c r="AP6" s="37" t="s">
        <v>437</v>
      </c>
      <c r="AQ6" s="40" t="s">
        <v>438</v>
      </c>
      <c r="AR6" s="39" t="s">
        <v>436</v>
      </c>
      <c r="AS6" s="37" t="s">
        <v>444</v>
      </c>
      <c r="AT6" s="40" t="s">
        <v>443</v>
      </c>
    </row>
    <row r="7" spans="1:46" x14ac:dyDescent="0.25">
      <c r="Q7">
        <v>0</v>
      </c>
      <c r="R7" s="39">
        <f t="shared" ref="R7:R70" si="0">VOUT</f>
        <v>16</v>
      </c>
      <c r="S7" s="37">
        <f t="shared" ref="S7:S38" si="1">Q7*$O$12</f>
        <v>0</v>
      </c>
      <c r="T7" s="37">
        <f t="shared" ref="T7:T70" si="2">VIN_var</f>
        <v>3.8</v>
      </c>
      <c r="U7" s="40">
        <f t="shared" ref="U7:U38" si="3">(R7*S7)/(T7*EFF_est)</f>
        <v>0</v>
      </c>
      <c r="V7" s="39">
        <f t="shared" ref="V7:V38" si="4">IF((S7*R7/T7)&lt;((T7*(1-(T7/R7)))/(2*Lm*Fsw)),1,2)</f>
        <v>1</v>
      </c>
      <c r="W7" s="37">
        <f t="shared" ref="W7:W38" si="5">CHOOSE(V7,SQRT((2*S7*Lm*Fsw*(R7-T7))/((T7)^2)),1-(T7/R7))</f>
        <v>0</v>
      </c>
      <c r="X7" s="40">
        <f t="shared" ref="X7:X38" si="6">CHOOSE(V7,(Lm*W7*Fsw)/(R7-T7),1-W7)</f>
        <v>0</v>
      </c>
      <c r="Y7" s="39">
        <f t="shared" ref="Y7:Y38" si="7">(T7*W7)/(Lm*Fsw)</f>
        <v>0</v>
      </c>
      <c r="Z7" s="37">
        <f>CHOOSE(V7,Y7,U7+(0.5*Y7))</f>
        <v>0</v>
      </c>
      <c r="AA7" s="37">
        <f>CHOOSE(V7,Z7*SQRT((W7+X7)/3),SQRT((U7^2)+((Y7^2)/12)))</f>
        <v>0</v>
      </c>
      <c r="AB7" s="37">
        <v>0</v>
      </c>
      <c r="AC7" s="37">
        <f t="shared" ref="AC7:AC38" si="8">(AA7^2)*Rdcr</f>
        <v>0</v>
      </c>
      <c r="AD7" s="40">
        <f>AB7+AC7</f>
        <v>0</v>
      </c>
      <c r="AE7" s="39">
        <f>U7*W7</f>
        <v>0</v>
      </c>
      <c r="AF7" s="37">
        <f>CHOOSE(V7,Z7*SQRT(W7/3),SQRT(W7*((Z7^2)+((Y7^2)/3)-(Z7*Y7))))</f>
        <v>0</v>
      </c>
      <c r="AG7" s="37">
        <f t="shared" ref="AG7:AG38" si="9">(AF7^2)*RDS_on</f>
        <v>0</v>
      </c>
      <c r="AH7" s="37">
        <f t="shared" ref="AH7:AH38" si="10">((R7*U7)/2)*Fsw*(tr_sw+tf_sw)</f>
        <v>0</v>
      </c>
      <c r="AI7" s="40">
        <f>AG7+AH7</f>
        <v>0</v>
      </c>
      <c r="AJ7" s="39">
        <f>X7*U7</f>
        <v>0</v>
      </c>
      <c r="AK7" s="37">
        <f t="shared" ref="AK7:AK38" si="11">CHOOSE(V7,Z7*SQRT(X7/3),SQRT(X7*((Z7^2)+((Y7^2)/3)-(Y7*Z7))))</f>
        <v>0</v>
      </c>
      <c r="AL7" s="37">
        <f t="shared" ref="AL7:AL38" si="12">S7*Vd_rect</f>
        <v>0</v>
      </c>
      <c r="AM7" s="37">
        <f t="shared" ref="AM7:AM38" si="13">CHOOSE(V7,(R7+Vd_rect)*Qrr*Fsw,(R7+Vd_rect)*Qrr*Fsw)</f>
        <v>9.4760000000000011E-2</v>
      </c>
      <c r="AN7" s="40">
        <f>AL7+AM7</f>
        <v>9.4760000000000011E-2</v>
      </c>
      <c r="AO7" s="39">
        <f t="shared" ref="AO7:AO38" si="14">(AF7^2)*R_cs</f>
        <v>0</v>
      </c>
      <c r="AP7" s="37">
        <f t="shared" ref="AP7:AP38" si="15">Qg_tot*Vcc*Fsw</f>
        <v>0.15292125000000001</v>
      </c>
      <c r="AQ7" s="40">
        <f t="shared" ref="AQ7:AQ38" si="16">IQ*T7</f>
        <v>1.7099999999999999E-3</v>
      </c>
      <c r="AR7" s="39">
        <f>AO7+AN7+AI7+AD7+AP7+AQ7</f>
        <v>0.24939125000000001</v>
      </c>
      <c r="AS7" s="37">
        <f>R7*S7</f>
        <v>0</v>
      </c>
      <c r="AT7" s="40">
        <f>(AS7/(AS7+AR7))*100</f>
        <v>0</v>
      </c>
    </row>
    <row r="8" spans="1:46" x14ac:dyDescent="0.25">
      <c r="M8">
        <f>Fsw</f>
        <v>575000</v>
      </c>
      <c r="Q8">
        <v>1</v>
      </c>
      <c r="R8" s="39">
        <f t="shared" si="0"/>
        <v>16</v>
      </c>
      <c r="S8" s="37">
        <f t="shared" si="1"/>
        <v>3.3999999999999996E-2</v>
      </c>
      <c r="T8" s="37">
        <f t="shared" si="2"/>
        <v>3.8</v>
      </c>
      <c r="U8" s="40">
        <f t="shared" si="3"/>
        <v>0.1590643274853801</v>
      </c>
      <c r="V8" s="39">
        <f t="shared" si="4"/>
        <v>1</v>
      </c>
      <c r="W8" s="37">
        <f t="shared" si="5"/>
        <v>0.18175430129375525</v>
      </c>
      <c r="X8" s="40">
        <f t="shared" si="6"/>
        <v>8.5662887904843672E-3</v>
      </c>
      <c r="Y8" s="39">
        <f t="shared" si="7"/>
        <v>1.2011588607239476</v>
      </c>
      <c r="Z8" s="37">
        <f t="shared" ref="Z8:Z15" si="17">CHOOSE(V8,Y8,U8+(0.5*Y8))</f>
        <v>1.2011588607239476</v>
      </c>
      <c r="AA8" s="37">
        <f t="shared" ref="AA8:AA15" si="18">CHOOSE(V8,Z8*SQRT((W8+X8)/3),SQRT((U8^2)+((Y8^2)/12)))</f>
        <v>0.30253993535302354</v>
      </c>
      <c r="AB8" s="37">
        <v>0</v>
      </c>
      <c r="AC8" s="37">
        <f t="shared" si="8"/>
        <v>4.576520624170583E-4</v>
      </c>
      <c r="AD8" s="40">
        <f t="shared" ref="AD8:AD71" si="19">AB8+AC8</f>
        <v>4.576520624170583E-4</v>
      </c>
      <c r="AE8" s="39">
        <f>U8*W8</f>
        <v>2.891062570286633E-2</v>
      </c>
      <c r="AF8" s="37">
        <f t="shared" ref="AF8:AF71" si="20">CHOOSE(V8,Z8*SQRT(W8/3),SQRT(W8*((Z8^2)+((Y8^2)/3)-(Z8*Y8))))</f>
        <v>0.29565291867450455</v>
      </c>
      <c r="AG8" s="37">
        <f t="shared" si="9"/>
        <v>4.0208898227546468E-4</v>
      </c>
      <c r="AH8" s="37">
        <f t="shared" si="10"/>
        <v>2.6252845692833593E-2</v>
      </c>
      <c r="AI8" s="40">
        <f t="shared" ref="AI8:AI71" si="21">AG8+AH8</f>
        <v>2.6654934675109057E-2</v>
      </c>
      <c r="AJ8" s="39">
        <f t="shared" ref="AJ8:AJ71" si="22">X8*U8</f>
        <v>1.362590965503946E-3</v>
      </c>
      <c r="AK8" s="37">
        <f t="shared" si="11"/>
        <v>6.4185389012285751E-2</v>
      </c>
      <c r="AL8" s="37">
        <f t="shared" si="12"/>
        <v>1.6319999999999998E-2</v>
      </c>
      <c r="AM8" s="37">
        <f t="shared" si="13"/>
        <v>9.4760000000000011E-2</v>
      </c>
      <c r="AN8" s="40">
        <f t="shared" ref="AN8:AN71" si="23">AL8+AM8</f>
        <v>0.11108000000000001</v>
      </c>
      <c r="AO8" s="39">
        <f t="shared" si="14"/>
        <v>2.6223194496225957E-4</v>
      </c>
      <c r="AP8" s="37">
        <f t="shared" si="15"/>
        <v>0.15292125000000001</v>
      </c>
      <c r="AQ8" s="40">
        <f t="shared" si="16"/>
        <v>1.7099999999999999E-3</v>
      </c>
      <c r="AR8" s="39">
        <f t="shared" ref="AR8:AR71" si="24">AO8+AN8+AI8+AD8+AP8+AQ8</f>
        <v>0.29308606868248838</v>
      </c>
      <c r="AS8" s="37">
        <f t="shared" ref="AS8:AS71" si="25">R8*S8</f>
        <v>0.54399999999999993</v>
      </c>
      <c r="AT8" s="40">
        <f t="shared" ref="AT8:AT71" si="26">(AS8/(AS8+AR8))*100</f>
        <v>64.98734363793865</v>
      </c>
    </row>
    <row r="9" spans="1:46" x14ac:dyDescent="0.25">
      <c r="N9" s="37" t="s">
        <v>233</v>
      </c>
      <c r="O9" s="37">
        <f>VIN_var</f>
        <v>3.8</v>
      </c>
      <c r="P9" t="s">
        <v>10</v>
      </c>
      <c r="Q9">
        <v>2</v>
      </c>
      <c r="R9" s="39">
        <f t="shared" si="0"/>
        <v>16</v>
      </c>
      <c r="S9" s="37">
        <f t="shared" si="1"/>
        <v>6.7999999999999991E-2</v>
      </c>
      <c r="T9" s="37">
        <f t="shared" si="2"/>
        <v>3.8</v>
      </c>
      <c r="U9" s="40">
        <f t="shared" si="3"/>
        <v>0.31812865497076021</v>
      </c>
      <c r="V9" s="39">
        <f t="shared" si="4"/>
        <v>1</v>
      </c>
      <c r="W9" s="37">
        <f t="shared" si="5"/>
        <v>0.25703939790927444</v>
      </c>
      <c r="X9" s="40">
        <f t="shared" si="6"/>
        <v>1.2114561786707608E-2</v>
      </c>
      <c r="Y9" s="39">
        <f t="shared" si="7"/>
        <v>1.6986951514004225</v>
      </c>
      <c r="Z9" s="37">
        <f t="shared" si="17"/>
        <v>1.6986951514004225</v>
      </c>
      <c r="AA9" s="37">
        <f t="shared" si="18"/>
        <v>0.50880949421889621</v>
      </c>
      <c r="AB9" s="37">
        <v>0</v>
      </c>
      <c r="AC9" s="37">
        <f t="shared" si="8"/>
        <v>1.294435507036445E-3</v>
      </c>
      <c r="AD9" s="40">
        <f t="shared" si="19"/>
        <v>1.294435507036445E-3</v>
      </c>
      <c r="AE9" s="39">
        <f t="shared" ref="AE9:AE72" si="27">U9*W9</f>
        <v>8.1771597931371509E-2</v>
      </c>
      <c r="AF9" s="37">
        <f t="shared" si="20"/>
        <v>0.49722695894537788</v>
      </c>
      <c r="AG9" s="37">
        <f t="shared" si="9"/>
        <v>1.1372793840295152E-3</v>
      </c>
      <c r="AH9" s="37">
        <f t="shared" si="10"/>
        <v>5.2505691385667186E-2</v>
      </c>
      <c r="AI9" s="40">
        <f t="shared" si="21"/>
        <v>5.36429707696967E-2</v>
      </c>
      <c r="AJ9" s="39">
        <f t="shared" si="22"/>
        <v>3.8539892467654609E-3</v>
      </c>
      <c r="AK9" s="37">
        <f t="shared" si="11"/>
        <v>0.1079465270641925</v>
      </c>
      <c r="AL9" s="37">
        <f t="shared" si="12"/>
        <v>3.2639999999999995E-2</v>
      </c>
      <c r="AM9" s="37">
        <f t="shared" si="13"/>
        <v>9.4760000000000011E-2</v>
      </c>
      <c r="AN9" s="40">
        <f t="shared" si="23"/>
        <v>0.12740000000000001</v>
      </c>
      <c r="AO9" s="39">
        <f t="shared" si="14"/>
        <v>7.4170394610620556E-4</v>
      </c>
      <c r="AP9" s="37">
        <f t="shared" si="15"/>
        <v>0.15292125000000001</v>
      </c>
      <c r="AQ9" s="40">
        <f t="shared" si="16"/>
        <v>1.7099999999999999E-3</v>
      </c>
      <c r="AR9" s="39">
        <f t="shared" si="24"/>
        <v>0.3377103602228394</v>
      </c>
      <c r="AS9" s="37">
        <f t="shared" si="25"/>
        <v>1.0879999999999999</v>
      </c>
      <c r="AT9" s="40">
        <f t="shared" si="26"/>
        <v>76.312835366500735</v>
      </c>
    </row>
    <row r="10" spans="1:46" x14ac:dyDescent="0.25">
      <c r="N10" s="37"/>
      <c r="O10" s="37"/>
      <c r="Q10">
        <v>3</v>
      </c>
      <c r="R10" s="39">
        <f t="shared" si="0"/>
        <v>16</v>
      </c>
      <c r="S10" s="37">
        <f t="shared" si="1"/>
        <v>0.10199999999999998</v>
      </c>
      <c r="T10" s="37">
        <f t="shared" si="2"/>
        <v>3.8</v>
      </c>
      <c r="U10" s="40">
        <f t="shared" si="3"/>
        <v>0.47719298245614028</v>
      </c>
      <c r="V10" s="39">
        <f t="shared" si="4"/>
        <v>1</v>
      </c>
      <c r="W10" s="37">
        <f t="shared" si="5"/>
        <v>0.31480768433496581</v>
      </c>
      <c r="X10" s="40">
        <f t="shared" si="6"/>
        <v>1.4837247417426667E-2</v>
      </c>
      <c r="Y10" s="39">
        <f t="shared" si="7"/>
        <v>2.0804681747354263</v>
      </c>
      <c r="Z10" s="37">
        <f t="shared" si="17"/>
        <v>2.0804681747354263</v>
      </c>
      <c r="AA10" s="37">
        <f t="shared" si="18"/>
        <v>0.68964191764785943</v>
      </c>
      <c r="AB10" s="37">
        <v>0</v>
      </c>
      <c r="AC10" s="37">
        <f t="shared" si="8"/>
        <v>2.3780298728850848E-3</v>
      </c>
      <c r="AD10" s="40">
        <f t="shared" si="19"/>
        <v>2.3780298728850848E-3</v>
      </c>
      <c r="AE10" s="39">
        <f t="shared" si="27"/>
        <v>0.1502240177879135</v>
      </c>
      <c r="AF10" s="37">
        <f t="shared" si="20"/>
        <v>0.67394291452781019</v>
      </c>
      <c r="AG10" s="37">
        <f t="shared" si="9"/>
        <v>2.0893156393943005E-3</v>
      </c>
      <c r="AH10" s="37">
        <f t="shared" si="10"/>
        <v>7.8758537078500793E-2</v>
      </c>
      <c r="AI10" s="40">
        <f t="shared" si="21"/>
        <v>8.0847852717895088E-2</v>
      </c>
      <c r="AJ10" s="39">
        <f t="shared" si="22"/>
        <v>7.0802303465614964E-3</v>
      </c>
      <c r="AK10" s="37">
        <f t="shared" si="11"/>
        <v>0.146311047206893</v>
      </c>
      <c r="AL10" s="37">
        <f t="shared" si="12"/>
        <v>4.895999999999999E-2</v>
      </c>
      <c r="AM10" s="37">
        <f t="shared" si="13"/>
        <v>9.4760000000000011E-2</v>
      </c>
      <c r="AN10" s="40">
        <f t="shared" si="23"/>
        <v>0.14372000000000001</v>
      </c>
      <c r="AO10" s="39">
        <f t="shared" si="14"/>
        <v>1.3625971561267178E-3</v>
      </c>
      <c r="AP10" s="37">
        <f t="shared" si="15"/>
        <v>0.15292125000000001</v>
      </c>
      <c r="AQ10" s="40">
        <f t="shared" si="16"/>
        <v>1.7099999999999999E-3</v>
      </c>
      <c r="AR10" s="39">
        <f t="shared" si="24"/>
        <v>0.38293972974690693</v>
      </c>
      <c r="AS10" s="37">
        <f t="shared" si="25"/>
        <v>1.6319999999999997</v>
      </c>
      <c r="AT10" s="40">
        <f t="shared" si="26"/>
        <v>80.99497845550907</v>
      </c>
    </row>
    <row r="11" spans="1:46" x14ac:dyDescent="0.25">
      <c r="N11" s="37" t="s">
        <v>325</v>
      </c>
      <c r="O11" s="37">
        <v>150</v>
      </c>
      <c r="Q11">
        <v>4</v>
      </c>
      <c r="R11" s="39">
        <f t="shared" si="0"/>
        <v>16</v>
      </c>
      <c r="S11" s="37">
        <f t="shared" si="1"/>
        <v>0.13599999999999998</v>
      </c>
      <c r="T11" s="37">
        <f t="shared" si="2"/>
        <v>3.8</v>
      </c>
      <c r="U11" s="40">
        <f t="shared" si="3"/>
        <v>0.63625730994152041</v>
      </c>
      <c r="V11" s="39">
        <f t="shared" si="4"/>
        <v>1</v>
      </c>
      <c r="W11" s="37">
        <f t="shared" si="5"/>
        <v>0.3635086025875105</v>
      </c>
      <c r="X11" s="40">
        <f t="shared" si="6"/>
        <v>1.7132577580968734E-2</v>
      </c>
      <c r="Y11" s="39">
        <f t="shared" si="7"/>
        <v>2.4023177214478952</v>
      </c>
      <c r="Z11" s="37">
        <f t="shared" si="17"/>
        <v>2.4023177214478952</v>
      </c>
      <c r="AA11" s="37">
        <f t="shared" si="18"/>
        <v>0.85571215947145074</v>
      </c>
      <c r="AB11" s="37">
        <v>0</v>
      </c>
      <c r="AC11" s="37">
        <f t="shared" si="8"/>
        <v>3.6612164993364677E-3</v>
      </c>
      <c r="AD11" s="40">
        <f t="shared" si="19"/>
        <v>3.6612164993364677E-3</v>
      </c>
      <c r="AE11" s="39">
        <f t="shared" si="27"/>
        <v>0.23128500562293064</v>
      </c>
      <c r="AF11" s="37">
        <f t="shared" si="20"/>
        <v>0.83623273468934822</v>
      </c>
      <c r="AG11" s="37">
        <f t="shared" si="9"/>
        <v>3.2167118582037192E-3</v>
      </c>
      <c r="AH11" s="37">
        <f t="shared" si="10"/>
        <v>0.10501138277133437</v>
      </c>
      <c r="AI11" s="40">
        <f t="shared" si="21"/>
        <v>0.10822809462953809</v>
      </c>
      <c r="AJ11" s="39">
        <f t="shared" si="22"/>
        <v>1.0900727724031568E-2</v>
      </c>
      <c r="AK11" s="37">
        <f t="shared" si="11"/>
        <v>0.18154369529473507</v>
      </c>
      <c r="AL11" s="37">
        <f t="shared" si="12"/>
        <v>6.5279999999999991E-2</v>
      </c>
      <c r="AM11" s="37">
        <f t="shared" si="13"/>
        <v>9.4760000000000011E-2</v>
      </c>
      <c r="AN11" s="40">
        <f t="shared" si="23"/>
        <v>0.16004000000000002</v>
      </c>
      <c r="AO11" s="39">
        <f t="shared" si="14"/>
        <v>2.0978555596980778E-3</v>
      </c>
      <c r="AP11" s="37">
        <f t="shared" si="15"/>
        <v>0.15292125000000001</v>
      </c>
      <c r="AQ11" s="40">
        <f t="shared" si="16"/>
        <v>1.7099999999999999E-3</v>
      </c>
      <c r="AR11" s="39">
        <f t="shared" si="24"/>
        <v>0.42865841668857263</v>
      </c>
      <c r="AS11" s="37">
        <f t="shared" si="25"/>
        <v>2.1759999999999997</v>
      </c>
      <c r="AT11" s="40">
        <f t="shared" si="26"/>
        <v>83.542624478431733</v>
      </c>
    </row>
    <row r="12" spans="1:46" x14ac:dyDescent="0.25">
      <c r="N12" s="37" t="s">
        <v>326</v>
      </c>
      <c r="O12" s="37">
        <f>IOUT/(O11)</f>
        <v>3.3999999999999996E-2</v>
      </c>
      <c r="Q12">
        <v>5</v>
      </c>
      <c r="R12" s="39">
        <f t="shared" si="0"/>
        <v>16</v>
      </c>
      <c r="S12" s="37">
        <f t="shared" si="1"/>
        <v>0.16999999999999998</v>
      </c>
      <c r="T12" s="37">
        <f t="shared" si="2"/>
        <v>3.8</v>
      </c>
      <c r="U12" s="40">
        <f t="shared" si="3"/>
        <v>0.79532163742690054</v>
      </c>
      <c r="V12" s="39">
        <f t="shared" si="4"/>
        <v>1</v>
      </c>
      <c r="W12" s="37">
        <f t="shared" si="5"/>
        <v>0.40641497289581469</v>
      </c>
      <c r="X12" s="40">
        <f t="shared" si="6"/>
        <v>1.9154804050417494E-2</v>
      </c>
      <c r="Y12" s="39">
        <f t="shared" si="7"/>
        <v>2.6858728643549492</v>
      </c>
      <c r="Z12" s="37">
        <f t="shared" si="17"/>
        <v>2.6858728643549492</v>
      </c>
      <c r="AA12" s="37">
        <f t="shared" si="18"/>
        <v>1.0116032431776398</v>
      </c>
      <c r="AB12" s="37">
        <v>0</v>
      </c>
      <c r="AC12" s="37">
        <f t="shared" si="8"/>
        <v>5.1167056080375951E-3</v>
      </c>
      <c r="AD12" s="40">
        <f t="shared" si="19"/>
        <v>5.1167056080375951E-3</v>
      </c>
      <c r="AE12" s="39">
        <f t="shared" si="27"/>
        <v>0.32323062171830874</v>
      </c>
      <c r="AF12" s="37">
        <f t="shared" si="20"/>
        <v>0.9885751150077875</v>
      </c>
      <c r="AG12" s="37">
        <f t="shared" si="9"/>
        <v>4.4954914868582368E-3</v>
      </c>
      <c r="AH12" s="37">
        <f t="shared" si="10"/>
        <v>0.13126422846416799</v>
      </c>
      <c r="AI12" s="40">
        <f t="shared" si="21"/>
        <v>0.13575971995102623</v>
      </c>
      <c r="AJ12" s="39">
        <f t="shared" si="22"/>
        <v>1.5234230121969469E-2</v>
      </c>
      <c r="AK12" s="37">
        <f t="shared" si="11"/>
        <v>0.21461678311553126</v>
      </c>
      <c r="AL12" s="37">
        <f t="shared" si="12"/>
        <v>8.1599999999999992E-2</v>
      </c>
      <c r="AM12" s="37">
        <f t="shared" si="13"/>
        <v>9.4760000000000011E-2</v>
      </c>
      <c r="AN12" s="40">
        <f t="shared" si="23"/>
        <v>0.17636000000000002</v>
      </c>
      <c r="AO12" s="39">
        <f t="shared" si="14"/>
        <v>2.9318422740379807E-3</v>
      </c>
      <c r="AP12" s="37">
        <f t="shared" si="15"/>
        <v>0.15292125000000001</v>
      </c>
      <c r="AQ12" s="40">
        <f t="shared" si="16"/>
        <v>1.7099999999999999E-3</v>
      </c>
      <c r="AR12" s="39">
        <f t="shared" si="24"/>
        <v>0.47479951783310187</v>
      </c>
      <c r="AS12" s="37">
        <f t="shared" si="25"/>
        <v>2.7199999999999998</v>
      </c>
      <c r="AT12" s="40">
        <f t="shared" si="26"/>
        <v>85.138362667741404</v>
      </c>
    </row>
    <row r="13" spans="1:46" x14ac:dyDescent="0.25">
      <c r="Q13">
        <v>6</v>
      </c>
      <c r="R13" s="39">
        <f t="shared" si="0"/>
        <v>16</v>
      </c>
      <c r="S13" s="37">
        <f t="shared" si="1"/>
        <v>0.20399999999999996</v>
      </c>
      <c r="T13" s="37">
        <f t="shared" si="2"/>
        <v>3.8</v>
      </c>
      <c r="U13" s="40">
        <f t="shared" si="3"/>
        <v>0.95438596491228056</v>
      </c>
      <c r="V13" s="39">
        <f t="shared" si="4"/>
        <v>1</v>
      </c>
      <c r="W13" s="37">
        <f t="shared" si="5"/>
        <v>0.44520529672577674</v>
      </c>
      <c r="X13" s="40">
        <f t="shared" si="6"/>
        <v>2.0983036526009968E-2</v>
      </c>
      <c r="Y13" s="39">
        <f t="shared" si="7"/>
        <v>2.942226308796438</v>
      </c>
      <c r="Z13" s="37">
        <f t="shared" si="17"/>
        <v>2.942226308796438</v>
      </c>
      <c r="AA13" s="37">
        <f t="shared" si="18"/>
        <v>1.1598348327175649</v>
      </c>
      <c r="AB13" s="37">
        <v>0</v>
      </c>
      <c r="AC13" s="37">
        <f t="shared" si="8"/>
        <v>6.7260841959249093E-3</v>
      </c>
      <c r="AD13" s="40">
        <f t="shared" si="19"/>
        <v>6.7260841959249093E-3</v>
      </c>
      <c r="AE13" s="39">
        <f t="shared" si="27"/>
        <v>0.42489768669968864</v>
      </c>
      <c r="AF13" s="37">
        <f t="shared" si="20"/>
        <v>1.1334323618241524</v>
      </c>
      <c r="AG13" s="37">
        <f t="shared" si="9"/>
        <v>5.9094770266192717E-3</v>
      </c>
      <c r="AH13" s="37">
        <f t="shared" si="10"/>
        <v>0.15751707415700159</v>
      </c>
      <c r="AI13" s="40">
        <f t="shared" si="21"/>
        <v>0.16342655118362084</v>
      </c>
      <c r="AJ13" s="39">
        <f t="shared" si="22"/>
        <v>2.002591556166565E-2</v>
      </c>
      <c r="AK13" s="37">
        <f t="shared" si="11"/>
        <v>0.24606487021658666</v>
      </c>
      <c r="AL13" s="37">
        <f t="shared" si="12"/>
        <v>9.7919999999999979E-2</v>
      </c>
      <c r="AM13" s="37">
        <f t="shared" si="13"/>
        <v>9.4760000000000011E-2</v>
      </c>
      <c r="AN13" s="40">
        <f t="shared" si="23"/>
        <v>0.19267999999999999</v>
      </c>
      <c r="AO13" s="39">
        <f t="shared" si="14"/>
        <v>3.8540067564908293E-3</v>
      </c>
      <c r="AP13" s="37">
        <f t="shared" si="15"/>
        <v>0.15292125000000001</v>
      </c>
      <c r="AQ13" s="40">
        <f t="shared" si="16"/>
        <v>1.7099999999999999E-3</v>
      </c>
      <c r="AR13" s="39">
        <f t="shared" si="24"/>
        <v>0.52131789213603652</v>
      </c>
      <c r="AS13" s="37">
        <f t="shared" si="25"/>
        <v>3.2639999999999993</v>
      </c>
      <c r="AT13" s="40">
        <f t="shared" si="26"/>
        <v>86.227896652509173</v>
      </c>
    </row>
    <row r="14" spans="1:46" x14ac:dyDescent="0.25">
      <c r="Q14">
        <v>7</v>
      </c>
      <c r="R14" s="39">
        <f t="shared" si="0"/>
        <v>16</v>
      </c>
      <c r="S14" s="37">
        <f t="shared" si="1"/>
        <v>0.23799999999999996</v>
      </c>
      <c r="T14" s="37">
        <f t="shared" si="2"/>
        <v>3.8</v>
      </c>
      <c r="U14" s="40">
        <f t="shared" si="3"/>
        <v>1.1134502923976606</v>
      </c>
      <c r="V14" s="39">
        <f t="shared" si="4"/>
        <v>1</v>
      </c>
      <c r="W14" s="37">
        <f t="shared" si="5"/>
        <v>0.48087668093958152</v>
      </c>
      <c r="X14" s="40">
        <f t="shared" si="6"/>
        <v>2.2664269798381913E-2</v>
      </c>
      <c r="Y14" s="39">
        <f t="shared" si="7"/>
        <v>3.1779676305572346</v>
      </c>
      <c r="Z14" s="37">
        <f t="shared" si="17"/>
        <v>3.1779676305572346</v>
      </c>
      <c r="AA14" s="37">
        <f t="shared" si="18"/>
        <v>1.301985776347762</v>
      </c>
      <c r="AB14" s="37">
        <v>0</v>
      </c>
      <c r="AC14" s="37">
        <f t="shared" si="8"/>
        <v>8.4758348090594234E-3</v>
      </c>
      <c r="AD14" s="40">
        <f t="shared" si="19"/>
        <v>8.4758348090594234E-3</v>
      </c>
      <c r="AE14" s="39">
        <f t="shared" si="27"/>
        <v>0.53543228099939355</v>
      </c>
      <c r="AF14" s="37">
        <f t="shared" si="20"/>
        <v>1.2723473825058433</v>
      </c>
      <c r="AG14" s="37">
        <f t="shared" si="9"/>
        <v>7.4467921641395655E-3</v>
      </c>
      <c r="AH14" s="37">
        <f t="shared" si="10"/>
        <v>0.18376991984983515</v>
      </c>
      <c r="AI14" s="40">
        <f t="shared" si="21"/>
        <v>0.19121671201397472</v>
      </c>
      <c r="AJ14" s="39">
        <f t="shared" si="22"/>
        <v>2.5235537833987808E-2</v>
      </c>
      <c r="AK14" s="37">
        <f t="shared" si="11"/>
        <v>0.2762229173012507</v>
      </c>
      <c r="AL14" s="37">
        <f t="shared" si="12"/>
        <v>0.11423999999999998</v>
      </c>
      <c r="AM14" s="37">
        <f t="shared" si="13"/>
        <v>9.4760000000000011E-2</v>
      </c>
      <c r="AN14" s="40">
        <f t="shared" si="23"/>
        <v>0.20899999999999999</v>
      </c>
      <c r="AO14" s="39">
        <f t="shared" si="14"/>
        <v>4.8566035853084121E-3</v>
      </c>
      <c r="AP14" s="37">
        <f t="shared" si="15"/>
        <v>0.15292125000000001</v>
      </c>
      <c r="AQ14" s="40">
        <f t="shared" si="16"/>
        <v>1.7099999999999999E-3</v>
      </c>
      <c r="AR14" s="39">
        <f t="shared" si="24"/>
        <v>0.5681804004083425</v>
      </c>
      <c r="AS14" s="37">
        <f t="shared" si="25"/>
        <v>3.8079999999999994</v>
      </c>
      <c r="AT14" s="40">
        <f t="shared" si="26"/>
        <v>87.016522436887527</v>
      </c>
    </row>
    <row r="15" spans="1:46" x14ac:dyDescent="0.25">
      <c r="O15">
        <f>0.205*2.5/(Lm*Fsw)</f>
        <v>0.89130434782608692</v>
      </c>
      <c r="Q15">
        <v>8</v>
      </c>
      <c r="R15" s="39">
        <f t="shared" si="0"/>
        <v>16</v>
      </c>
      <c r="S15" s="37">
        <f t="shared" si="1"/>
        <v>0.27199999999999996</v>
      </c>
      <c r="T15" s="37">
        <f t="shared" si="2"/>
        <v>3.8</v>
      </c>
      <c r="U15" s="40">
        <f t="shared" si="3"/>
        <v>1.2725146198830408</v>
      </c>
      <c r="V15" s="39">
        <f t="shared" si="4"/>
        <v>1</v>
      </c>
      <c r="W15" s="37">
        <f t="shared" si="5"/>
        <v>0.51407879581854887</v>
      </c>
      <c r="X15" s="40">
        <f t="shared" si="6"/>
        <v>2.4229123573415216E-2</v>
      </c>
      <c r="Y15" s="39">
        <f t="shared" si="7"/>
        <v>3.397390302800845</v>
      </c>
      <c r="Z15" s="37">
        <f t="shared" si="17"/>
        <v>3.397390302800845</v>
      </c>
      <c r="AA15" s="37">
        <f t="shared" si="18"/>
        <v>1.4391305747771157</v>
      </c>
      <c r="AB15" s="37">
        <v>0</v>
      </c>
      <c r="AC15" s="37">
        <f t="shared" si="8"/>
        <v>1.0355484056291558E-2</v>
      </c>
      <c r="AD15" s="40">
        <f t="shared" si="19"/>
        <v>1.0355484056291558E-2</v>
      </c>
      <c r="AE15" s="39">
        <f t="shared" si="27"/>
        <v>0.65417278345097207</v>
      </c>
      <c r="AF15" s="37">
        <f t="shared" si="20"/>
        <v>1.406370217836167</v>
      </c>
      <c r="AG15" s="37">
        <f t="shared" si="9"/>
        <v>9.0982350722361195E-3</v>
      </c>
      <c r="AH15" s="37">
        <f t="shared" si="10"/>
        <v>0.21002276554266874</v>
      </c>
      <c r="AI15" s="40">
        <f t="shared" si="21"/>
        <v>0.21912100061490486</v>
      </c>
      <c r="AJ15" s="39">
        <f t="shared" si="22"/>
        <v>3.0831913974123687E-2</v>
      </c>
      <c r="AK15" s="37">
        <f t="shared" si="11"/>
        <v>0.30531888517051081</v>
      </c>
      <c r="AL15" s="37">
        <f t="shared" si="12"/>
        <v>0.13055999999999998</v>
      </c>
      <c r="AM15" s="37">
        <f t="shared" si="13"/>
        <v>9.4760000000000011E-2</v>
      </c>
      <c r="AN15" s="40">
        <f t="shared" si="23"/>
        <v>0.22531999999999999</v>
      </c>
      <c r="AO15" s="39">
        <f t="shared" si="14"/>
        <v>5.9336315688496436E-3</v>
      </c>
      <c r="AP15" s="37">
        <f t="shared" si="15"/>
        <v>0.15292125000000001</v>
      </c>
      <c r="AQ15" s="40">
        <f t="shared" si="16"/>
        <v>1.7099999999999999E-3</v>
      </c>
      <c r="AR15" s="39">
        <f t="shared" si="24"/>
        <v>0.615361366240046</v>
      </c>
      <c r="AS15" s="37">
        <f t="shared" si="25"/>
        <v>4.3519999999999994</v>
      </c>
      <c r="AT15" s="40">
        <f t="shared" si="26"/>
        <v>87.611906586417064</v>
      </c>
    </row>
    <row r="16" spans="1:46" x14ac:dyDescent="0.25">
      <c r="Q16">
        <v>9</v>
      </c>
      <c r="R16" s="39">
        <f t="shared" si="0"/>
        <v>16</v>
      </c>
      <c r="S16" s="37">
        <f t="shared" si="1"/>
        <v>0.30599999999999994</v>
      </c>
      <c r="T16" s="37">
        <f t="shared" si="2"/>
        <v>3.8</v>
      </c>
      <c r="U16" s="40">
        <f t="shared" si="3"/>
        <v>1.4315789473684208</v>
      </c>
      <c r="V16" s="39">
        <f t="shared" si="4"/>
        <v>1</v>
      </c>
      <c r="W16" s="37">
        <f t="shared" si="5"/>
        <v>0.54526290388126575</v>
      </c>
      <c r="X16" s="40">
        <f t="shared" si="6"/>
        <v>2.5698866371453095E-2</v>
      </c>
      <c r="Y16" s="39">
        <f t="shared" si="7"/>
        <v>3.6034765821718429</v>
      </c>
      <c r="Z16" s="37">
        <f t="shared" ref="Z16:Z79" si="28">CHOOSE(V16,Y16,U16+(0.5*Y16))</f>
        <v>3.6034765821718429</v>
      </c>
      <c r="AA16" s="37">
        <f t="shared" ref="AA16:AA79" si="29">CHOOSE(V16,Z16*SQRT((W16+X16)/3),SQRT((U16^2)+((Y16^2)/12)))</f>
        <v>1.5720436180501212</v>
      </c>
      <c r="AB16" s="37">
        <v>0</v>
      </c>
      <c r="AC16" s="37">
        <f t="shared" si="8"/>
        <v>1.2356605685260575E-2</v>
      </c>
      <c r="AD16" s="40">
        <f t="shared" si="19"/>
        <v>1.2356605685260575E-2</v>
      </c>
      <c r="AE16" s="39">
        <f t="shared" si="27"/>
        <v>0.78058689397739089</v>
      </c>
      <c r="AF16" s="37">
        <f t="shared" si="20"/>
        <v>1.5362576296508139</v>
      </c>
      <c r="AG16" s="37">
        <f t="shared" si="9"/>
        <v>1.085640252143755E-2</v>
      </c>
      <c r="AH16" s="37">
        <f t="shared" si="10"/>
        <v>0.23627561123550236</v>
      </c>
      <c r="AI16" s="40">
        <f t="shared" si="21"/>
        <v>0.24713201375693991</v>
      </c>
      <c r="AJ16" s="39">
        <f t="shared" si="22"/>
        <v>3.6789956068606529E-2</v>
      </c>
      <c r="AK16" s="37">
        <f t="shared" si="11"/>
        <v>0.33351706461855618</v>
      </c>
      <c r="AL16" s="37">
        <f t="shared" si="12"/>
        <v>0.14687999999999996</v>
      </c>
      <c r="AM16" s="37">
        <f t="shared" si="13"/>
        <v>9.4760000000000011E-2</v>
      </c>
      <c r="AN16" s="40">
        <f t="shared" si="23"/>
        <v>0.24163999999999997</v>
      </c>
      <c r="AO16" s="39">
        <f t="shared" si="14"/>
        <v>7.0802625139810118E-3</v>
      </c>
      <c r="AP16" s="37">
        <f t="shared" si="15"/>
        <v>0.15292125000000001</v>
      </c>
      <c r="AQ16" s="40">
        <f t="shared" si="16"/>
        <v>1.7099999999999999E-3</v>
      </c>
      <c r="AR16" s="39">
        <f t="shared" si="24"/>
        <v>0.66284013195618141</v>
      </c>
      <c r="AS16" s="37">
        <f t="shared" si="25"/>
        <v>4.895999999999999</v>
      </c>
      <c r="AT16" s="40">
        <f t="shared" si="26"/>
        <v>88.075927419720117</v>
      </c>
    </row>
    <row r="17" spans="17:46" x14ac:dyDescent="0.25">
      <c r="Q17">
        <v>10</v>
      </c>
      <c r="R17" s="39">
        <f t="shared" si="0"/>
        <v>16</v>
      </c>
      <c r="S17" s="37">
        <f t="shared" si="1"/>
        <v>0.33999999999999997</v>
      </c>
      <c r="T17" s="37">
        <f t="shared" si="2"/>
        <v>3.8</v>
      </c>
      <c r="U17" s="40">
        <f t="shared" si="3"/>
        <v>1.5906432748538011</v>
      </c>
      <c r="V17" s="39">
        <f t="shared" si="4"/>
        <v>1</v>
      </c>
      <c r="W17" s="37">
        <f t="shared" si="5"/>
        <v>0.57475756662075494</v>
      </c>
      <c r="X17" s="40">
        <f t="shared" si="6"/>
        <v>2.7088983672699515E-2</v>
      </c>
      <c r="Y17" s="39">
        <f t="shared" si="7"/>
        <v>3.7983978315806413</v>
      </c>
      <c r="Z17" s="37">
        <f t="shared" si="28"/>
        <v>3.7983978315806413</v>
      </c>
      <c r="AA17" s="37">
        <f t="shared" si="29"/>
        <v>1.701307081694218</v>
      </c>
      <c r="AB17" s="37">
        <v>0</v>
      </c>
      <c r="AC17" s="37">
        <f t="shared" si="8"/>
        <v>1.4472228931114481E-2</v>
      </c>
      <c r="AD17" s="40">
        <f t="shared" si="19"/>
        <v>1.4472228931114481E-2</v>
      </c>
      <c r="AE17" s="39">
        <f t="shared" si="27"/>
        <v>0.91423425801663938</v>
      </c>
      <c r="AF17" s="37">
        <f t="shared" si="20"/>
        <v>1.6625785408381542</v>
      </c>
      <c r="AG17" s="37">
        <f t="shared" si="9"/>
        <v>1.2715170060495419E-2</v>
      </c>
      <c r="AH17" s="37">
        <f t="shared" si="10"/>
        <v>0.26252845692833598</v>
      </c>
      <c r="AI17" s="40">
        <f t="shared" si="21"/>
        <v>0.27524362698883142</v>
      </c>
      <c r="AJ17" s="39">
        <f t="shared" si="22"/>
        <v>4.3088909701603902E-2</v>
      </c>
      <c r="AK17" s="37">
        <f t="shared" si="11"/>
        <v>0.3609409671502683</v>
      </c>
      <c r="AL17" s="37">
        <f t="shared" si="12"/>
        <v>0.16319999999999998</v>
      </c>
      <c r="AM17" s="37">
        <f t="shared" si="13"/>
        <v>9.4760000000000011E-2</v>
      </c>
      <c r="AN17" s="40">
        <f t="shared" si="23"/>
        <v>0.25795999999999997</v>
      </c>
      <c r="AO17" s="39">
        <f t="shared" si="14"/>
        <v>8.2925022133665781E-3</v>
      </c>
      <c r="AP17" s="37">
        <f t="shared" si="15"/>
        <v>0.15292125000000001</v>
      </c>
      <c r="AQ17" s="40">
        <f t="shared" si="16"/>
        <v>1.7099999999999999E-3</v>
      </c>
      <c r="AR17" s="39">
        <f t="shared" si="24"/>
        <v>0.71059960813331247</v>
      </c>
      <c r="AS17" s="37">
        <f t="shared" si="25"/>
        <v>5.4399999999999995</v>
      </c>
      <c r="AT17" s="40">
        <f t="shared" si="26"/>
        <v>88.446661245943503</v>
      </c>
    </row>
    <row r="18" spans="17:46" x14ac:dyDescent="0.25">
      <c r="Q18">
        <v>11</v>
      </c>
      <c r="R18" s="39">
        <f t="shared" si="0"/>
        <v>16</v>
      </c>
      <c r="S18" s="37">
        <f t="shared" si="1"/>
        <v>0.37399999999999994</v>
      </c>
      <c r="T18" s="37">
        <f t="shared" si="2"/>
        <v>3.8</v>
      </c>
      <c r="U18" s="40">
        <f t="shared" si="3"/>
        <v>1.7497076023391811</v>
      </c>
      <c r="V18" s="39">
        <f t="shared" si="4"/>
        <v>1</v>
      </c>
      <c r="W18" s="37">
        <f t="shared" si="5"/>
        <v>0.60281082142459319</v>
      </c>
      <c r="X18" s="40">
        <f t="shared" si="6"/>
        <v>2.8411165763864023E-2</v>
      </c>
      <c r="Y18" s="39">
        <f t="shared" si="7"/>
        <v>3.9837932546320944</v>
      </c>
      <c r="Z18" s="37">
        <f t="shared" si="28"/>
        <v>3.9837932546320944</v>
      </c>
      <c r="AA18" s="37">
        <f t="shared" si="29"/>
        <v>1.8273730834871476</v>
      </c>
      <c r="AB18" s="37">
        <v>0</v>
      </c>
      <c r="AC18" s="37">
        <f t="shared" si="8"/>
        <v>1.6696461931266629E-2</v>
      </c>
      <c r="AD18" s="40">
        <f t="shared" si="19"/>
        <v>1.6696461931266629E-2</v>
      </c>
      <c r="AE18" s="39">
        <f t="shared" si="27"/>
        <v>1.0547426770189372</v>
      </c>
      <c r="AF18" s="37">
        <f t="shared" si="20"/>
        <v>1.7857747771704378</v>
      </c>
      <c r="AG18" s="37">
        <f t="shared" si="9"/>
        <v>1.4669361151979383E-2</v>
      </c>
      <c r="AH18" s="37">
        <f t="shared" si="10"/>
        <v>0.28878130262116952</v>
      </c>
      <c r="AI18" s="40">
        <f t="shared" si="21"/>
        <v>0.30345066377314889</v>
      </c>
      <c r="AJ18" s="39">
        <f t="shared" si="22"/>
        <v>4.9711232728351547E-2</v>
      </c>
      <c r="AK18" s="37">
        <f t="shared" si="11"/>
        <v>0.38768651185616271</v>
      </c>
      <c r="AL18" s="37">
        <f t="shared" si="12"/>
        <v>0.17951999999999996</v>
      </c>
      <c r="AM18" s="37">
        <f t="shared" si="13"/>
        <v>9.4760000000000011E-2</v>
      </c>
      <c r="AN18" s="40">
        <f t="shared" si="23"/>
        <v>0.27427999999999997</v>
      </c>
      <c r="AO18" s="39">
        <f t="shared" si="14"/>
        <v>9.5669746643343798E-3</v>
      </c>
      <c r="AP18" s="37">
        <f t="shared" si="15"/>
        <v>0.15292125000000001</v>
      </c>
      <c r="AQ18" s="40">
        <f t="shared" si="16"/>
        <v>1.7099999999999999E-3</v>
      </c>
      <c r="AR18" s="39">
        <f t="shared" si="24"/>
        <v>0.7586253503687499</v>
      </c>
      <c r="AS18" s="37">
        <f t="shared" si="25"/>
        <v>5.9839999999999991</v>
      </c>
      <c r="AT18" s="40">
        <f t="shared" si="26"/>
        <v>88.748813541490009</v>
      </c>
    </row>
    <row r="19" spans="17:46" x14ac:dyDescent="0.25">
      <c r="Q19">
        <v>12</v>
      </c>
      <c r="R19" s="39">
        <f t="shared" si="0"/>
        <v>16</v>
      </c>
      <c r="S19" s="37">
        <f t="shared" si="1"/>
        <v>0.40799999999999992</v>
      </c>
      <c r="T19" s="37">
        <f t="shared" si="2"/>
        <v>3.8</v>
      </c>
      <c r="U19" s="40">
        <f t="shared" si="3"/>
        <v>1.9087719298245611</v>
      </c>
      <c r="V19" s="39">
        <f t="shared" si="4"/>
        <v>1</v>
      </c>
      <c r="W19" s="37">
        <f t="shared" si="5"/>
        <v>0.62961536866993162</v>
      </c>
      <c r="X19" s="40">
        <f t="shared" si="6"/>
        <v>2.9674494834853335E-2</v>
      </c>
      <c r="Y19" s="39">
        <f t="shared" si="7"/>
        <v>4.1609363494708527</v>
      </c>
      <c r="Z19" s="37">
        <f t="shared" si="28"/>
        <v>4.1609363494708527</v>
      </c>
      <c r="AA19" s="37">
        <f t="shared" si="29"/>
        <v>1.950601906237184</v>
      </c>
      <c r="AB19" s="37">
        <v>0</v>
      </c>
      <c r="AC19" s="37">
        <f t="shared" si="8"/>
        <v>1.9024238983080678E-2</v>
      </c>
      <c r="AD19" s="40">
        <f t="shared" si="19"/>
        <v>1.9024238983080678E-2</v>
      </c>
      <c r="AE19" s="39">
        <f t="shared" si="27"/>
        <v>1.201792142303308</v>
      </c>
      <c r="AF19" s="37">
        <f t="shared" si="20"/>
        <v>1.9061984199809618</v>
      </c>
      <c r="AG19" s="37">
        <f t="shared" si="9"/>
        <v>1.6714525115154411E-2</v>
      </c>
      <c r="AH19" s="37">
        <f t="shared" si="10"/>
        <v>0.31503414831400317</v>
      </c>
      <c r="AI19" s="40">
        <f t="shared" si="21"/>
        <v>0.33174867342915759</v>
      </c>
      <c r="AJ19" s="39">
        <f t="shared" si="22"/>
        <v>5.6641842772491971E-2</v>
      </c>
      <c r="AK19" s="37">
        <f t="shared" si="11"/>
        <v>0.41383013456999646</v>
      </c>
      <c r="AL19" s="37">
        <f t="shared" si="12"/>
        <v>0.19583999999999996</v>
      </c>
      <c r="AM19" s="37">
        <f t="shared" si="13"/>
        <v>9.4760000000000011E-2</v>
      </c>
      <c r="AN19" s="40">
        <f t="shared" si="23"/>
        <v>0.29059999999999997</v>
      </c>
      <c r="AO19" s="39">
        <f t="shared" si="14"/>
        <v>1.0900777249013746E-2</v>
      </c>
      <c r="AP19" s="37">
        <f t="shared" si="15"/>
        <v>0.15292125000000001</v>
      </c>
      <c r="AQ19" s="40">
        <f t="shared" si="16"/>
        <v>1.7099999999999999E-3</v>
      </c>
      <c r="AR19" s="39">
        <f t="shared" si="24"/>
        <v>0.80690493966125199</v>
      </c>
      <c r="AS19" s="37">
        <f t="shared" si="25"/>
        <v>6.5279999999999987</v>
      </c>
      <c r="AT19" s="40">
        <f t="shared" si="26"/>
        <v>88.999108423366735</v>
      </c>
    </row>
    <row r="20" spans="17:46" x14ac:dyDescent="0.25">
      <c r="Q20">
        <v>13</v>
      </c>
      <c r="R20" s="39">
        <f t="shared" si="0"/>
        <v>16</v>
      </c>
      <c r="S20" s="37">
        <f t="shared" si="1"/>
        <v>0.44199999999999995</v>
      </c>
      <c r="T20" s="37">
        <f t="shared" si="2"/>
        <v>3.8</v>
      </c>
      <c r="U20" s="40">
        <f t="shared" si="3"/>
        <v>2.0678362573099411</v>
      </c>
      <c r="V20" s="39">
        <f t="shared" si="4"/>
        <v>1</v>
      </c>
      <c r="W20" s="37">
        <f t="shared" si="5"/>
        <v>0.65532445285076535</v>
      </c>
      <c r="X20" s="40">
        <f t="shared" si="6"/>
        <v>3.0886193474523781E-2</v>
      </c>
      <c r="Y20" s="39">
        <f t="shared" si="7"/>
        <v>4.3308398623181015</v>
      </c>
      <c r="Z20" s="37">
        <f t="shared" si="28"/>
        <v>4.3308398623181015</v>
      </c>
      <c r="AA20" s="37">
        <f t="shared" si="29"/>
        <v>2.0712867356194384</v>
      </c>
      <c r="AB20" s="37">
        <v>0</v>
      </c>
      <c r="AC20" s="37">
        <f t="shared" si="8"/>
        <v>2.1451143705765147E-2</v>
      </c>
      <c r="AD20" s="40">
        <f t="shared" si="19"/>
        <v>2.1451143705765147E-2</v>
      </c>
      <c r="AE20" s="39">
        <f t="shared" si="27"/>
        <v>1.3551036639066116</v>
      </c>
      <c r="AF20" s="37">
        <f t="shared" si="20"/>
        <v>2.0241359808684636</v>
      </c>
      <c r="AG20" s="37">
        <f t="shared" si="9"/>
        <v>1.8846781757613149E-2</v>
      </c>
      <c r="AH20" s="37">
        <f t="shared" si="10"/>
        <v>0.34128699400683671</v>
      </c>
      <c r="AI20" s="40">
        <f t="shared" si="21"/>
        <v>0.36013377576444988</v>
      </c>
      <c r="AJ20" s="39">
        <f t="shared" si="22"/>
        <v>6.3867590716909978E-2</v>
      </c>
      <c r="AK20" s="37">
        <f t="shared" si="11"/>
        <v>0.43943403612680271</v>
      </c>
      <c r="AL20" s="37">
        <f t="shared" si="12"/>
        <v>0.21215999999999996</v>
      </c>
      <c r="AM20" s="37">
        <f t="shared" si="13"/>
        <v>9.4760000000000011E-2</v>
      </c>
      <c r="AN20" s="40">
        <f t="shared" si="23"/>
        <v>0.30691999999999997</v>
      </c>
      <c r="AO20" s="39">
        <f t="shared" si="14"/>
        <v>1.2291379407139012E-2</v>
      </c>
      <c r="AP20" s="37">
        <f t="shared" si="15"/>
        <v>0.15292125000000001</v>
      </c>
      <c r="AQ20" s="40">
        <f t="shared" si="16"/>
        <v>1.7099999999999999E-3</v>
      </c>
      <c r="AR20" s="39">
        <f t="shared" si="24"/>
        <v>0.85542754887735406</v>
      </c>
      <c r="AS20" s="37">
        <f t="shared" si="25"/>
        <v>7.0719999999999992</v>
      </c>
      <c r="AT20" s="40">
        <f t="shared" si="26"/>
        <v>89.209266895179681</v>
      </c>
    </row>
    <row r="21" spans="17:46" x14ac:dyDescent="0.25">
      <c r="Q21">
        <v>14</v>
      </c>
      <c r="R21" s="39">
        <f t="shared" si="0"/>
        <v>16</v>
      </c>
      <c r="S21" s="37">
        <f t="shared" si="1"/>
        <v>0.47599999999999992</v>
      </c>
      <c r="T21" s="37">
        <f t="shared" si="2"/>
        <v>3.8</v>
      </c>
      <c r="U21" s="40">
        <f t="shared" si="3"/>
        <v>2.2269005847953212</v>
      </c>
      <c r="V21" s="39">
        <f t="shared" si="4"/>
        <v>1</v>
      </c>
      <c r="W21" s="37">
        <f t="shared" si="5"/>
        <v>0.6800623240137158</v>
      </c>
      <c r="X21" s="40">
        <f t="shared" si="6"/>
        <v>3.2052117730154636E-2</v>
      </c>
      <c r="Y21" s="39">
        <f t="shared" si="7"/>
        <v>4.4943249239167304</v>
      </c>
      <c r="Z21" s="37">
        <f t="shared" si="28"/>
        <v>4.4943249239167304</v>
      </c>
      <c r="AA21" s="37">
        <f t="shared" si="29"/>
        <v>2.1896703440843148</v>
      </c>
      <c r="AB21" s="37">
        <v>0</v>
      </c>
      <c r="AC21" s="37">
        <f t="shared" si="8"/>
        <v>2.3973281078811609E-2</v>
      </c>
      <c r="AD21" s="40">
        <f t="shared" si="19"/>
        <v>2.3973281078811609E-2</v>
      </c>
      <c r="AE21" s="39">
        <f t="shared" si="27"/>
        <v>1.5144311870434088</v>
      </c>
      <c r="AF21" s="37">
        <f t="shared" si="20"/>
        <v>2.1398247058132207</v>
      </c>
      <c r="AG21" s="37">
        <f t="shared" si="9"/>
        <v>2.1062708949399728E-2</v>
      </c>
      <c r="AH21" s="37">
        <f t="shared" si="10"/>
        <v>0.3675398396996703</v>
      </c>
      <c r="AI21" s="40">
        <f t="shared" si="21"/>
        <v>0.38860254864907001</v>
      </c>
      <c r="AJ21" s="39">
        <f t="shared" si="22"/>
        <v>7.1376879717209837E-2</v>
      </c>
      <c r="AK21" s="37">
        <f t="shared" si="11"/>
        <v>0.46454972193908989</v>
      </c>
      <c r="AL21" s="37">
        <f t="shared" si="12"/>
        <v>0.22847999999999996</v>
      </c>
      <c r="AM21" s="37">
        <f t="shared" si="13"/>
        <v>9.4760000000000011E-2</v>
      </c>
      <c r="AN21" s="40">
        <f t="shared" si="23"/>
        <v>0.32323999999999997</v>
      </c>
      <c r="AO21" s="39">
        <f t="shared" si="14"/>
        <v>1.3736549314825909E-2</v>
      </c>
      <c r="AP21" s="37">
        <f t="shared" si="15"/>
        <v>0.15292125000000001</v>
      </c>
      <c r="AQ21" s="40">
        <f t="shared" si="16"/>
        <v>1.7099999999999999E-3</v>
      </c>
      <c r="AR21" s="39">
        <f t="shared" si="24"/>
        <v>0.90418362904270744</v>
      </c>
      <c r="AS21" s="37">
        <f t="shared" si="25"/>
        <v>7.6159999999999988</v>
      </c>
      <c r="AT21" s="40">
        <f t="shared" si="26"/>
        <v>89.387744813848599</v>
      </c>
    </row>
    <row r="22" spans="17:46" x14ac:dyDescent="0.25">
      <c r="Q22">
        <v>15</v>
      </c>
      <c r="R22" s="39">
        <f t="shared" si="0"/>
        <v>16</v>
      </c>
      <c r="S22" s="37">
        <f t="shared" si="1"/>
        <v>0.5099999999999999</v>
      </c>
      <c r="T22" s="37">
        <f t="shared" si="2"/>
        <v>3.8</v>
      </c>
      <c r="U22" s="40">
        <f t="shared" si="3"/>
        <v>2.3859649122807012</v>
      </c>
      <c r="V22" s="39">
        <f t="shared" si="4"/>
        <v>1</v>
      </c>
      <c r="W22" s="37">
        <f t="shared" si="5"/>
        <v>0.70393138201227923</v>
      </c>
      <c r="X22" s="40">
        <f t="shared" si="6"/>
        <v>3.3177093824349226E-2</v>
      </c>
      <c r="Y22" s="39">
        <f t="shared" si="7"/>
        <v>4.6520682637333239</v>
      </c>
      <c r="Z22" s="37">
        <f t="shared" si="28"/>
        <v>4.6520682637333239</v>
      </c>
      <c r="AA22" s="37">
        <f t="shared" si="29"/>
        <v>2.3059567316617704</v>
      </c>
      <c r="AB22" s="37">
        <v>0</v>
      </c>
      <c r="AC22" s="37">
        <f t="shared" si="8"/>
        <v>2.6587182241481169E-2</v>
      </c>
      <c r="AD22" s="40">
        <f t="shared" si="19"/>
        <v>2.6587182241481169E-2</v>
      </c>
      <c r="AE22" s="39">
        <f t="shared" si="27"/>
        <v>1.6795555781345606</v>
      </c>
      <c r="AF22" s="37">
        <f t="shared" si="20"/>
        <v>2.2534639509901329</v>
      </c>
      <c r="AG22" s="37">
        <f t="shared" si="9"/>
        <v>2.3359258980695477E-2</v>
      </c>
      <c r="AH22" s="37">
        <f t="shared" si="10"/>
        <v>0.39379268539250389</v>
      </c>
      <c r="AI22" s="40">
        <f t="shared" si="21"/>
        <v>0.41715194437319936</v>
      </c>
      <c r="AJ22" s="39">
        <f t="shared" si="22"/>
        <v>7.915938175634199E-2</v>
      </c>
      <c r="AK22" s="37">
        <f t="shared" si="11"/>
        <v>0.48922047165278659</v>
      </c>
      <c r="AL22" s="37">
        <f t="shared" si="12"/>
        <v>0.24479999999999993</v>
      </c>
      <c r="AM22" s="37">
        <f t="shared" si="13"/>
        <v>9.4760000000000011E-2</v>
      </c>
      <c r="AN22" s="40">
        <f t="shared" si="23"/>
        <v>0.33955999999999997</v>
      </c>
      <c r="AO22" s="39">
        <f t="shared" si="14"/>
        <v>1.5234299335236181E-2</v>
      </c>
      <c r="AP22" s="37">
        <f t="shared" si="15"/>
        <v>0.15292125000000001</v>
      </c>
      <c r="AQ22" s="40">
        <f t="shared" si="16"/>
        <v>1.7099999999999999E-3</v>
      </c>
      <c r="AR22" s="39">
        <f t="shared" si="24"/>
        <v>0.95316467594991661</v>
      </c>
      <c r="AS22" s="37">
        <f t="shared" si="25"/>
        <v>8.1599999999999984</v>
      </c>
      <c r="AT22" s="40">
        <f t="shared" si="26"/>
        <v>89.540793897147893</v>
      </c>
    </row>
    <row r="23" spans="17:46" x14ac:dyDescent="0.25">
      <c r="Q23">
        <v>16</v>
      </c>
      <c r="R23" s="39">
        <f t="shared" si="0"/>
        <v>16</v>
      </c>
      <c r="S23" s="37">
        <f t="shared" si="1"/>
        <v>0.54399999999999993</v>
      </c>
      <c r="T23" s="37">
        <f t="shared" si="2"/>
        <v>3.8</v>
      </c>
      <c r="U23" s="40">
        <f t="shared" si="3"/>
        <v>2.5450292397660816</v>
      </c>
      <c r="V23" s="39">
        <f t="shared" si="4"/>
        <v>1</v>
      </c>
      <c r="W23" s="37">
        <f t="shared" si="5"/>
        <v>0.727017205175021</v>
      </c>
      <c r="X23" s="40">
        <f t="shared" si="6"/>
        <v>3.4265155161937469E-2</v>
      </c>
      <c r="Y23" s="39">
        <f t="shared" si="7"/>
        <v>4.8046354428957905</v>
      </c>
      <c r="Z23" s="37">
        <f t="shared" si="28"/>
        <v>4.8046354428957905</v>
      </c>
      <c r="AA23" s="37">
        <f t="shared" si="29"/>
        <v>2.4203194828241883</v>
      </c>
      <c r="AB23" s="37">
        <v>0</v>
      </c>
      <c r="AC23" s="37">
        <f t="shared" si="8"/>
        <v>2.9289731994691731E-2</v>
      </c>
      <c r="AD23" s="40">
        <f t="shared" si="19"/>
        <v>2.9289731994691731E-2</v>
      </c>
      <c r="AE23" s="39">
        <f t="shared" si="27"/>
        <v>1.8502800449834451</v>
      </c>
      <c r="AF23" s="37">
        <f t="shared" si="20"/>
        <v>2.3652233493960364</v>
      </c>
      <c r="AG23" s="37">
        <f t="shared" si="9"/>
        <v>2.5733694865629739E-2</v>
      </c>
      <c r="AH23" s="37">
        <f t="shared" si="10"/>
        <v>0.42004553108533749</v>
      </c>
      <c r="AI23" s="40">
        <f t="shared" si="21"/>
        <v>0.44577922595096725</v>
      </c>
      <c r="AJ23" s="39">
        <f t="shared" si="22"/>
        <v>8.7205821792252544E-2</v>
      </c>
      <c r="AK23" s="37">
        <f t="shared" si="11"/>
        <v>0.51348311209828601</v>
      </c>
      <c r="AL23" s="37">
        <f t="shared" si="12"/>
        <v>0.26111999999999996</v>
      </c>
      <c r="AM23" s="37">
        <f t="shared" si="13"/>
        <v>9.4760000000000011E-2</v>
      </c>
      <c r="AN23" s="40">
        <f t="shared" si="23"/>
        <v>0.35587999999999997</v>
      </c>
      <c r="AO23" s="39">
        <f t="shared" si="14"/>
        <v>1.6782844477584612E-2</v>
      </c>
      <c r="AP23" s="37">
        <f t="shared" si="15"/>
        <v>0.15292125000000001</v>
      </c>
      <c r="AQ23" s="40">
        <f t="shared" si="16"/>
        <v>1.7099999999999999E-3</v>
      </c>
      <c r="AR23" s="39">
        <f t="shared" si="24"/>
        <v>1.0023630524232436</v>
      </c>
      <c r="AS23" s="37">
        <f t="shared" si="25"/>
        <v>8.7039999999999988</v>
      </c>
      <c r="AT23" s="40">
        <f t="shared" si="26"/>
        <v>89.673134550917112</v>
      </c>
    </row>
    <row r="24" spans="17:46" x14ac:dyDescent="0.25">
      <c r="Q24">
        <v>17</v>
      </c>
      <c r="R24" s="39">
        <f t="shared" si="0"/>
        <v>16</v>
      </c>
      <c r="S24" s="37">
        <f t="shared" si="1"/>
        <v>0.57799999999999996</v>
      </c>
      <c r="T24" s="37">
        <f t="shared" si="2"/>
        <v>3.8</v>
      </c>
      <c r="U24" s="40">
        <f t="shared" si="3"/>
        <v>2.7040935672514617</v>
      </c>
      <c r="V24" s="39">
        <f t="shared" si="4"/>
        <v>1</v>
      </c>
      <c r="W24" s="37">
        <f t="shared" si="5"/>
        <v>0.74939218214448944</v>
      </c>
      <c r="X24" s="40">
        <f t="shared" si="6"/>
        <v>3.531971350271159E-2</v>
      </c>
      <c r="Y24" s="39">
        <f t="shared" si="7"/>
        <v>4.9525048559114087</v>
      </c>
      <c r="Z24" s="37">
        <f t="shared" si="28"/>
        <v>4.9525048559114087</v>
      </c>
      <c r="AA24" s="37">
        <f t="shared" si="29"/>
        <v>2.5329079131766346</v>
      </c>
      <c r="AB24" s="37">
        <v>0</v>
      </c>
      <c r="AC24" s="37">
        <f t="shared" si="8"/>
        <v>3.207811248316407E-2</v>
      </c>
      <c r="AD24" s="40">
        <f t="shared" si="19"/>
        <v>3.207811248316407E-2</v>
      </c>
      <c r="AE24" s="39">
        <f t="shared" si="27"/>
        <v>2.0264265790854497</v>
      </c>
      <c r="AF24" s="37">
        <f t="shared" si="20"/>
        <v>2.4752488176167535</v>
      </c>
      <c r="AG24" s="37">
        <f t="shared" si="9"/>
        <v>2.8183540861920427E-2</v>
      </c>
      <c r="AH24" s="37">
        <f t="shared" si="10"/>
        <v>0.44629837677817114</v>
      </c>
      <c r="AI24" s="40">
        <f t="shared" si="21"/>
        <v>0.47448191764009157</v>
      </c>
      <c r="AJ24" s="39">
        <f t="shared" si="22"/>
        <v>9.5507810079847003E-2</v>
      </c>
      <c r="AK24" s="37">
        <f t="shared" si="11"/>
        <v>0.53736932134210691</v>
      </c>
      <c r="AL24" s="37">
        <f t="shared" si="12"/>
        <v>0.27743999999999996</v>
      </c>
      <c r="AM24" s="37">
        <f t="shared" si="13"/>
        <v>9.4760000000000011E-2</v>
      </c>
      <c r="AN24" s="40">
        <f t="shared" si="23"/>
        <v>0.37219999999999998</v>
      </c>
      <c r="AO24" s="39">
        <f t="shared" si="14"/>
        <v>1.8380570127339409E-2</v>
      </c>
      <c r="AP24" s="37">
        <f t="shared" si="15"/>
        <v>0.15292125000000001</v>
      </c>
      <c r="AQ24" s="40">
        <f t="shared" si="16"/>
        <v>1.7099999999999999E-3</v>
      </c>
      <c r="AR24" s="39">
        <f t="shared" si="24"/>
        <v>1.0517718502505951</v>
      </c>
      <c r="AS24" s="37">
        <f t="shared" si="25"/>
        <v>9.2479999999999993</v>
      </c>
      <c r="AT24" s="40">
        <f t="shared" si="26"/>
        <v>89.78839662137753</v>
      </c>
    </row>
    <row r="25" spans="17:46" x14ac:dyDescent="0.25">
      <c r="Q25">
        <v>18</v>
      </c>
      <c r="R25" s="39">
        <f t="shared" si="0"/>
        <v>16</v>
      </c>
      <c r="S25" s="37">
        <f t="shared" si="1"/>
        <v>0.61199999999999988</v>
      </c>
      <c r="T25" s="37">
        <f t="shared" si="2"/>
        <v>3.8</v>
      </c>
      <c r="U25" s="40">
        <f t="shared" si="3"/>
        <v>2.8631578947368417</v>
      </c>
      <c r="V25" s="39">
        <f t="shared" si="4"/>
        <v>2</v>
      </c>
      <c r="W25" s="37">
        <f t="shared" si="5"/>
        <v>0.76249999999999996</v>
      </c>
      <c r="X25" s="40">
        <f t="shared" si="6"/>
        <v>0.23750000000000004</v>
      </c>
      <c r="Y25" s="39">
        <f t="shared" si="7"/>
        <v>5.0391304347826082</v>
      </c>
      <c r="Z25" s="37">
        <f t="shared" si="28"/>
        <v>5.3827231121281454</v>
      </c>
      <c r="AA25" s="37">
        <f t="shared" si="29"/>
        <v>3.2115016360611226</v>
      </c>
      <c r="AB25" s="37">
        <v>0</v>
      </c>
      <c r="AC25" s="37">
        <f t="shared" si="8"/>
        <v>5.1568713792116333E-2</v>
      </c>
      <c r="AD25" s="40">
        <f t="shared" si="19"/>
        <v>5.1568713792116333E-2</v>
      </c>
      <c r="AE25" s="39">
        <f t="shared" si="27"/>
        <v>2.1831578947368415</v>
      </c>
      <c r="AF25" s="37">
        <f t="shared" si="20"/>
        <v>2.8043232433686631</v>
      </c>
      <c r="AG25" s="37">
        <f t="shared" si="9"/>
        <v>3.6175452725169595E-2</v>
      </c>
      <c r="AH25" s="37">
        <f t="shared" si="10"/>
        <v>0.47255122247100473</v>
      </c>
      <c r="AI25" s="40">
        <f t="shared" si="21"/>
        <v>0.50872667519617432</v>
      </c>
      <c r="AJ25" s="39">
        <f t="shared" si="22"/>
        <v>0.68</v>
      </c>
      <c r="AK25" s="37">
        <f t="shared" si="11"/>
        <v>1.5650922992352643</v>
      </c>
      <c r="AL25" s="37">
        <f t="shared" si="12"/>
        <v>0.29375999999999991</v>
      </c>
      <c r="AM25" s="37">
        <f t="shared" si="13"/>
        <v>9.4760000000000011E-2</v>
      </c>
      <c r="AN25" s="40">
        <f t="shared" si="23"/>
        <v>0.38851999999999992</v>
      </c>
      <c r="AO25" s="39">
        <f t="shared" si="14"/>
        <v>2.3592686559893213E-2</v>
      </c>
      <c r="AP25" s="37">
        <f t="shared" si="15"/>
        <v>0.15292125000000001</v>
      </c>
      <c r="AQ25" s="40">
        <f t="shared" si="16"/>
        <v>1.7099999999999999E-3</v>
      </c>
      <c r="AR25" s="39">
        <f t="shared" si="24"/>
        <v>1.1270393255481839</v>
      </c>
      <c r="AS25" s="37">
        <f t="shared" si="25"/>
        <v>9.791999999999998</v>
      </c>
      <c r="AT25" s="40">
        <f t="shared" si="26"/>
        <v>89.678219008597608</v>
      </c>
    </row>
    <row r="26" spans="17:46" x14ac:dyDescent="0.25">
      <c r="Q26">
        <v>19</v>
      </c>
      <c r="R26" s="39">
        <f t="shared" si="0"/>
        <v>16</v>
      </c>
      <c r="S26" s="37">
        <f t="shared" si="1"/>
        <v>0.64599999999999991</v>
      </c>
      <c r="T26" s="37">
        <f t="shared" si="2"/>
        <v>3.8</v>
      </c>
      <c r="U26" s="40">
        <f t="shared" si="3"/>
        <v>3.0222222222222217</v>
      </c>
      <c r="V26" s="39">
        <f t="shared" si="4"/>
        <v>2</v>
      </c>
      <c r="W26" s="37">
        <f t="shared" si="5"/>
        <v>0.76249999999999996</v>
      </c>
      <c r="X26" s="40">
        <f t="shared" si="6"/>
        <v>0.23750000000000004</v>
      </c>
      <c r="Y26" s="39">
        <f t="shared" si="7"/>
        <v>5.0391304347826082</v>
      </c>
      <c r="Z26" s="37">
        <f t="shared" si="28"/>
        <v>5.5417874396135254</v>
      </c>
      <c r="AA26" s="37">
        <f t="shared" si="29"/>
        <v>3.3540865803856628</v>
      </c>
      <c r="AB26" s="37">
        <v>0</v>
      </c>
      <c r="AC26" s="37">
        <f t="shared" si="8"/>
        <v>5.6249483943615952E-2</v>
      </c>
      <c r="AD26" s="40">
        <f t="shared" si="19"/>
        <v>5.6249483943615952E-2</v>
      </c>
      <c r="AE26" s="39">
        <f t="shared" si="27"/>
        <v>2.3044444444444441</v>
      </c>
      <c r="AF26" s="37">
        <f t="shared" si="20"/>
        <v>2.9288301933368257</v>
      </c>
      <c r="AG26" s="37">
        <f t="shared" si="9"/>
        <v>3.9459012986446565E-2</v>
      </c>
      <c r="AH26" s="37">
        <f t="shared" si="10"/>
        <v>0.49880406816383832</v>
      </c>
      <c r="AI26" s="40">
        <f t="shared" si="21"/>
        <v>0.53826308115028487</v>
      </c>
      <c r="AJ26" s="39">
        <f t="shared" si="22"/>
        <v>0.71777777777777774</v>
      </c>
      <c r="AK26" s="37">
        <f t="shared" si="11"/>
        <v>1.6345796056851305</v>
      </c>
      <c r="AL26" s="37">
        <f t="shared" si="12"/>
        <v>0.31007999999999997</v>
      </c>
      <c r="AM26" s="37">
        <f t="shared" si="13"/>
        <v>9.4760000000000011E-2</v>
      </c>
      <c r="AN26" s="40">
        <f t="shared" si="23"/>
        <v>0.40483999999999998</v>
      </c>
      <c r="AO26" s="39">
        <f t="shared" si="14"/>
        <v>2.5734138904204281E-2</v>
      </c>
      <c r="AP26" s="37">
        <f t="shared" si="15"/>
        <v>0.15292125000000001</v>
      </c>
      <c r="AQ26" s="40">
        <f t="shared" si="16"/>
        <v>1.7099999999999999E-3</v>
      </c>
      <c r="AR26" s="39">
        <f t="shared" si="24"/>
        <v>1.1797179539981051</v>
      </c>
      <c r="AS26" s="37">
        <f t="shared" si="25"/>
        <v>10.335999999999999</v>
      </c>
      <c r="AT26" s="40">
        <f t="shared" si="26"/>
        <v>89.755584856187596</v>
      </c>
    </row>
    <row r="27" spans="17:46" x14ac:dyDescent="0.25">
      <c r="Q27">
        <v>20</v>
      </c>
      <c r="R27" s="39">
        <f t="shared" si="0"/>
        <v>16</v>
      </c>
      <c r="S27" s="37">
        <f t="shared" si="1"/>
        <v>0.67999999999999994</v>
      </c>
      <c r="T27" s="37">
        <f t="shared" si="2"/>
        <v>3.8</v>
      </c>
      <c r="U27" s="40">
        <f t="shared" si="3"/>
        <v>3.1812865497076022</v>
      </c>
      <c r="V27" s="39">
        <f t="shared" si="4"/>
        <v>2</v>
      </c>
      <c r="W27" s="37">
        <f t="shared" si="5"/>
        <v>0.76249999999999996</v>
      </c>
      <c r="X27" s="40">
        <f t="shared" si="6"/>
        <v>0.23750000000000004</v>
      </c>
      <c r="Y27" s="39">
        <f t="shared" si="7"/>
        <v>5.0391304347826082</v>
      </c>
      <c r="Z27" s="37">
        <f t="shared" si="28"/>
        <v>5.7008517670989063</v>
      </c>
      <c r="AA27" s="37">
        <f t="shared" si="29"/>
        <v>3.4980928717774007</v>
      </c>
      <c r="AB27" s="37">
        <v>0</v>
      </c>
      <c r="AC27" s="37">
        <f t="shared" si="8"/>
        <v>6.1183268697899314E-2</v>
      </c>
      <c r="AD27" s="40">
        <f t="shared" si="19"/>
        <v>6.1183268697899314E-2</v>
      </c>
      <c r="AE27" s="39">
        <f t="shared" si="27"/>
        <v>2.4257309941520466</v>
      </c>
      <c r="AF27" s="37">
        <f t="shared" si="20"/>
        <v>3.0545782812738071</v>
      </c>
      <c r="AG27" s="37">
        <f t="shared" si="9"/>
        <v>4.2920062991576372E-2</v>
      </c>
      <c r="AH27" s="37">
        <f t="shared" si="10"/>
        <v>0.52505691385667197</v>
      </c>
      <c r="AI27" s="40">
        <f t="shared" si="21"/>
        <v>0.56797697684824833</v>
      </c>
      <c r="AJ27" s="39">
        <f t="shared" si="22"/>
        <v>0.75555555555555565</v>
      </c>
      <c r="AK27" s="37">
        <f t="shared" si="11"/>
        <v>1.7047595910128261</v>
      </c>
      <c r="AL27" s="37">
        <f t="shared" si="12"/>
        <v>0.32639999999999997</v>
      </c>
      <c r="AM27" s="37">
        <f t="shared" si="13"/>
        <v>9.4760000000000011E-2</v>
      </c>
      <c r="AN27" s="40">
        <f t="shared" si="23"/>
        <v>0.42115999999999998</v>
      </c>
      <c r="AO27" s="39">
        <f t="shared" si="14"/>
        <v>2.7991345429288939E-2</v>
      </c>
      <c r="AP27" s="37">
        <f t="shared" si="15"/>
        <v>0.15292125000000001</v>
      </c>
      <c r="AQ27" s="40">
        <f t="shared" si="16"/>
        <v>1.7099999999999999E-3</v>
      </c>
      <c r="AR27" s="39">
        <f t="shared" si="24"/>
        <v>1.2329428409754364</v>
      </c>
      <c r="AS27" s="37">
        <f t="shared" si="25"/>
        <v>10.879999999999999</v>
      </c>
      <c r="AT27" s="40">
        <f t="shared" si="26"/>
        <v>89.821277478461624</v>
      </c>
    </row>
    <row r="28" spans="17:46" x14ac:dyDescent="0.25">
      <c r="Q28">
        <v>21</v>
      </c>
      <c r="R28" s="39">
        <f t="shared" si="0"/>
        <v>16</v>
      </c>
      <c r="S28" s="37">
        <f t="shared" si="1"/>
        <v>0.71399999999999986</v>
      </c>
      <c r="T28" s="37">
        <f t="shared" si="2"/>
        <v>3.8</v>
      </c>
      <c r="U28" s="40">
        <f t="shared" si="3"/>
        <v>3.3403508771929817</v>
      </c>
      <c r="V28" s="39">
        <f t="shared" si="4"/>
        <v>2</v>
      </c>
      <c r="W28" s="37">
        <f t="shared" si="5"/>
        <v>0.76249999999999996</v>
      </c>
      <c r="X28" s="40">
        <f t="shared" si="6"/>
        <v>0.23750000000000004</v>
      </c>
      <c r="Y28" s="39">
        <f t="shared" si="7"/>
        <v>5.0391304347826082</v>
      </c>
      <c r="Z28" s="37">
        <f t="shared" si="28"/>
        <v>5.8599160945842854</v>
      </c>
      <c r="AA28" s="37">
        <f t="shared" si="29"/>
        <v>3.6433519746235454</v>
      </c>
      <c r="AB28" s="37">
        <v>0</v>
      </c>
      <c r="AC28" s="37">
        <f t="shared" si="8"/>
        <v>6.6370068054966438E-2</v>
      </c>
      <c r="AD28" s="40">
        <f t="shared" si="19"/>
        <v>6.6370068054966438E-2</v>
      </c>
      <c r="AE28" s="39">
        <f t="shared" si="27"/>
        <v>2.5470175438596483</v>
      </c>
      <c r="AF28" s="37">
        <f t="shared" si="20"/>
        <v>3.1814203397825911</v>
      </c>
      <c r="AG28" s="37">
        <f t="shared" si="9"/>
        <v>4.6558602740558938E-2</v>
      </c>
      <c r="AH28" s="37">
        <f t="shared" si="10"/>
        <v>0.55130975954950545</v>
      </c>
      <c r="AI28" s="40">
        <f t="shared" si="21"/>
        <v>0.59786836229006435</v>
      </c>
      <c r="AJ28" s="39">
        <f t="shared" si="22"/>
        <v>0.79333333333333333</v>
      </c>
      <c r="AK28" s="37">
        <f t="shared" si="11"/>
        <v>1.7755501211204672</v>
      </c>
      <c r="AL28" s="37">
        <f t="shared" si="12"/>
        <v>0.34271999999999991</v>
      </c>
      <c r="AM28" s="37">
        <f t="shared" si="13"/>
        <v>9.4760000000000011E-2</v>
      </c>
      <c r="AN28" s="40">
        <f t="shared" si="23"/>
        <v>0.43747999999999992</v>
      </c>
      <c r="AO28" s="39">
        <f t="shared" si="14"/>
        <v>3.0364306135147134E-2</v>
      </c>
      <c r="AP28" s="37">
        <f t="shared" si="15"/>
        <v>0.15292125000000001</v>
      </c>
      <c r="AQ28" s="40">
        <f t="shared" si="16"/>
        <v>1.7099999999999999E-3</v>
      </c>
      <c r="AR28" s="39">
        <f t="shared" si="24"/>
        <v>1.2867139864801778</v>
      </c>
      <c r="AS28" s="37">
        <f t="shared" si="25"/>
        <v>11.423999999999998</v>
      </c>
      <c r="AT28" s="40">
        <f t="shared" si="26"/>
        <v>89.876933838265899</v>
      </c>
    </row>
    <row r="29" spans="17:46" x14ac:dyDescent="0.25">
      <c r="Q29">
        <v>22</v>
      </c>
      <c r="R29" s="39">
        <f t="shared" si="0"/>
        <v>16</v>
      </c>
      <c r="S29" s="37">
        <f t="shared" si="1"/>
        <v>0.74799999999999989</v>
      </c>
      <c r="T29" s="37">
        <f t="shared" si="2"/>
        <v>3.8</v>
      </c>
      <c r="U29" s="40">
        <f t="shared" si="3"/>
        <v>3.4994152046783622</v>
      </c>
      <c r="V29" s="39">
        <f t="shared" si="4"/>
        <v>2</v>
      </c>
      <c r="W29" s="37">
        <f t="shared" si="5"/>
        <v>0.76249999999999996</v>
      </c>
      <c r="X29" s="40">
        <f t="shared" si="6"/>
        <v>0.23750000000000004</v>
      </c>
      <c r="Y29" s="39">
        <f t="shared" si="7"/>
        <v>5.0391304347826082</v>
      </c>
      <c r="Z29" s="37">
        <f t="shared" si="28"/>
        <v>6.0189804220696663</v>
      </c>
      <c r="AA29" s="37">
        <f t="shared" si="29"/>
        <v>3.7897198317241694</v>
      </c>
      <c r="AB29" s="37">
        <v>0</v>
      </c>
      <c r="AC29" s="37">
        <f t="shared" si="8"/>
        <v>7.1809882014817333E-2</v>
      </c>
      <c r="AD29" s="40">
        <f t="shared" si="19"/>
        <v>7.1809882014817333E-2</v>
      </c>
      <c r="AE29" s="39">
        <f t="shared" si="27"/>
        <v>2.6683040935672508</v>
      </c>
      <c r="AF29" s="37">
        <f t="shared" si="20"/>
        <v>3.3092305763212764</v>
      </c>
      <c r="AG29" s="37">
        <f t="shared" si="9"/>
        <v>5.0374632233394376E-2</v>
      </c>
      <c r="AH29" s="37">
        <f t="shared" si="10"/>
        <v>0.57756260524233904</v>
      </c>
      <c r="AI29" s="40">
        <f t="shared" si="21"/>
        <v>0.62793723747573338</v>
      </c>
      <c r="AJ29" s="39">
        <f t="shared" si="22"/>
        <v>0.83111111111111113</v>
      </c>
      <c r="AK29" s="37">
        <f t="shared" si="11"/>
        <v>1.846880991212976</v>
      </c>
      <c r="AL29" s="37">
        <f t="shared" si="12"/>
        <v>0.35903999999999991</v>
      </c>
      <c r="AM29" s="37">
        <f t="shared" si="13"/>
        <v>9.4760000000000011E-2</v>
      </c>
      <c r="AN29" s="40">
        <f t="shared" si="23"/>
        <v>0.45379999999999993</v>
      </c>
      <c r="AO29" s="39">
        <f t="shared" si="14"/>
        <v>3.2853021021778943E-2</v>
      </c>
      <c r="AP29" s="37">
        <f t="shared" si="15"/>
        <v>0.15292125000000001</v>
      </c>
      <c r="AQ29" s="40">
        <f t="shared" si="16"/>
        <v>1.7099999999999999E-3</v>
      </c>
      <c r="AR29" s="39">
        <f t="shared" si="24"/>
        <v>1.3410313905123297</v>
      </c>
      <c r="AS29" s="37">
        <f t="shared" si="25"/>
        <v>11.967999999999998</v>
      </c>
      <c r="AT29" s="40">
        <f t="shared" si="26"/>
        <v>89.923899409627083</v>
      </c>
    </row>
    <row r="30" spans="17:46" x14ac:dyDescent="0.25">
      <c r="Q30">
        <v>23</v>
      </c>
      <c r="R30" s="39">
        <f t="shared" si="0"/>
        <v>16</v>
      </c>
      <c r="S30" s="37">
        <f t="shared" si="1"/>
        <v>0.78199999999999992</v>
      </c>
      <c r="T30" s="37">
        <f t="shared" si="2"/>
        <v>3.8</v>
      </c>
      <c r="U30" s="40">
        <f t="shared" si="3"/>
        <v>3.6584795321637422</v>
      </c>
      <c r="V30" s="39">
        <f t="shared" si="4"/>
        <v>2</v>
      </c>
      <c r="W30" s="37">
        <f t="shared" si="5"/>
        <v>0.76249999999999996</v>
      </c>
      <c r="X30" s="40">
        <f t="shared" si="6"/>
        <v>0.23750000000000004</v>
      </c>
      <c r="Y30" s="39">
        <f t="shared" si="7"/>
        <v>5.0391304347826082</v>
      </c>
      <c r="Z30" s="37">
        <f t="shared" si="28"/>
        <v>6.1780447495550463</v>
      </c>
      <c r="AA30" s="37">
        <f t="shared" si="29"/>
        <v>3.937072785140046</v>
      </c>
      <c r="AB30" s="37">
        <v>0</v>
      </c>
      <c r="AC30" s="37">
        <f t="shared" si="8"/>
        <v>7.7502710577451991E-2</v>
      </c>
      <c r="AD30" s="40">
        <f t="shared" si="19"/>
        <v>7.7502710577451991E-2</v>
      </c>
      <c r="AE30" s="39">
        <f t="shared" si="27"/>
        <v>2.7895906432748534</v>
      </c>
      <c r="AF30" s="37">
        <f t="shared" si="20"/>
        <v>3.4379010112365691</v>
      </c>
      <c r="AG30" s="37">
        <f t="shared" si="9"/>
        <v>5.4368151470082553E-2</v>
      </c>
      <c r="AH30" s="37">
        <f t="shared" si="10"/>
        <v>0.60381545093517275</v>
      </c>
      <c r="AI30" s="40">
        <f t="shared" si="21"/>
        <v>0.65818360240525531</v>
      </c>
      <c r="AJ30" s="39">
        <f t="shared" si="22"/>
        <v>0.86888888888888893</v>
      </c>
      <c r="AK30" s="37">
        <f t="shared" si="11"/>
        <v>1.9186919378652136</v>
      </c>
      <c r="AL30" s="37">
        <f t="shared" si="12"/>
        <v>0.37535999999999997</v>
      </c>
      <c r="AM30" s="37">
        <f t="shared" si="13"/>
        <v>9.4760000000000011E-2</v>
      </c>
      <c r="AN30" s="40">
        <f t="shared" si="23"/>
        <v>0.47011999999999998</v>
      </c>
      <c r="AO30" s="39">
        <f t="shared" si="14"/>
        <v>3.5457490089184272E-2</v>
      </c>
      <c r="AP30" s="37">
        <f t="shared" si="15"/>
        <v>0.15292125000000001</v>
      </c>
      <c r="AQ30" s="40">
        <f t="shared" si="16"/>
        <v>1.7099999999999999E-3</v>
      </c>
      <c r="AR30" s="39">
        <f t="shared" si="24"/>
        <v>1.3958950530718917</v>
      </c>
      <c r="AS30" s="37">
        <f t="shared" si="25"/>
        <v>12.511999999999999</v>
      </c>
      <c r="AT30" s="40">
        <f t="shared" si="26"/>
        <v>89.963290291268237</v>
      </c>
    </row>
    <row r="31" spans="17:46" x14ac:dyDescent="0.25">
      <c r="Q31">
        <v>24</v>
      </c>
      <c r="R31" s="39">
        <f t="shared" si="0"/>
        <v>16</v>
      </c>
      <c r="S31" s="37">
        <f t="shared" si="1"/>
        <v>0.81599999999999984</v>
      </c>
      <c r="T31" s="37">
        <f t="shared" si="2"/>
        <v>3.8</v>
      </c>
      <c r="U31" s="40">
        <f t="shared" si="3"/>
        <v>3.8175438596491222</v>
      </c>
      <c r="V31" s="39">
        <f t="shared" si="4"/>
        <v>2</v>
      </c>
      <c r="W31" s="37">
        <f t="shared" si="5"/>
        <v>0.76249999999999996</v>
      </c>
      <c r="X31" s="40">
        <f t="shared" si="6"/>
        <v>0.23750000000000004</v>
      </c>
      <c r="Y31" s="39">
        <f t="shared" si="7"/>
        <v>5.0391304347826082</v>
      </c>
      <c r="Z31" s="37">
        <f t="shared" si="28"/>
        <v>6.3371090770404264</v>
      </c>
      <c r="AA31" s="37">
        <f t="shared" si="29"/>
        <v>4.0853042418618077</v>
      </c>
      <c r="AB31" s="37">
        <v>0</v>
      </c>
      <c r="AC31" s="37">
        <f t="shared" si="8"/>
        <v>8.3448553742870399E-2</v>
      </c>
      <c r="AD31" s="40">
        <f t="shared" si="19"/>
        <v>8.3448553742870399E-2</v>
      </c>
      <c r="AE31" s="39">
        <f t="shared" si="27"/>
        <v>2.9108771929824555</v>
      </c>
      <c r="AF31" s="37">
        <f t="shared" si="20"/>
        <v>3.5673385661845636</v>
      </c>
      <c r="AG31" s="37">
        <f t="shared" si="9"/>
        <v>5.8539160450623594E-2</v>
      </c>
      <c r="AH31" s="37">
        <f t="shared" si="10"/>
        <v>0.63006829662800634</v>
      </c>
      <c r="AI31" s="40">
        <f t="shared" si="21"/>
        <v>0.68860745707862991</v>
      </c>
      <c r="AJ31" s="39">
        <f t="shared" si="22"/>
        <v>0.90666666666666673</v>
      </c>
      <c r="AK31" s="37">
        <f t="shared" si="11"/>
        <v>1.9909310140701373</v>
      </c>
      <c r="AL31" s="37">
        <f t="shared" si="12"/>
        <v>0.39167999999999992</v>
      </c>
      <c r="AM31" s="37">
        <f t="shared" si="13"/>
        <v>9.4760000000000011E-2</v>
      </c>
      <c r="AN31" s="40">
        <f t="shared" si="23"/>
        <v>0.48643999999999993</v>
      </c>
      <c r="AO31" s="39">
        <f t="shared" si="14"/>
        <v>3.8177713337363216E-2</v>
      </c>
      <c r="AP31" s="37">
        <f t="shared" si="15"/>
        <v>0.15292125000000001</v>
      </c>
      <c r="AQ31" s="40">
        <f t="shared" si="16"/>
        <v>1.7099999999999999E-3</v>
      </c>
      <c r="AR31" s="39">
        <f t="shared" si="24"/>
        <v>1.4513049741588637</v>
      </c>
      <c r="AS31" s="37">
        <f t="shared" si="25"/>
        <v>13.055999999999997</v>
      </c>
      <c r="AT31" s="40">
        <f t="shared" si="26"/>
        <v>89.996040086397841</v>
      </c>
    </row>
    <row r="32" spans="17:46" x14ac:dyDescent="0.25">
      <c r="Q32">
        <v>25</v>
      </c>
      <c r="R32" s="39">
        <f t="shared" si="0"/>
        <v>16</v>
      </c>
      <c r="S32" s="37">
        <f t="shared" si="1"/>
        <v>0.84999999999999987</v>
      </c>
      <c r="T32" s="37">
        <f t="shared" si="2"/>
        <v>3.8</v>
      </c>
      <c r="U32" s="40">
        <f t="shared" si="3"/>
        <v>3.9766081871345023</v>
      </c>
      <c r="V32" s="39">
        <f t="shared" si="4"/>
        <v>2</v>
      </c>
      <c r="W32" s="37">
        <f t="shared" si="5"/>
        <v>0.76249999999999996</v>
      </c>
      <c r="X32" s="40">
        <f t="shared" si="6"/>
        <v>0.23750000000000004</v>
      </c>
      <c r="Y32" s="39">
        <f t="shared" si="7"/>
        <v>5.0391304347826082</v>
      </c>
      <c r="Z32" s="37">
        <f t="shared" si="28"/>
        <v>6.4961734045258064</v>
      </c>
      <c r="AA32" s="37">
        <f t="shared" si="29"/>
        <v>4.2343219412574804</v>
      </c>
      <c r="AB32" s="37">
        <v>0</v>
      </c>
      <c r="AC32" s="37">
        <f t="shared" si="8"/>
        <v>8.9647411511072583E-2</v>
      </c>
      <c r="AD32" s="40">
        <f t="shared" si="19"/>
        <v>8.9647411511072583E-2</v>
      </c>
      <c r="AE32" s="39">
        <f t="shared" si="27"/>
        <v>3.0321637426900576</v>
      </c>
      <c r="AF32" s="37">
        <f t="shared" si="20"/>
        <v>3.6974626780318647</v>
      </c>
      <c r="AG32" s="37">
        <f t="shared" si="9"/>
        <v>6.2887659175017416E-2</v>
      </c>
      <c r="AH32" s="37">
        <f t="shared" si="10"/>
        <v>0.65632114232083982</v>
      </c>
      <c r="AI32" s="40">
        <f t="shared" si="21"/>
        <v>0.7192088014958572</v>
      </c>
      <c r="AJ32" s="39">
        <f t="shared" si="22"/>
        <v>0.94444444444444442</v>
      </c>
      <c r="AK32" s="37">
        <f t="shared" si="11"/>
        <v>2.0635532575574462</v>
      </c>
      <c r="AL32" s="37">
        <f t="shared" si="12"/>
        <v>0.40799999999999992</v>
      </c>
      <c r="AM32" s="37">
        <f t="shared" si="13"/>
        <v>9.4760000000000011E-2</v>
      </c>
      <c r="AN32" s="40">
        <f t="shared" si="23"/>
        <v>0.50275999999999987</v>
      </c>
      <c r="AO32" s="39">
        <f t="shared" si="14"/>
        <v>4.1013690766315711E-2</v>
      </c>
      <c r="AP32" s="37">
        <f t="shared" si="15"/>
        <v>0.15292125000000001</v>
      </c>
      <c r="AQ32" s="40">
        <f t="shared" si="16"/>
        <v>1.7099999999999999E-3</v>
      </c>
      <c r="AR32" s="39">
        <f t="shared" si="24"/>
        <v>1.5072611537732454</v>
      </c>
      <c r="AS32" s="37">
        <f t="shared" si="25"/>
        <v>13.599999999999998</v>
      </c>
      <c r="AT32" s="40">
        <f t="shared" si="26"/>
        <v>90.022935736456859</v>
      </c>
    </row>
    <row r="33" spans="17:46" x14ac:dyDescent="0.25">
      <c r="Q33">
        <v>26</v>
      </c>
      <c r="R33" s="39">
        <f t="shared" si="0"/>
        <v>16</v>
      </c>
      <c r="S33" s="37">
        <f t="shared" si="1"/>
        <v>0.8839999999999999</v>
      </c>
      <c r="T33" s="37">
        <f t="shared" si="2"/>
        <v>3.8</v>
      </c>
      <c r="U33" s="40">
        <f t="shared" si="3"/>
        <v>4.1356725146198823</v>
      </c>
      <c r="V33" s="39">
        <f t="shared" si="4"/>
        <v>2</v>
      </c>
      <c r="W33" s="37">
        <f t="shared" si="5"/>
        <v>0.76249999999999996</v>
      </c>
      <c r="X33" s="40">
        <f t="shared" si="6"/>
        <v>0.23750000000000004</v>
      </c>
      <c r="Y33" s="39">
        <f t="shared" si="7"/>
        <v>5.0391304347826082</v>
      </c>
      <c r="Z33" s="37">
        <f t="shared" si="28"/>
        <v>6.6552377320111864</v>
      </c>
      <c r="AA33" s="37">
        <f t="shared" si="29"/>
        <v>4.3840457087502749</v>
      </c>
      <c r="AB33" s="37">
        <v>0</v>
      </c>
      <c r="AC33" s="37">
        <f t="shared" si="8"/>
        <v>9.6099283882058503E-2</v>
      </c>
      <c r="AD33" s="40">
        <f t="shared" si="19"/>
        <v>9.6099283882058503E-2</v>
      </c>
      <c r="AE33" s="39">
        <f t="shared" si="27"/>
        <v>3.1534502923976602</v>
      </c>
      <c r="AF33" s="37">
        <f t="shared" si="20"/>
        <v>3.8282033373390609</v>
      </c>
      <c r="AG33" s="37">
        <f t="shared" si="9"/>
        <v>6.7413647643264046E-2</v>
      </c>
      <c r="AH33" s="37">
        <f t="shared" si="10"/>
        <v>0.68257398801367342</v>
      </c>
      <c r="AI33" s="40">
        <f t="shared" si="21"/>
        <v>0.74998763565693749</v>
      </c>
      <c r="AJ33" s="39">
        <f t="shared" si="22"/>
        <v>0.98222222222222222</v>
      </c>
      <c r="AK33" s="37">
        <f t="shared" si="11"/>
        <v>2.1365195960715595</v>
      </c>
      <c r="AL33" s="37">
        <f t="shared" si="12"/>
        <v>0.42431999999999992</v>
      </c>
      <c r="AM33" s="37">
        <f t="shared" si="13"/>
        <v>9.4760000000000011E-2</v>
      </c>
      <c r="AN33" s="40">
        <f t="shared" si="23"/>
        <v>0.51907999999999999</v>
      </c>
      <c r="AO33" s="39">
        <f t="shared" si="14"/>
        <v>4.3965422376041771E-2</v>
      </c>
      <c r="AP33" s="37">
        <f t="shared" si="15"/>
        <v>0.15292125000000001</v>
      </c>
      <c r="AQ33" s="40">
        <f t="shared" si="16"/>
        <v>1.7099999999999999E-3</v>
      </c>
      <c r="AR33" s="39">
        <f t="shared" si="24"/>
        <v>1.5637635919150377</v>
      </c>
      <c r="AS33" s="37">
        <f t="shared" si="25"/>
        <v>14.143999999999998</v>
      </c>
      <c r="AT33" s="40">
        <f t="shared" si="26"/>
        <v>90.044645230592053</v>
      </c>
    </row>
    <row r="34" spans="17:46" x14ac:dyDescent="0.25">
      <c r="Q34">
        <v>27</v>
      </c>
      <c r="R34" s="39">
        <f t="shared" si="0"/>
        <v>16</v>
      </c>
      <c r="S34" s="37">
        <f t="shared" si="1"/>
        <v>0.91799999999999993</v>
      </c>
      <c r="T34" s="37">
        <f t="shared" si="2"/>
        <v>3.8</v>
      </c>
      <c r="U34" s="40">
        <f t="shared" si="3"/>
        <v>4.2947368421052632</v>
      </c>
      <c r="V34" s="39">
        <f t="shared" si="4"/>
        <v>2</v>
      </c>
      <c r="W34" s="37">
        <f t="shared" si="5"/>
        <v>0.76249999999999996</v>
      </c>
      <c r="X34" s="40">
        <f t="shared" si="6"/>
        <v>0.23750000000000004</v>
      </c>
      <c r="Y34" s="39">
        <f t="shared" si="7"/>
        <v>5.0391304347826082</v>
      </c>
      <c r="Z34" s="37">
        <f t="shared" si="28"/>
        <v>6.8143020594965673</v>
      </c>
      <c r="AA34" s="37">
        <f t="shared" si="29"/>
        <v>4.5344056028509021</v>
      </c>
      <c r="AB34" s="37">
        <v>0</v>
      </c>
      <c r="AC34" s="37">
        <f t="shared" si="8"/>
        <v>0.10280417085582827</v>
      </c>
      <c r="AD34" s="40">
        <f t="shared" si="19"/>
        <v>0.10280417085582827</v>
      </c>
      <c r="AE34" s="39">
        <f t="shared" si="27"/>
        <v>3.2747368421052632</v>
      </c>
      <c r="AF34" s="37">
        <f t="shared" si="20"/>
        <v>3.9594994703262443</v>
      </c>
      <c r="AG34" s="37">
        <f t="shared" si="9"/>
        <v>7.211712585536352E-2</v>
      </c>
      <c r="AH34" s="37">
        <f t="shared" si="10"/>
        <v>0.70882683370650712</v>
      </c>
      <c r="AI34" s="40">
        <f t="shared" si="21"/>
        <v>0.78094395956187068</v>
      </c>
      <c r="AJ34" s="39">
        <f t="shared" si="22"/>
        <v>1.0200000000000002</v>
      </c>
      <c r="AK34" s="37">
        <f t="shared" si="11"/>
        <v>2.2097959443468627</v>
      </c>
      <c r="AL34" s="37">
        <f t="shared" si="12"/>
        <v>0.44063999999999998</v>
      </c>
      <c r="AM34" s="37">
        <f t="shared" si="13"/>
        <v>9.4760000000000011E-2</v>
      </c>
      <c r="AN34" s="40">
        <f t="shared" si="23"/>
        <v>0.53539999999999999</v>
      </c>
      <c r="AO34" s="39">
        <f t="shared" si="14"/>
        <v>4.7032908166541425E-2</v>
      </c>
      <c r="AP34" s="37">
        <f t="shared" si="15"/>
        <v>0.15292125000000001</v>
      </c>
      <c r="AQ34" s="40">
        <f t="shared" si="16"/>
        <v>1.7099999999999999E-3</v>
      </c>
      <c r="AR34" s="39">
        <f t="shared" si="24"/>
        <v>1.6208122885842404</v>
      </c>
      <c r="AS34" s="37">
        <f t="shared" si="25"/>
        <v>14.687999999999999</v>
      </c>
      <c r="AT34" s="40">
        <f t="shared" si="26"/>
        <v>90.061739261547771</v>
      </c>
    </row>
    <row r="35" spans="17:46" x14ac:dyDescent="0.25">
      <c r="Q35">
        <v>28</v>
      </c>
      <c r="R35" s="39">
        <f t="shared" si="0"/>
        <v>16</v>
      </c>
      <c r="S35" s="37">
        <f t="shared" si="1"/>
        <v>0.95199999999999985</v>
      </c>
      <c r="T35" s="37">
        <f t="shared" si="2"/>
        <v>3.8</v>
      </c>
      <c r="U35" s="40">
        <f t="shared" si="3"/>
        <v>4.4538011695906423</v>
      </c>
      <c r="V35" s="39">
        <f t="shared" si="4"/>
        <v>2</v>
      </c>
      <c r="W35" s="37">
        <f t="shared" si="5"/>
        <v>0.76249999999999996</v>
      </c>
      <c r="X35" s="40">
        <f t="shared" si="6"/>
        <v>0.23750000000000004</v>
      </c>
      <c r="Y35" s="39">
        <f t="shared" si="7"/>
        <v>5.0391304347826082</v>
      </c>
      <c r="Z35" s="37">
        <f t="shared" si="28"/>
        <v>6.9733663869819464</v>
      </c>
      <c r="AA35" s="37">
        <f t="shared" si="29"/>
        <v>4.6853403810690573</v>
      </c>
      <c r="AB35" s="37">
        <v>0</v>
      </c>
      <c r="AC35" s="37">
        <f t="shared" si="8"/>
        <v>0.1097620724323817</v>
      </c>
      <c r="AD35" s="40">
        <f t="shared" si="19"/>
        <v>0.1097620724323817</v>
      </c>
      <c r="AE35" s="39">
        <f t="shared" si="27"/>
        <v>3.3960233918128644</v>
      </c>
      <c r="AF35" s="37">
        <f t="shared" si="20"/>
        <v>4.0912975992878104</v>
      </c>
      <c r="AG35" s="37">
        <f t="shared" si="9"/>
        <v>7.6998093811315726E-2</v>
      </c>
      <c r="AH35" s="37">
        <f t="shared" si="10"/>
        <v>0.7350796793993406</v>
      </c>
      <c r="AI35" s="40">
        <f t="shared" si="21"/>
        <v>0.81207777321065633</v>
      </c>
      <c r="AJ35" s="39">
        <f t="shared" si="22"/>
        <v>1.0577777777777777</v>
      </c>
      <c r="AK35" s="37">
        <f t="shared" si="11"/>
        <v>2.2833524564854479</v>
      </c>
      <c r="AL35" s="37">
        <f t="shared" si="12"/>
        <v>0.45695999999999992</v>
      </c>
      <c r="AM35" s="37">
        <f t="shared" si="13"/>
        <v>9.4760000000000011E-2</v>
      </c>
      <c r="AN35" s="40">
        <f t="shared" si="23"/>
        <v>0.55171999999999999</v>
      </c>
      <c r="AO35" s="39">
        <f t="shared" si="14"/>
        <v>5.0216148137814602E-2</v>
      </c>
      <c r="AP35" s="37">
        <f t="shared" si="15"/>
        <v>0.15292125000000001</v>
      </c>
      <c r="AQ35" s="40">
        <f t="shared" si="16"/>
        <v>1.7099999999999999E-3</v>
      </c>
      <c r="AR35" s="39">
        <f t="shared" si="24"/>
        <v>1.6784072437808528</v>
      </c>
      <c r="AS35" s="37">
        <f t="shared" si="25"/>
        <v>15.231999999999998</v>
      </c>
      <c r="AT35" s="40">
        <f t="shared" si="26"/>
        <v>90.074708316689893</v>
      </c>
    </row>
    <row r="36" spans="17:46" x14ac:dyDescent="0.25">
      <c r="Q36">
        <v>29</v>
      </c>
      <c r="R36" s="39">
        <f t="shared" si="0"/>
        <v>16</v>
      </c>
      <c r="S36" s="37">
        <f t="shared" si="1"/>
        <v>0.98599999999999988</v>
      </c>
      <c r="T36" s="37">
        <f t="shared" si="2"/>
        <v>3.8</v>
      </c>
      <c r="U36" s="40">
        <f t="shared" si="3"/>
        <v>4.6128654970760232</v>
      </c>
      <c r="V36" s="39">
        <f t="shared" si="4"/>
        <v>2</v>
      </c>
      <c r="W36" s="37">
        <f t="shared" si="5"/>
        <v>0.76249999999999996</v>
      </c>
      <c r="X36" s="40">
        <f t="shared" si="6"/>
        <v>0.23750000000000004</v>
      </c>
      <c r="Y36" s="39">
        <f t="shared" si="7"/>
        <v>5.0391304347826082</v>
      </c>
      <c r="Z36" s="37">
        <f t="shared" si="28"/>
        <v>7.1324307144673273</v>
      </c>
      <c r="AA36" s="37">
        <f t="shared" si="29"/>
        <v>4.836796225017526</v>
      </c>
      <c r="AB36" s="37">
        <v>0</v>
      </c>
      <c r="AC36" s="37">
        <f t="shared" si="8"/>
        <v>0.11697298861171895</v>
      </c>
      <c r="AD36" s="40">
        <f t="shared" si="19"/>
        <v>0.11697298861171895</v>
      </c>
      <c r="AE36" s="39">
        <f t="shared" si="27"/>
        <v>3.5173099415204674</v>
      </c>
      <c r="AF36" s="37">
        <f t="shared" si="20"/>
        <v>4.223550729337477</v>
      </c>
      <c r="AG36" s="37">
        <f t="shared" si="9"/>
        <v>8.2056551511120818E-2</v>
      </c>
      <c r="AH36" s="37">
        <f t="shared" si="10"/>
        <v>0.76133252509217431</v>
      </c>
      <c r="AI36" s="40">
        <f t="shared" si="21"/>
        <v>0.8433890766032951</v>
      </c>
      <c r="AJ36" s="39">
        <f t="shared" si="22"/>
        <v>1.0955555555555556</v>
      </c>
      <c r="AK36" s="37">
        <f t="shared" si="11"/>
        <v>2.3571629046497087</v>
      </c>
      <c r="AL36" s="37">
        <f t="shared" si="12"/>
        <v>0.47327999999999992</v>
      </c>
      <c r="AM36" s="37">
        <f t="shared" si="13"/>
        <v>9.4760000000000011E-2</v>
      </c>
      <c r="AN36" s="40">
        <f t="shared" si="23"/>
        <v>0.56803999999999988</v>
      </c>
      <c r="AO36" s="39">
        <f t="shared" si="14"/>
        <v>5.35151422898614E-2</v>
      </c>
      <c r="AP36" s="37">
        <f t="shared" si="15"/>
        <v>0.15292125000000001</v>
      </c>
      <c r="AQ36" s="40">
        <f t="shared" si="16"/>
        <v>1.7099999999999999E-3</v>
      </c>
      <c r="AR36" s="39">
        <f t="shared" si="24"/>
        <v>1.7365484575048757</v>
      </c>
      <c r="AS36" s="37">
        <f t="shared" si="25"/>
        <v>15.775999999999998</v>
      </c>
      <c r="AT36" s="40">
        <f t="shared" si="26"/>
        <v>90.083976288666932</v>
      </c>
    </row>
    <row r="37" spans="17:46" x14ac:dyDescent="0.25">
      <c r="Q37">
        <v>30</v>
      </c>
      <c r="R37" s="39">
        <f t="shared" si="0"/>
        <v>16</v>
      </c>
      <c r="S37" s="37">
        <f t="shared" si="1"/>
        <v>1.0199999999999998</v>
      </c>
      <c r="T37" s="37">
        <f t="shared" si="2"/>
        <v>3.8</v>
      </c>
      <c r="U37" s="40">
        <f t="shared" si="3"/>
        <v>4.7719298245614024</v>
      </c>
      <c r="V37" s="39">
        <f t="shared" si="4"/>
        <v>2</v>
      </c>
      <c r="W37" s="37">
        <f t="shared" si="5"/>
        <v>0.76249999999999996</v>
      </c>
      <c r="X37" s="40">
        <f t="shared" si="6"/>
        <v>0.23750000000000004</v>
      </c>
      <c r="Y37" s="39">
        <f t="shared" si="7"/>
        <v>5.0391304347826082</v>
      </c>
      <c r="Z37" s="37">
        <f t="shared" si="28"/>
        <v>7.2914950419527065</v>
      </c>
      <c r="AA37" s="37">
        <f t="shared" si="29"/>
        <v>4.9887256768405273</v>
      </c>
      <c r="AB37" s="37">
        <v>0</v>
      </c>
      <c r="AC37" s="37">
        <f t="shared" si="8"/>
        <v>0.12443691939383988</v>
      </c>
      <c r="AD37" s="40">
        <f t="shared" si="19"/>
        <v>0.12443691939383988</v>
      </c>
      <c r="AE37" s="39">
        <f t="shared" si="27"/>
        <v>3.6385964912280691</v>
      </c>
      <c r="AF37" s="37">
        <f t="shared" si="20"/>
        <v>4.3562174196842589</v>
      </c>
      <c r="AG37" s="37">
        <f t="shared" si="9"/>
        <v>8.7292498954778683E-2</v>
      </c>
      <c r="AH37" s="37">
        <f t="shared" si="10"/>
        <v>0.78758537078500779</v>
      </c>
      <c r="AI37" s="40">
        <f t="shared" si="21"/>
        <v>0.87487786973978643</v>
      </c>
      <c r="AJ37" s="39">
        <f t="shared" si="22"/>
        <v>1.1333333333333333</v>
      </c>
      <c r="AK37" s="37">
        <f t="shared" si="11"/>
        <v>2.4312041607416264</v>
      </c>
      <c r="AL37" s="37">
        <f t="shared" si="12"/>
        <v>0.48959999999999987</v>
      </c>
      <c r="AM37" s="37">
        <f t="shared" si="13"/>
        <v>9.4760000000000011E-2</v>
      </c>
      <c r="AN37" s="40">
        <f t="shared" si="23"/>
        <v>0.58435999999999988</v>
      </c>
      <c r="AO37" s="39">
        <f t="shared" si="14"/>
        <v>5.692989062268175E-2</v>
      </c>
      <c r="AP37" s="37">
        <f t="shared" si="15"/>
        <v>0.15292125000000001</v>
      </c>
      <c r="AQ37" s="40">
        <f t="shared" si="16"/>
        <v>1.7099999999999999E-3</v>
      </c>
      <c r="AR37" s="39">
        <f t="shared" si="24"/>
        <v>1.7952359297563079</v>
      </c>
      <c r="AS37" s="37">
        <f t="shared" si="25"/>
        <v>16.319999999999997</v>
      </c>
      <c r="AT37" s="40">
        <f t="shared" si="26"/>
        <v>90.089911405418505</v>
      </c>
    </row>
    <row r="38" spans="17:46" x14ac:dyDescent="0.25">
      <c r="Q38">
        <v>31</v>
      </c>
      <c r="R38" s="39">
        <f t="shared" si="0"/>
        <v>16</v>
      </c>
      <c r="S38" s="37">
        <f t="shared" si="1"/>
        <v>1.0539999999999998</v>
      </c>
      <c r="T38" s="37">
        <f t="shared" si="2"/>
        <v>3.8</v>
      </c>
      <c r="U38" s="40">
        <f t="shared" si="3"/>
        <v>4.9309941520467833</v>
      </c>
      <c r="V38" s="39">
        <f t="shared" si="4"/>
        <v>2</v>
      </c>
      <c r="W38" s="37">
        <f t="shared" si="5"/>
        <v>0.76249999999999996</v>
      </c>
      <c r="X38" s="40">
        <f t="shared" si="6"/>
        <v>0.23750000000000004</v>
      </c>
      <c r="Y38" s="39">
        <f t="shared" si="7"/>
        <v>5.0391304347826082</v>
      </c>
      <c r="Z38" s="37">
        <f t="shared" si="28"/>
        <v>7.4505593694380874</v>
      </c>
      <c r="AA38" s="37">
        <f t="shared" si="29"/>
        <v>5.1410867485142608</v>
      </c>
      <c r="AB38" s="37">
        <v>0</v>
      </c>
      <c r="AC38" s="37">
        <f t="shared" si="8"/>
        <v>0.13215386477874469</v>
      </c>
      <c r="AD38" s="40">
        <f t="shared" si="19"/>
        <v>0.13215386477874469</v>
      </c>
      <c r="AE38" s="39">
        <f t="shared" si="27"/>
        <v>3.759883040935672</v>
      </c>
      <c r="AF38" s="37">
        <f t="shared" si="20"/>
        <v>4.489261005862609</v>
      </c>
      <c r="AG38" s="37">
        <f t="shared" si="9"/>
        <v>9.2705936142289391E-2</v>
      </c>
      <c r="AH38" s="37">
        <f t="shared" si="10"/>
        <v>0.81383821647784149</v>
      </c>
      <c r="AI38" s="40">
        <f t="shared" si="21"/>
        <v>0.90654415262013088</v>
      </c>
      <c r="AJ38" s="39">
        <f t="shared" si="22"/>
        <v>1.1711111111111112</v>
      </c>
      <c r="AK38" s="37">
        <f t="shared" si="11"/>
        <v>2.5054557623295555</v>
      </c>
      <c r="AL38" s="37">
        <f t="shared" si="12"/>
        <v>0.50591999999999993</v>
      </c>
      <c r="AM38" s="37">
        <f t="shared" si="13"/>
        <v>9.4760000000000011E-2</v>
      </c>
      <c r="AN38" s="40">
        <f t="shared" si="23"/>
        <v>0.60067999999999988</v>
      </c>
      <c r="AO38" s="39">
        <f t="shared" si="14"/>
        <v>6.0460393136275693E-2</v>
      </c>
      <c r="AP38" s="37">
        <f t="shared" si="15"/>
        <v>0.15292125000000001</v>
      </c>
      <c r="AQ38" s="40">
        <f t="shared" si="16"/>
        <v>1.7099999999999999E-3</v>
      </c>
      <c r="AR38" s="39">
        <f t="shared" si="24"/>
        <v>1.8544696605351514</v>
      </c>
      <c r="AS38" s="37">
        <f t="shared" si="25"/>
        <v>16.863999999999997</v>
      </c>
      <c r="AT38" s="40">
        <f t="shared" si="26"/>
        <v>90.092835075909022</v>
      </c>
    </row>
    <row r="39" spans="17:46" x14ac:dyDescent="0.25">
      <c r="Q39">
        <v>32</v>
      </c>
      <c r="R39" s="39">
        <f t="shared" si="0"/>
        <v>16</v>
      </c>
      <c r="S39" s="37">
        <f t="shared" ref="S39:S70" si="30">Q39*$O$12</f>
        <v>1.0879999999999999</v>
      </c>
      <c r="T39" s="37">
        <f t="shared" si="2"/>
        <v>3.8</v>
      </c>
      <c r="U39" s="40">
        <f t="shared" ref="U39:U70" si="31">(R39*S39)/(T39*EFF_est)</f>
        <v>5.0900584795321633</v>
      </c>
      <c r="V39" s="39">
        <f t="shared" ref="V39:V70" si="32">IF((S39*R39/T39)&lt;((T39*(1-(T39/R39)))/(2*Lm*Fsw)),1,2)</f>
        <v>2</v>
      </c>
      <c r="W39" s="37">
        <f t="shared" ref="W39:W70" si="33">CHOOSE(V39,SQRT((2*S39*Lm*Fsw*(R39-T39))/((T39)^2)),1-(T39/R39))</f>
        <v>0.76249999999999996</v>
      </c>
      <c r="X39" s="40">
        <f t="shared" ref="X39:X70" si="34">CHOOSE(V39,(Lm*W39*Fsw)/(R39-T39),1-W39)</f>
        <v>0.23750000000000004</v>
      </c>
      <c r="Y39" s="39">
        <f t="shared" ref="Y39:Y70" si="35">(T39*W39)/(Lm*Fsw)</f>
        <v>5.0391304347826082</v>
      </c>
      <c r="Z39" s="37">
        <f t="shared" si="28"/>
        <v>7.6096236969234674</v>
      </c>
      <c r="AA39" s="37">
        <f t="shared" si="29"/>
        <v>5.2938421730617016</v>
      </c>
      <c r="AB39" s="37">
        <v>0</v>
      </c>
      <c r="AC39" s="37">
        <f t="shared" ref="AC39:AC70" si="36">(AA39^2)*Rdcr</f>
        <v>0.1401238247664332</v>
      </c>
      <c r="AD39" s="40">
        <f t="shared" si="19"/>
        <v>0.1401238247664332</v>
      </c>
      <c r="AE39" s="39">
        <f t="shared" si="27"/>
        <v>3.8811695906432742</v>
      </c>
      <c r="AF39" s="37">
        <f t="shared" si="20"/>
        <v>4.6226489458838502</v>
      </c>
      <c r="AG39" s="37">
        <f t="shared" ref="AG39:AG70" si="37">(AF39^2)*RDS_on</f>
        <v>9.8296863073652929E-2</v>
      </c>
      <c r="AH39" s="37">
        <f t="shared" ref="AH39:AH70" si="38">((R39*U39)/2)*Fsw*(tr_sw+tf_sw)</f>
        <v>0.84009106217067497</v>
      </c>
      <c r="AI39" s="40">
        <f t="shared" si="21"/>
        <v>0.9383879252443279</v>
      </c>
      <c r="AJ39" s="39">
        <f t="shared" si="22"/>
        <v>1.2088888888888889</v>
      </c>
      <c r="AK39" s="37">
        <f t="shared" ref="AK39:AK70" si="39">CHOOSE(V39,Z39*SQRT(X39/3),SQRT(X39*((Z39^2)+((Y39^2)/3)-(Y39*Z39))))</f>
        <v>2.57989954773545</v>
      </c>
      <c r="AL39" s="37">
        <f t="shared" ref="AL39:AL70" si="40">S39*Vd_rect</f>
        <v>0.52223999999999993</v>
      </c>
      <c r="AM39" s="37">
        <f t="shared" ref="AM39:AM70" si="41">CHOOSE(V39,(R39+Vd_rect)*Qrr*Fsw,(R39+Vd_rect)*Qrr*Fsw)</f>
        <v>9.4760000000000011E-2</v>
      </c>
      <c r="AN39" s="40">
        <f t="shared" si="23"/>
        <v>0.61699999999999999</v>
      </c>
      <c r="AO39" s="39">
        <f t="shared" ref="AO39:AO70" si="42">(AF39^2)*R_cs</f>
        <v>6.4106649830643209E-2</v>
      </c>
      <c r="AP39" s="37">
        <f t="shared" ref="AP39:AP70" si="43">Qg_tot*Vcc*Fsw</f>
        <v>0.15292125000000001</v>
      </c>
      <c r="AQ39" s="40">
        <f t="shared" ref="AQ39:AQ70" si="44">IQ*T39</f>
        <v>1.7099999999999999E-3</v>
      </c>
      <c r="AR39" s="39">
        <f t="shared" si="24"/>
        <v>1.9142496498414046</v>
      </c>
      <c r="AS39" s="37">
        <f t="shared" si="25"/>
        <v>17.407999999999998</v>
      </c>
      <c r="AT39" s="40">
        <f t="shared" si="26"/>
        <v>90.093029101002656</v>
      </c>
    </row>
    <row r="40" spans="17:46" x14ac:dyDescent="0.25">
      <c r="Q40">
        <v>33</v>
      </c>
      <c r="R40" s="39">
        <f t="shared" si="0"/>
        <v>16</v>
      </c>
      <c r="S40" s="37">
        <f t="shared" si="30"/>
        <v>1.1219999999999999</v>
      </c>
      <c r="T40" s="37">
        <f t="shared" si="2"/>
        <v>3.8</v>
      </c>
      <c r="U40" s="40">
        <f t="shared" si="31"/>
        <v>5.2491228070175433</v>
      </c>
      <c r="V40" s="39">
        <f t="shared" si="32"/>
        <v>2</v>
      </c>
      <c r="W40" s="37">
        <f t="shared" si="33"/>
        <v>0.76249999999999996</v>
      </c>
      <c r="X40" s="40">
        <f t="shared" si="34"/>
        <v>0.23750000000000004</v>
      </c>
      <c r="Y40" s="39">
        <f t="shared" si="35"/>
        <v>5.0391304347826082</v>
      </c>
      <c r="Z40" s="37">
        <f t="shared" si="28"/>
        <v>7.7686880244088474</v>
      </c>
      <c r="AA40" s="37">
        <f t="shared" si="29"/>
        <v>5.4469587726896833</v>
      </c>
      <c r="AB40" s="37">
        <v>0</v>
      </c>
      <c r="AC40" s="37">
        <f t="shared" si="36"/>
        <v>0.14834679935690551</v>
      </c>
      <c r="AD40" s="40">
        <f t="shared" si="19"/>
        <v>0.14834679935690551</v>
      </c>
      <c r="AE40" s="39">
        <f t="shared" si="27"/>
        <v>4.0024561403508763</v>
      </c>
      <c r="AF40" s="37">
        <f t="shared" si="20"/>
        <v>4.7563522684855961</v>
      </c>
      <c r="AG40" s="37">
        <f t="shared" si="37"/>
        <v>0.10406527974886914</v>
      </c>
      <c r="AH40" s="37">
        <f t="shared" si="38"/>
        <v>0.86634390786350857</v>
      </c>
      <c r="AI40" s="40">
        <f t="shared" si="21"/>
        <v>0.97040918761237771</v>
      </c>
      <c r="AJ40" s="39">
        <f t="shared" si="22"/>
        <v>1.2466666666666668</v>
      </c>
      <c r="AK40" s="37">
        <f t="shared" si="39"/>
        <v>2.6545193481029687</v>
      </c>
      <c r="AL40" s="37">
        <f t="shared" si="40"/>
        <v>0.53855999999999993</v>
      </c>
      <c r="AM40" s="37">
        <f t="shared" si="41"/>
        <v>9.4760000000000011E-2</v>
      </c>
      <c r="AN40" s="40">
        <f t="shared" si="23"/>
        <v>0.63331999999999988</v>
      </c>
      <c r="AO40" s="39">
        <f t="shared" si="42"/>
        <v>6.7868660705784234E-2</v>
      </c>
      <c r="AP40" s="37">
        <f t="shared" si="43"/>
        <v>0.15292125000000001</v>
      </c>
      <c r="AQ40" s="40">
        <f t="shared" si="44"/>
        <v>1.7099999999999999E-3</v>
      </c>
      <c r="AR40" s="39">
        <f t="shared" si="24"/>
        <v>1.9745758976750674</v>
      </c>
      <c r="AS40" s="37">
        <f t="shared" si="25"/>
        <v>17.951999999999998</v>
      </c>
      <c r="AT40" s="40">
        <f t="shared" si="26"/>
        <v>90.090741591457018</v>
      </c>
    </row>
    <row r="41" spans="17:46" x14ac:dyDescent="0.25">
      <c r="Q41">
        <v>34</v>
      </c>
      <c r="R41" s="39">
        <f t="shared" si="0"/>
        <v>16</v>
      </c>
      <c r="S41" s="37">
        <f t="shared" si="30"/>
        <v>1.1559999999999999</v>
      </c>
      <c r="T41" s="37">
        <f t="shared" si="2"/>
        <v>3.8</v>
      </c>
      <c r="U41" s="40">
        <f t="shared" si="31"/>
        <v>5.4081871345029233</v>
      </c>
      <c r="V41" s="39">
        <f t="shared" si="32"/>
        <v>2</v>
      </c>
      <c r="W41" s="37">
        <f t="shared" si="33"/>
        <v>0.76249999999999996</v>
      </c>
      <c r="X41" s="40">
        <f t="shared" si="34"/>
        <v>0.23750000000000004</v>
      </c>
      <c r="Y41" s="39">
        <f t="shared" si="35"/>
        <v>5.0391304347826082</v>
      </c>
      <c r="Z41" s="37">
        <f t="shared" si="28"/>
        <v>7.9277523518942274</v>
      </c>
      <c r="AA41" s="37">
        <f t="shared" si="29"/>
        <v>5.6004069236112031</v>
      </c>
      <c r="AB41" s="37">
        <v>0</v>
      </c>
      <c r="AC41" s="37">
        <f t="shared" si="36"/>
        <v>0.15682278855016152</v>
      </c>
      <c r="AD41" s="40">
        <f t="shared" si="19"/>
        <v>0.15682278855016152</v>
      </c>
      <c r="AE41" s="39">
        <f t="shared" si="27"/>
        <v>4.1237426900584788</v>
      </c>
      <c r="AF41" s="37">
        <f t="shared" si="20"/>
        <v>4.8903451058079357</v>
      </c>
      <c r="AG41" s="37">
        <f t="shared" si="37"/>
        <v>0.1100111861679383</v>
      </c>
      <c r="AH41" s="37">
        <f t="shared" si="38"/>
        <v>0.89259675355634227</v>
      </c>
      <c r="AI41" s="40">
        <f t="shared" si="21"/>
        <v>1.0026079397242806</v>
      </c>
      <c r="AJ41" s="39">
        <f t="shared" si="22"/>
        <v>1.2844444444444445</v>
      </c>
      <c r="AK41" s="37">
        <f t="shared" si="39"/>
        <v>2.7293007265841323</v>
      </c>
      <c r="AL41" s="37">
        <f t="shared" si="40"/>
        <v>0.55487999999999993</v>
      </c>
      <c r="AM41" s="37">
        <f t="shared" si="41"/>
        <v>9.4760000000000011E-2</v>
      </c>
      <c r="AN41" s="40">
        <f t="shared" si="23"/>
        <v>0.64964</v>
      </c>
      <c r="AO41" s="39">
        <f t="shared" si="42"/>
        <v>7.1746425761698887E-2</v>
      </c>
      <c r="AP41" s="37">
        <f t="shared" si="43"/>
        <v>0.15292125000000001</v>
      </c>
      <c r="AQ41" s="40">
        <f t="shared" si="44"/>
        <v>1.7099999999999999E-3</v>
      </c>
      <c r="AR41" s="39">
        <f t="shared" si="24"/>
        <v>2.0354484040361411</v>
      </c>
      <c r="AS41" s="37">
        <f t="shared" si="25"/>
        <v>18.495999999999999</v>
      </c>
      <c r="AT41" s="40">
        <f t="shared" si="26"/>
        <v>90.086191855631554</v>
      </c>
    </row>
    <row r="42" spans="17:46" x14ac:dyDescent="0.25">
      <c r="Q42">
        <v>35</v>
      </c>
      <c r="R42" s="39">
        <f t="shared" si="0"/>
        <v>16</v>
      </c>
      <c r="S42" s="37">
        <f t="shared" si="30"/>
        <v>1.19</v>
      </c>
      <c r="T42" s="37">
        <f t="shared" si="2"/>
        <v>3.8</v>
      </c>
      <c r="U42" s="40">
        <f t="shared" si="31"/>
        <v>5.5672514619883042</v>
      </c>
      <c r="V42" s="39">
        <f t="shared" si="32"/>
        <v>2</v>
      </c>
      <c r="W42" s="37">
        <f t="shared" si="33"/>
        <v>0.76249999999999996</v>
      </c>
      <c r="X42" s="40">
        <f t="shared" si="34"/>
        <v>0.23750000000000004</v>
      </c>
      <c r="Y42" s="39">
        <f t="shared" si="35"/>
        <v>5.0391304347826082</v>
      </c>
      <c r="Z42" s="37">
        <f t="shared" si="28"/>
        <v>8.0868166793796092</v>
      </c>
      <c r="AA42" s="37">
        <f t="shared" si="29"/>
        <v>5.7541601011129568</v>
      </c>
      <c r="AB42" s="37">
        <v>0</v>
      </c>
      <c r="AC42" s="37">
        <f t="shared" si="36"/>
        <v>0.16555179234620138</v>
      </c>
      <c r="AD42" s="40">
        <f t="shared" si="19"/>
        <v>0.16555179234620138</v>
      </c>
      <c r="AE42" s="39">
        <f t="shared" si="27"/>
        <v>4.2450292397660814</v>
      </c>
      <c r="AF42" s="37">
        <f t="shared" si="20"/>
        <v>5.024604296140712</v>
      </c>
      <c r="AG42" s="37">
        <f t="shared" si="37"/>
        <v>0.11613458233086023</v>
      </c>
      <c r="AH42" s="37">
        <f t="shared" si="38"/>
        <v>0.91884959924917597</v>
      </c>
      <c r="AI42" s="40">
        <f t="shared" si="21"/>
        <v>1.0349841815800362</v>
      </c>
      <c r="AJ42" s="39">
        <f t="shared" si="22"/>
        <v>1.3222222222222224</v>
      </c>
      <c r="AK42" s="37">
        <f t="shared" si="39"/>
        <v>2.8042307566326574</v>
      </c>
      <c r="AL42" s="37">
        <f t="shared" si="40"/>
        <v>0.57119999999999993</v>
      </c>
      <c r="AM42" s="37">
        <f t="shared" si="41"/>
        <v>9.4760000000000011E-2</v>
      </c>
      <c r="AN42" s="40">
        <f t="shared" si="23"/>
        <v>0.66595999999999989</v>
      </c>
      <c r="AO42" s="39">
        <f t="shared" si="42"/>
        <v>7.5739944998387099E-2</v>
      </c>
      <c r="AP42" s="37">
        <f t="shared" si="43"/>
        <v>0.15292125000000001</v>
      </c>
      <c r="AQ42" s="40">
        <f t="shared" si="44"/>
        <v>1.7099999999999999E-3</v>
      </c>
      <c r="AR42" s="39">
        <f t="shared" si="24"/>
        <v>2.0968671689246245</v>
      </c>
      <c r="AS42" s="37">
        <f t="shared" si="25"/>
        <v>19.04</v>
      </c>
      <c r="AT42" s="40">
        <f t="shared" si="26"/>
        <v>90.079574460270848</v>
      </c>
    </row>
    <row r="43" spans="17:46" x14ac:dyDescent="0.25">
      <c r="Q43">
        <v>36</v>
      </c>
      <c r="R43" s="39">
        <f t="shared" si="0"/>
        <v>16</v>
      </c>
      <c r="S43" s="37">
        <f t="shared" si="30"/>
        <v>1.2239999999999998</v>
      </c>
      <c r="T43" s="37">
        <f t="shared" si="2"/>
        <v>3.8</v>
      </c>
      <c r="U43" s="40">
        <f t="shared" si="31"/>
        <v>5.7263157894736834</v>
      </c>
      <c r="V43" s="39">
        <f t="shared" si="32"/>
        <v>2</v>
      </c>
      <c r="W43" s="37">
        <f t="shared" si="33"/>
        <v>0.76249999999999996</v>
      </c>
      <c r="X43" s="40">
        <f t="shared" si="34"/>
        <v>0.23750000000000004</v>
      </c>
      <c r="Y43" s="39">
        <f t="shared" si="35"/>
        <v>5.0391304347826082</v>
      </c>
      <c r="Z43" s="37">
        <f t="shared" si="28"/>
        <v>8.2458810068649875</v>
      </c>
      <c r="AA43" s="37">
        <f t="shared" si="29"/>
        <v>5.9081944914673361</v>
      </c>
      <c r="AB43" s="37">
        <v>0</v>
      </c>
      <c r="AC43" s="37">
        <f t="shared" si="36"/>
        <v>0.17453381074502489</v>
      </c>
      <c r="AD43" s="40">
        <f t="shared" si="19"/>
        <v>0.17453381074502489</v>
      </c>
      <c r="AE43" s="39">
        <f t="shared" si="27"/>
        <v>4.366315789473683</v>
      </c>
      <c r="AF43" s="37">
        <f t="shared" si="20"/>
        <v>5.1591090450402666</v>
      </c>
      <c r="AG43" s="37">
        <f t="shared" si="37"/>
        <v>0.12243546823763493</v>
      </c>
      <c r="AH43" s="37">
        <f t="shared" si="38"/>
        <v>0.94510244494200946</v>
      </c>
      <c r="AI43" s="40">
        <f t="shared" si="21"/>
        <v>1.0675379131796443</v>
      </c>
      <c r="AJ43" s="39">
        <f t="shared" si="22"/>
        <v>1.36</v>
      </c>
      <c r="AK43" s="37">
        <f t="shared" si="39"/>
        <v>2.8792978328732652</v>
      </c>
      <c r="AL43" s="37">
        <f t="shared" si="40"/>
        <v>0.58751999999999982</v>
      </c>
      <c r="AM43" s="37">
        <f t="shared" si="41"/>
        <v>9.4760000000000011E-2</v>
      </c>
      <c r="AN43" s="40">
        <f t="shared" si="23"/>
        <v>0.68227999999999978</v>
      </c>
      <c r="AO43" s="39">
        <f t="shared" si="42"/>
        <v>7.9849218415848869E-2</v>
      </c>
      <c r="AP43" s="37">
        <f t="shared" si="43"/>
        <v>0.15292125000000001</v>
      </c>
      <c r="AQ43" s="40">
        <f t="shared" si="44"/>
        <v>1.7099999999999999E-3</v>
      </c>
      <c r="AR43" s="39">
        <f t="shared" si="24"/>
        <v>2.1588321923405176</v>
      </c>
      <c r="AS43" s="37">
        <f t="shared" si="25"/>
        <v>19.583999999999996</v>
      </c>
      <c r="AT43" s="40">
        <f t="shared" si="26"/>
        <v>90.071062623106542</v>
      </c>
    </row>
    <row r="44" spans="17:46" x14ac:dyDescent="0.25">
      <c r="Q44">
        <v>37</v>
      </c>
      <c r="R44" s="39">
        <f t="shared" si="0"/>
        <v>16</v>
      </c>
      <c r="S44" s="37">
        <f t="shared" si="30"/>
        <v>1.2579999999999998</v>
      </c>
      <c r="T44" s="37">
        <f t="shared" si="2"/>
        <v>3.8</v>
      </c>
      <c r="U44" s="40">
        <f t="shared" si="31"/>
        <v>5.8853801169590634</v>
      </c>
      <c r="V44" s="39">
        <f t="shared" si="32"/>
        <v>2</v>
      </c>
      <c r="W44" s="37">
        <f t="shared" si="33"/>
        <v>0.76249999999999996</v>
      </c>
      <c r="X44" s="40">
        <f t="shared" si="34"/>
        <v>0.23750000000000004</v>
      </c>
      <c r="Y44" s="39">
        <f t="shared" si="35"/>
        <v>5.0391304347826082</v>
      </c>
      <c r="Z44" s="37">
        <f t="shared" si="28"/>
        <v>8.4049453343503675</v>
      </c>
      <c r="AA44" s="37">
        <f t="shared" si="29"/>
        <v>6.0624886597276566</v>
      </c>
      <c r="AB44" s="37">
        <v>0</v>
      </c>
      <c r="AC44" s="37">
        <f t="shared" si="36"/>
        <v>0.18376884374663222</v>
      </c>
      <c r="AD44" s="40">
        <f t="shared" si="19"/>
        <v>0.18376884374663222</v>
      </c>
      <c r="AE44" s="39">
        <f t="shared" si="27"/>
        <v>4.4876023391812856</v>
      </c>
      <c r="AF44" s="37">
        <f t="shared" si="20"/>
        <v>5.2938406352440763</v>
      </c>
      <c r="AG44" s="37">
        <f t="shared" si="37"/>
        <v>0.12891384388826246</v>
      </c>
      <c r="AH44" s="37">
        <f t="shared" si="38"/>
        <v>0.97135529063484305</v>
      </c>
      <c r="AI44" s="40">
        <f t="shared" si="21"/>
        <v>1.1002691345231055</v>
      </c>
      <c r="AJ44" s="39">
        <f t="shared" si="22"/>
        <v>1.3977777777777778</v>
      </c>
      <c r="AK44" s="37">
        <f t="shared" si="39"/>
        <v>2.9544915092051003</v>
      </c>
      <c r="AL44" s="37">
        <f t="shared" si="40"/>
        <v>0.60383999999999982</v>
      </c>
      <c r="AM44" s="37">
        <f t="shared" si="41"/>
        <v>9.4760000000000011E-2</v>
      </c>
      <c r="AN44" s="40">
        <f t="shared" si="23"/>
        <v>0.69859999999999989</v>
      </c>
      <c r="AO44" s="39">
        <f t="shared" si="42"/>
        <v>8.4074246014084211E-2</v>
      </c>
      <c r="AP44" s="37">
        <f t="shared" si="43"/>
        <v>0.15292125000000001</v>
      </c>
      <c r="AQ44" s="40">
        <f t="shared" si="44"/>
        <v>1.7099999999999999E-3</v>
      </c>
      <c r="AR44" s="39">
        <f t="shared" si="24"/>
        <v>2.2213434742838216</v>
      </c>
      <c r="AS44" s="37">
        <f t="shared" si="25"/>
        <v>20.127999999999997</v>
      </c>
      <c r="AT44" s="40">
        <f t="shared" si="26"/>
        <v>90.060811062124486</v>
      </c>
    </row>
    <row r="45" spans="17:46" x14ac:dyDescent="0.25">
      <c r="Q45">
        <v>38</v>
      </c>
      <c r="R45" s="39">
        <f t="shared" si="0"/>
        <v>16</v>
      </c>
      <c r="S45" s="37">
        <f t="shared" si="30"/>
        <v>1.2919999999999998</v>
      </c>
      <c r="T45" s="37">
        <f t="shared" si="2"/>
        <v>3.8</v>
      </c>
      <c r="U45" s="40">
        <f t="shared" si="31"/>
        <v>6.0444444444444434</v>
      </c>
      <c r="V45" s="39">
        <f t="shared" si="32"/>
        <v>2</v>
      </c>
      <c r="W45" s="37">
        <f t="shared" si="33"/>
        <v>0.76249999999999996</v>
      </c>
      <c r="X45" s="40">
        <f t="shared" si="34"/>
        <v>0.23750000000000004</v>
      </c>
      <c r="Y45" s="39">
        <f t="shared" si="35"/>
        <v>5.0391304347826082</v>
      </c>
      <c r="Z45" s="37">
        <f t="shared" si="28"/>
        <v>8.5640096618357475</v>
      </c>
      <c r="AA45" s="37">
        <f t="shared" si="29"/>
        <v>6.2170232644091543</v>
      </c>
      <c r="AB45" s="37">
        <v>0</v>
      </c>
      <c r="AC45" s="37">
        <f t="shared" si="36"/>
        <v>0.19325689135102331</v>
      </c>
      <c r="AD45" s="40">
        <f t="shared" si="19"/>
        <v>0.19325689135102331</v>
      </c>
      <c r="AE45" s="39">
        <f t="shared" si="27"/>
        <v>4.6088888888888881</v>
      </c>
      <c r="AF45" s="37">
        <f t="shared" si="20"/>
        <v>5.4287821775266556</v>
      </c>
      <c r="AG45" s="37">
        <f t="shared" si="37"/>
        <v>0.13556970928274287</v>
      </c>
      <c r="AH45" s="37">
        <f t="shared" si="38"/>
        <v>0.99760813632767664</v>
      </c>
      <c r="AI45" s="40">
        <f t="shared" si="21"/>
        <v>1.1331778456104196</v>
      </c>
      <c r="AJ45" s="39">
        <f t="shared" si="22"/>
        <v>1.4355555555555555</v>
      </c>
      <c r="AK45" s="37">
        <f t="shared" si="39"/>
        <v>3.0298023597544463</v>
      </c>
      <c r="AL45" s="37">
        <f t="shared" si="40"/>
        <v>0.62015999999999993</v>
      </c>
      <c r="AM45" s="37">
        <f t="shared" si="41"/>
        <v>9.4760000000000011E-2</v>
      </c>
      <c r="AN45" s="40">
        <f t="shared" si="23"/>
        <v>0.71492</v>
      </c>
      <c r="AO45" s="39">
        <f t="shared" si="42"/>
        <v>8.8415027793093182E-2</v>
      </c>
      <c r="AP45" s="37">
        <f t="shared" si="43"/>
        <v>0.15292125000000001</v>
      </c>
      <c r="AQ45" s="40">
        <f t="shared" si="44"/>
        <v>1.7099999999999999E-3</v>
      </c>
      <c r="AR45" s="39">
        <f t="shared" si="24"/>
        <v>2.2844010147545357</v>
      </c>
      <c r="AS45" s="37">
        <f t="shared" si="25"/>
        <v>20.671999999999997</v>
      </c>
      <c r="AT45" s="40">
        <f t="shared" si="26"/>
        <v>90.048958400376847</v>
      </c>
    </row>
    <row r="46" spans="17:46" x14ac:dyDescent="0.25">
      <c r="Q46">
        <v>39</v>
      </c>
      <c r="R46" s="39">
        <f t="shared" si="0"/>
        <v>16</v>
      </c>
      <c r="S46" s="37">
        <f t="shared" si="30"/>
        <v>1.3259999999999998</v>
      </c>
      <c r="T46" s="37">
        <f t="shared" si="2"/>
        <v>3.8</v>
      </c>
      <c r="U46" s="40">
        <f t="shared" si="31"/>
        <v>6.2035087719298243</v>
      </c>
      <c r="V46" s="39">
        <f t="shared" si="32"/>
        <v>2</v>
      </c>
      <c r="W46" s="37">
        <f t="shared" si="33"/>
        <v>0.76249999999999996</v>
      </c>
      <c r="X46" s="40">
        <f t="shared" si="34"/>
        <v>0.23750000000000004</v>
      </c>
      <c r="Y46" s="39">
        <f t="shared" si="35"/>
        <v>5.0391304347826082</v>
      </c>
      <c r="Z46" s="37">
        <f t="shared" si="28"/>
        <v>8.7230739893211293</v>
      </c>
      <c r="AA46" s="37">
        <f t="shared" si="29"/>
        <v>6.3717808116443893</v>
      </c>
      <c r="AB46" s="37">
        <v>0</v>
      </c>
      <c r="AC46" s="37">
        <f t="shared" si="36"/>
        <v>0.20299795355819819</v>
      </c>
      <c r="AD46" s="40">
        <f t="shared" si="19"/>
        <v>0.20299795355819819</v>
      </c>
      <c r="AE46" s="39">
        <f t="shared" si="27"/>
        <v>4.7301754385964907</v>
      </c>
      <c r="AF46" s="37">
        <f t="shared" si="20"/>
        <v>5.5639183960249845</v>
      </c>
      <c r="AG46" s="37">
        <f t="shared" si="37"/>
        <v>0.14240306442107609</v>
      </c>
      <c r="AH46" s="37">
        <f t="shared" si="38"/>
        <v>1.0238609820205102</v>
      </c>
      <c r="AI46" s="40">
        <f t="shared" si="21"/>
        <v>1.1662640464415863</v>
      </c>
      <c r="AJ46" s="39">
        <f t="shared" si="22"/>
        <v>1.4733333333333336</v>
      </c>
      <c r="AK46" s="37">
        <f t="shared" si="39"/>
        <v>3.1052218590648919</v>
      </c>
      <c r="AL46" s="37">
        <f t="shared" si="40"/>
        <v>0.63647999999999993</v>
      </c>
      <c r="AM46" s="37">
        <f t="shared" si="41"/>
        <v>9.4760000000000011E-2</v>
      </c>
      <c r="AN46" s="40">
        <f t="shared" si="23"/>
        <v>0.73123999999999989</v>
      </c>
      <c r="AO46" s="39">
        <f t="shared" si="42"/>
        <v>9.287156375287571E-2</v>
      </c>
      <c r="AP46" s="37">
        <f t="shared" si="43"/>
        <v>0.15292125000000001</v>
      </c>
      <c r="AQ46" s="40">
        <f t="shared" si="44"/>
        <v>1.7099999999999999E-3</v>
      </c>
      <c r="AR46" s="39">
        <f t="shared" si="24"/>
        <v>2.3480048137526599</v>
      </c>
      <c r="AS46" s="37">
        <f t="shared" si="25"/>
        <v>21.215999999999998</v>
      </c>
      <c r="AT46" s="40">
        <f t="shared" si="26"/>
        <v>90.035629205175283</v>
      </c>
    </row>
    <row r="47" spans="17:46" x14ac:dyDescent="0.25">
      <c r="Q47">
        <v>40</v>
      </c>
      <c r="R47" s="39">
        <f t="shared" si="0"/>
        <v>16</v>
      </c>
      <c r="S47" s="37">
        <f t="shared" si="30"/>
        <v>1.3599999999999999</v>
      </c>
      <c r="T47" s="37">
        <f t="shared" si="2"/>
        <v>3.8</v>
      </c>
      <c r="U47" s="40">
        <f t="shared" si="31"/>
        <v>6.3625730994152043</v>
      </c>
      <c r="V47" s="39">
        <f t="shared" si="32"/>
        <v>2</v>
      </c>
      <c r="W47" s="37">
        <f t="shared" si="33"/>
        <v>0.76249999999999996</v>
      </c>
      <c r="X47" s="40">
        <f t="shared" si="34"/>
        <v>0.23750000000000004</v>
      </c>
      <c r="Y47" s="39">
        <f t="shared" si="35"/>
        <v>5.0391304347826082</v>
      </c>
      <c r="Z47" s="37">
        <f t="shared" si="28"/>
        <v>8.8821383168065076</v>
      </c>
      <c r="AA47" s="37">
        <f t="shared" si="29"/>
        <v>6.5267454426866811</v>
      </c>
      <c r="AB47" s="37">
        <v>0</v>
      </c>
      <c r="AC47" s="37">
        <f t="shared" si="36"/>
        <v>0.21299203036815681</v>
      </c>
      <c r="AD47" s="40">
        <f t="shared" si="19"/>
        <v>0.21299203036815681</v>
      </c>
      <c r="AE47" s="39">
        <f t="shared" si="27"/>
        <v>4.8514619883040933</v>
      </c>
      <c r="AF47" s="37">
        <f t="shared" si="20"/>
        <v>5.699235442683861</v>
      </c>
      <c r="AG47" s="37">
        <f t="shared" si="37"/>
        <v>0.14941390930326198</v>
      </c>
      <c r="AH47" s="37">
        <f t="shared" si="38"/>
        <v>1.0501138277133439</v>
      </c>
      <c r="AI47" s="40">
        <f t="shared" si="21"/>
        <v>1.199527737016606</v>
      </c>
      <c r="AJ47" s="39">
        <f t="shared" si="22"/>
        <v>1.5111111111111113</v>
      </c>
      <c r="AK47" s="37">
        <f t="shared" si="39"/>
        <v>3.1807422785393116</v>
      </c>
      <c r="AL47" s="37">
        <f t="shared" si="40"/>
        <v>0.65279999999999994</v>
      </c>
      <c r="AM47" s="37">
        <f t="shared" si="41"/>
        <v>9.4760000000000011E-2</v>
      </c>
      <c r="AN47" s="40">
        <f t="shared" si="23"/>
        <v>0.74756</v>
      </c>
      <c r="AO47" s="39">
        <f t="shared" si="42"/>
        <v>9.7443853893431728E-2</v>
      </c>
      <c r="AP47" s="37">
        <f t="shared" si="43"/>
        <v>0.15292125000000001</v>
      </c>
      <c r="AQ47" s="40">
        <f t="shared" si="44"/>
        <v>1.7099999999999999E-3</v>
      </c>
      <c r="AR47" s="39">
        <f t="shared" si="24"/>
        <v>2.4121548712781942</v>
      </c>
      <c r="AS47" s="37">
        <f t="shared" si="25"/>
        <v>21.759999999999998</v>
      </c>
      <c r="AT47" s="40">
        <f t="shared" si="26"/>
        <v>90.020935724913954</v>
      </c>
    </row>
    <row r="48" spans="17:46" x14ac:dyDescent="0.25">
      <c r="Q48">
        <v>41</v>
      </c>
      <c r="R48" s="39">
        <f t="shared" si="0"/>
        <v>16</v>
      </c>
      <c r="S48" s="37">
        <f t="shared" si="30"/>
        <v>1.3939999999999999</v>
      </c>
      <c r="T48" s="37">
        <f t="shared" si="2"/>
        <v>3.8</v>
      </c>
      <c r="U48" s="40">
        <f t="shared" si="31"/>
        <v>6.5216374269005843</v>
      </c>
      <c r="V48" s="39">
        <f t="shared" si="32"/>
        <v>2</v>
      </c>
      <c r="W48" s="37">
        <f t="shared" si="33"/>
        <v>0.76249999999999996</v>
      </c>
      <c r="X48" s="40">
        <f t="shared" si="34"/>
        <v>0.23750000000000004</v>
      </c>
      <c r="Y48" s="39">
        <f t="shared" si="35"/>
        <v>5.0391304347826082</v>
      </c>
      <c r="Z48" s="37">
        <f t="shared" si="28"/>
        <v>9.0412026442918894</v>
      </c>
      <c r="AA48" s="37">
        <f t="shared" si="29"/>
        <v>6.6819027496799022</v>
      </c>
      <c r="AB48" s="37">
        <v>0</v>
      </c>
      <c r="AC48" s="37">
        <f t="shared" si="36"/>
        <v>0.22323912178089919</v>
      </c>
      <c r="AD48" s="40">
        <f t="shared" si="19"/>
        <v>0.22323912178089919</v>
      </c>
      <c r="AE48" s="39">
        <f t="shared" si="27"/>
        <v>4.9727485380116949</v>
      </c>
      <c r="AF48" s="37">
        <f t="shared" si="20"/>
        <v>5.8347207363838027</v>
      </c>
      <c r="AG48" s="37">
        <f t="shared" si="37"/>
        <v>0.15660224392930086</v>
      </c>
      <c r="AH48" s="37">
        <f t="shared" si="38"/>
        <v>1.0763666734061774</v>
      </c>
      <c r="AI48" s="40">
        <f t="shared" si="21"/>
        <v>1.2329689173354783</v>
      </c>
      <c r="AJ48" s="39">
        <f t="shared" si="22"/>
        <v>1.548888888888889</v>
      </c>
      <c r="AK48" s="37">
        <f t="shared" si="39"/>
        <v>3.2563565966571777</v>
      </c>
      <c r="AL48" s="37">
        <f t="shared" si="40"/>
        <v>0.66911999999999994</v>
      </c>
      <c r="AM48" s="37">
        <f t="shared" si="41"/>
        <v>9.4760000000000011E-2</v>
      </c>
      <c r="AN48" s="40">
        <f t="shared" si="23"/>
        <v>0.76387999999999989</v>
      </c>
      <c r="AO48" s="39">
        <f t="shared" si="42"/>
        <v>0.10213189821476143</v>
      </c>
      <c r="AP48" s="37">
        <f t="shared" si="43"/>
        <v>0.15292125000000001</v>
      </c>
      <c r="AQ48" s="40">
        <f t="shared" si="44"/>
        <v>1.7099999999999999E-3</v>
      </c>
      <c r="AR48" s="39">
        <f t="shared" si="24"/>
        <v>2.476851187331139</v>
      </c>
      <c r="AS48" s="37">
        <f t="shared" si="25"/>
        <v>22.303999999999998</v>
      </c>
      <c r="AT48" s="40">
        <f t="shared" si="26"/>
        <v>90.004979374568876</v>
      </c>
    </row>
    <row r="49" spans="17:46" x14ac:dyDescent="0.25">
      <c r="Q49">
        <v>42</v>
      </c>
      <c r="R49" s="39">
        <f t="shared" si="0"/>
        <v>16</v>
      </c>
      <c r="S49" s="37">
        <f t="shared" si="30"/>
        <v>1.4279999999999997</v>
      </c>
      <c r="T49" s="37">
        <f t="shared" si="2"/>
        <v>3.8</v>
      </c>
      <c r="U49" s="40">
        <f t="shared" si="31"/>
        <v>6.6807017543859635</v>
      </c>
      <c r="V49" s="39">
        <f t="shared" si="32"/>
        <v>2</v>
      </c>
      <c r="W49" s="37">
        <f t="shared" si="33"/>
        <v>0.76249999999999996</v>
      </c>
      <c r="X49" s="40">
        <f t="shared" si="34"/>
        <v>0.23750000000000004</v>
      </c>
      <c r="Y49" s="39">
        <f t="shared" si="35"/>
        <v>5.0391304347826082</v>
      </c>
      <c r="Z49" s="37">
        <f t="shared" si="28"/>
        <v>9.2002669717772676</v>
      </c>
      <c r="AA49" s="37">
        <f t="shared" si="29"/>
        <v>6.8372396154650783</v>
      </c>
      <c r="AB49" s="37">
        <v>0</v>
      </c>
      <c r="AC49" s="37">
        <f t="shared" si="36"/>
        <v>0.23373922779642528</v>
      </c>
      <c r="AD49" s="40">
        <f t="shared" si="19"/>
        <v>0.23373922779642528</v>
      </c>
      <c r="AE49" s="39">
        <f t="shared" si="27"/>
        <v>5.0940350877192966</v>
      </c>
      <c r="AF49" s="37">
        <f t="shared" si="20"/>
        <v>5.9703628230581467</v>
      </c>
      <c r="AG49" s="37">
        <f t="shared" si="37"/>
        <v>0.16396806829919225</v>
      </c>
      <c r="AH49" s="37">
        <f t="shared" si="38"/>
        <v>1.1026195190990109</v>
      </c>
      <c r="AI49" s="40">
        <f t="shared" si="21"/>
        <v>1.2665875873982031</v>
      </c>
      <c r="AJ49" s="39">
        <f t="shared" si="22"/>
        <v>1.5866666666666667</v>
      </c>
      <c r="AK49" s="37">
        <f t="shared" si="39"/>
        <v>3.3320584209059421</v>
      </c>
      <c r="AL49" s="37">
        <f t="shared" si="40"/>
        <v>0.68543999999999983</v>
      </c>
      <c r="AM49" s="37">
        <f t="shared" si="41"/>
        <v>9.4760000000000011E-2</v>
      </c>
      <c r="AN49" s="40">
        <f t="shared" si="23"/>
        <v>0.78019999999999978</v>
      </c>
      <c r="AO49" s="39">
        <f t="shared" si="42"/>
        <v>0.10693569671686452</v>
      </c>
      <c r="AP49" s="37">
        <f t="shared" si="43"/>
        <v>0.15292125000000001</v>
      </c>
      <c r="AQ49" s="40">
        <f t="shared" si="44"/>
        <v>1.7099999999999999E-3</v>
      </c>
      <c r="AR49" s="39">
        <f t="shared" si="24"/>
        <v>2.5420937619114925</v>
      </c>
      <c r="AS49" s="37">
        <f t="shared" si="25"/>
        <v>22.847999999999995</v>
      </c>
      <c r="AT49" s="40">
        <f t="shared" si="26"/>
        <v>89.987852011303048</v>
      </c>
    </row>
    <row r="50" spans="17:46" x14ac:dyDescent="0.25">
      <c r="Q50">
        <v>43</v>
      </c>
      <c r="R50" s="39">
        <f t="shared" si="0"/>
        <v>16</v>
      </c>
      <c r="S50" s="37">
        <f t="shared" si="30"/>
        <v>1.4619999999999997</v>
      </c>
      <c r="T50" s="37">
        <f t="shared" si="2"/>
        <v>3.8</v>
      </c>
      <c r="U50" s="40">
        <f t="shared" si="31"/>
        <v>6.8397660818713444</v>
      </c>
      <c r="V50" s="39">
        <f t="shared" si="32"/>
        <v>2</v>
      </c>
      <c r="W50" s="37">
        <f t="shared" si="33"/>
        <v>0.76249999999999996</v>
      </c>
      <c r="X50" s="40">
        <f t="shared" si="34"/>
        <v>0.23750000000000004</v>
      </c>
      <c r="Y50" s="39">
        <f t="shared" si="35"/>
        <v>5.0391304347826082</v>
      </c>
      <c r="Z50" s="37">
        <f t="shared" si="28"/>
        <v>9.3593312992626494</v>
      </c>
      <c r="AA50" s="37">
        <f t="shared" si="29"/>
        <v>6.992744073891668</v>
      </c>
      <c r="AB50" s="37">
        <v>0</v>
      </c>
      <c r="AC50" s="37">
        <f t="shared" si="36"/>
        <v>0.24449234841473519</v>
      </c>
      <c r="AD50" s="40">
        <f t="shared" si="19"/>
        <v>0.24449234841473519</v>
      </c>
      <c r="AE50" s="39">
        <f t="shared" si="27"/>
        <v>5.2153216374269</v>
      </c>
      <c r="AF50" s="37">
        <f t="shared" si="20"/>
        <v>6.1061512537151525</v>
      </c>
      <c r="AG50" s="37">
        <f t="shared" si="37"/>
        <v>0.17151138241293679</v>
      </c>
      <c r="AH50" s="37">
        <f t="shared" si="38"/>
        <v>1.1288723647918446</v>
      </c>
      <c r="AI50" s="40">
        <f t="shared" si="21"/>
        <v>1.3003837472047814</v>
      </c>
      <c r="AJ50" s="39">
        <f t="shared" si="22"/>
        <v>1.6244444444444446</v>
      </c>
      <c r="AK50" s="37">
        <f t="shared" si="39"/>
        <v>3.4078419197051861</v>
      </c>
      <c r="AL50" s="37">
        <f t="shared" si="40"/>
        <v>0.70175999999999983</v>
      </c>
      <c r="AM50" s="37">
        <f t="shared" si="41"/>
        <v>9.4760000000000011E-2</v>
      </c>
      <c r="AN50" s="40">
        <f t="shared" si="23"/>
        <v>0.79651999999999989</v>
      </c>
      <c r="AO50" s="39">
        <f t="shared" si="42"/>
        <v>0.11185524939974138</v>
      </c>
      <c r="AP50" s="37">
        <f t="shared" si="43"/>
        <v>0.15292125000000001</v>
      </c>
      <c r="AQ50" s="40">
        <f t="shared" si="44"/>
        <v>1.7099999999999999E-3</v>
      </c>
      <c r="AR50" s="39">
        <f t="shared" si="24"/>
        <v>2.6078825950192579</v>
      </c>
      <c r="AS50" s="37">
        <f t="shared" si="25"/>
        <v>23.391999999999996</v>
      </c>
      <c r="AT50" s="40">
        <f t="shared" si="26"/>
        <v>89.969637033980902</v>
      </c>
    </row>
    <row r="51" spans="17:46" x14ac:dyDescent="0.25">
      <c r="Q51">
        <v>44</v>
      </c>
      <c r="R51" s="39">
        <f t="shared" si="0"/>
        <v>16</v>
      </c>
      <c r="S51" s="37">
        <f t="shared" si="30"/>
        <v>1.4959999999999998</v>
      </c>
      <c r="T51" s="37">
        <f t="shared" si="2"/>
        <v>3.8</v>
      </c>
      <c r="U51" s="40">
        <f t="shared" si="31"/>
        <v>6.9988304093567244</v>
      </c>
      <c r="V51" s="39">
        <f t="shared" si="32"/>
        <v>2</v>
      </c>
      <c r="W51" s="37">
        <f t="shared" si="33"/>
        <v>0.76249999999999996</v>
      </c>
      <c r="X51" s="40">
        <f t="shared" si="34"/>
        <v>0.23750000000000004</v>
      </c>
      <c r="Y51" s="39">
        <f t="shared" si="35"/>
        <v>5.0391304347826082</v>
      </c>
      <c r="Z51" s="37">
        <f t="shared" si="28"/>
        <v>9.5183956267480276</v>
      </c>
      <c r="AA51" s="37">
        <f t="shared" si="29"/>
        <v>7.1484051876740855</v>
      </c>
      <c r="AB51" s="37">
        <v>0</v>
      </c>
      <c r="AC51" s="37">
        <f t="shared" si="36"/>
        <v>0.25549848363582889</v>
      </c>
      <c r="AD51" s="40">
        <f t="shared" si="19"/>
        <v>0.25549848363582889</v>
      </c>
      <c r="AE51" s="39">
        <f t="shared" si="27"/>
        <v>5.3366081871345017</v>
      </c>
      <c r="AF51" s="37">
        <f t="shared" si="20"/>
        <v>6.2420764777807634</v>
      </c>
      <c r="AG51" s="37">
        <f t="shared" si="37"/>
        <v>0.17923218627053392</v>
      </c>
      <c r="AH51" s="37">
        <f t="shared" si="38"/>
        <v>1.1551252104846781</v>
      </c>
      <c r="AI51" s="40">
        <f t="shared" si="21"/>
        <v>1.334357396755212</v>
      </c>
      <c r="AJ51" s="39">
        <f t="shared" si="22"/>
        <v>1.6622222222222223</v>
      </c>
      <c r="AK51" s="37">
        <f t="shared" si="39"/>
        <v>3.4837017628812421</v>
      </c>
      <c r="AL51" s="37">
        <f t="shared" si="40"/>
        <v>0.71807999999999983</v>
      </c>
      <c r="AM51" s="37">
        <f t="shared" si="41"/>
        <v>9.4760000000000011E-2</v>
      </c>
      <c r="AN51" s="40">
        <f t="shared" si="23"/>
        <v>0.81283999999999978</v>
      </c>
      <c r="AO51" s="39">
        <f t="shared" si="42"/>
        <v>0.11689055626339169</v>
      </c>
      <c r="AP51" s="37">
        <f t="shared" si="43"/>
        <v>0.15292125000000001</v>
      </c>
      <c r="AQ51" s="40">
        <f t="shared" si="44"/>
        <v>1.7099999999999999E-3</v>
      </c>
      <c r="AR51" s="39">
        <f t="shared" si="24"/>
        <v>2.6742176866544325</v>
      </c>
      <c r="AS51" s="37">
        <f t="shared" si="25"/>
        <v>23.935999999999996</v>
      </c>
      <c r="AT51" s="40">
        <f t="shared" si="26"/>
        <v>89.950410334314526</v>
      </c>
    </row>
    <row r="52" spans="17:46" x14ac:dyDescent="0.25">
      <c r="Q52">
        <v>45</v>
      </c>
      <c r="R52" s="39">
        <f t="shared" si="0"/>
        <v>16</v>
      </c>
      <c r="S52" s="37">
        <f t="shared" si="30"/>
        <v>1.5299999999999998</v>
      </c>
      <c r="T52" s="37">
        <f t="shared" si="2"/>
        <v>3.8</v>
      </c>
      <c r="U52" s="40">
        <f t="shared" si="31"/>
        <v>7.1578947368421044</v>
      </c>
      <c r="V52" s="39">
        <f t="shared" si="32"/>
        <v>2</v>
      </c>
      <c r="W52" s="37">
        <f t="shared" si="33"/>
        <v>0.76249999999999996</v>
      </c>
      <c r="X52" s="40">
        <f t="shared" si="34"/>
        <v>0.23750000000000004</v>
      </c>
      <c r="Y52" s="39">
        <f t="shared" si="35"/>
        <v>5.0391304347826082</v>
      </c>
      <c r="Z52" s="37">
        <f t="shared" si="28"/>
        <v>9.6774599542334094</v>
      </c>
      <c r="AA52" s="37">
        <f t="shared" si="29"/>
        <v>7.3042129413059458</v>
      </c>
      <c r="AB52" s="37">
        <v>0</v>
      </c>
      <c r="AC52" s="37">
        <f t="shared" si="36"/>
        <v>0.26675763345970627</v>
      </c>
      <c r="AD52" s="40">
        <f t="shared" si="19"/>
        <v>0.26675763345970627</v>
      </c>
      <c r="AE52" s="39">
        <f t="shared" si="27"/>
        <v>5.4578947368421042</v>
      </c>
      <c r="AF52" s="37">
        <f t="shared" si="20"/>
        <v>6.3781297495900171</v>
      </c>
      <c r="AG52" s="37">
        <f t="shared" si="37"/>
        <v>0.187130479871984</v>
      </c>
      <c r="AH52" s="37">
        <f t="shared" si="38"/>
        <v>1.1813780561775118</v>
      </c>
      <c r="AI52" s="40">
        <f t="shared" si="21"/>
        <v>1.3685085360494957</v>
      </c>
      <c r="AJ52" s="39">
        <f t="shared" si="22"/>
        <v>1.7000000000000002</v>
      </c>
      <c r="AK52" s="37">
        <f t="shared" si="39"/>
        <v>3.5596330694800633</v>
      </c>
      <c r="AL52" s="37">
        <f t="shared" si="40"/>
        <v>0.73439999999999983</v>
      </c>
      <c r="AM52" s="37">
        <f t="shared" si="41"/>
        <v>9.4760000000000011E-2</v>
      </c>
      <c r="AN52" s="40">
        <f t="shared" si="23"/>
        <v>0.8291599999999999</v>
      </c>
      <c r="AO52" s="39">
        <f t="shared" si="42"/>
        <v>0.12204161730781565</v>
      </c>
      <c r="AP52" s="37">
        <f t="shared" si="43"/>
        <v>0.15292125000000001</v>
      </c>
      <c r="AQ52" s="40">
        <f t="shared" si="44"/>
        <v>1.7099999999999999E-3</v>
      </c>
      <c r="AR52" s="39">
        <f t="shared" si="24"/>
        <v>2.7410990368170176</v>
      </c>
      <c r="AS52" s="37">
        <f t="shared" si="25"/>
        <v>24.479999999999997</v>
      </c>
      <c r="AT52" s="40">
        <f t="shared" si="26"/>
        <v>89.930241122485043</v>
      </c>
    </row>
    <row r="53" spans="17:46" x14ac:dyDescent="0.25">
      <c r="Q53">
        <v>46</v>
      </c>
      <c r="R53" s="39">
        <f t="shared" si="0"/>
        <v>16</v>
      </c>
      <c r="S53" s="37">
        <f t="shared" si="30"/>
        <v>1.5639999999999998</v>
      </c>
      <c r="T53" s="37">
        <f t="shared" si="2"/>
        <v>3.8</v>
      </c>
      <c r="U53" s="40">
        <f t="shared" si="31"/>
        <v>7.3169590643274844</v>
      </c>
      <c r="V53" s="39">
        <f t="shared" si="32"/>
        <v>2</v>
      </c>
      <c r="W53" s="37">
        <f t="shared" si="33"/>
        <v>0.76249999999999996</v>
      </c>
      <c r="X53" s="40">
        <f t="shared" si="34"/>
        <v>0.23750000000000004</v>
      </c>
      <c r="Y53" s="39">
        <f t="shared" si="35"/>
        <v>5.0391304347826082</v>
      </c>
      <c r="Z53" s="37">
        <f t="shared" si="28"/>
        <v>9.8365242817187877</v>
      </c>
      <c r="AA53" s="37">
        <f t="shared" si="29"/>
        <v>7.4601581469345204</v>
      </c>
      <c r="AB53" s="37">
        <v>0</v>
      </c>
      <c r="AC53" s="37">
        <f t="shared" si="36"/>
        <v>0.27826979788636746</v>
      </c>
      <c r="AD53" s="40">
        <f t="shared" si="19"/>
        <v>0.27826979788636746</v>
      </c>
      <c r="AE53" s="39">
        <f t="shared" si="27"/>
        <v>5.5791812865497068</v>
      </c>
      <c r="AF53" s="37">
        <f t="shared" si="20"/>
        <v>6.514303046195427</v>
      </c>
      <c r="AG53" s="37">
        <f t="shared" si="37"/>
        <v>0.19520626321728668</v>
      </c>
      <c r="AH53" s="37">
        <f t="shared" si="38"/>
        <v>1.2076309018703455</v>
      </c>
      <c r="AI53" s="40">
        <f t="shared" si="21"/>
        <v>1.4028371650876321</v>
      </c>
      <c r="AJ53" s="39">
        <f t="shared" si="22"/>
        <v>1.7377777777777779</v>
      </c>
      <c r="AK53" s="37">
        <f t="shared" si="39"/>
        <v>3.6356313618960945</v>
      </c>
      <c r="AL53" s="37">
        <f t="shared" si="40"/>
        <v>0.75071999999999994</v>
      </c>
      <c r="AM53" s="37">
        <f t="shared" si="41"/>
        <v>9.4760000000000011E-2</v>
      </c>
      <c r="AN53" s="40">
        <f t="shared" si="23"/>
        <v>0.84548000000000001</v>
      </c>
      <c r="AO53" s="39">
        <f t="shared" si="42"/>
        <v>0.12730843253301305</v>
      </c>
      <c r="AP53" s="37">
        <f t="shared" si="43"/>
        <v>0.15292125000000001</v>
      </c>
      <c r="AQ53" s="40">
        <f t="shared" si="44"/>
        <v>1.7099999999999999E-3</v>
      </c>
      <c r="AR53" s="39">
        <f t="shared" si="24"/>
        <v>2.8085266455070128</v>
      </c>
      <c r="AS53" s="37">
        <f t="shared" si="25"/>
        <v>25.023999999999997</v>
      </c>
      <c r="AT53" s="40">
        <f t="shared" si="26"/>
        <v>89.909192646150245</v>
      </c>
    </row>
    <row r="54" spans="17:46" x14ac:dyDescent="0.25">
      <c r="Q54">
        <v>47</v>
      </c>
      <c r="R54" s="39">
        <f t="shared" si="0"/>
        <v>16</v>
      </c>
      <c r="S54" s="37">
        <f t="shared" si="30"/>
        <v>1.5979999999999999</v>
      </c>
      <c r="T54" s="37">
        <f t="shared" si="2"/>
        <v>3.8</v>
      </c>
      <c r="U54" s="40">
        <f t="shared" si="31"/>
        <v>7.4760233918128653</v>
      </c>
      <c r="V54" s="39">
        <f t="shared" si="32"/>
        <v>2</v>
      </c>
      <c r="W54" s="37">
        <f t="shared" si="33"/>
        <v>0.76249999999999996</v>
      </c>
      <c r="X54" s="40">
        <f t="shared" si="34"/>
        <v>0.23750000000000004</v>
      </c>
      <c r="Y54" s="39">
        <f t="shared" si="35"/>
        <v>5.0391304347826082</v>
      </c>
      <c r="Z54" s="37">
        <f t="shared" si="28"/>
        <v>9.9955886092041695</v>
      </c>
      <c r="AA54" s="37">
        <f t="shared" si="29"/>
        <v>7.6162323614213943</v>
      </c>
      <c r="AB54" s="37">
        <v>0</v>
      </c>
      <c r="AC54" s="37">
        <f t="shared" si="36"/>
        <v>0.29003497691581254</v>
      </c>
      <c r="AD54" s="40">
        <f t="shared" si="19"/>
        <v>0.29003497691581254</v>
      </c>
      <c r="AE54" s="39">
        <f t="shared" si="27"/>
        <v>5.7004678362573094</v>
      </c>
      <c r="AF54" s="37">
        <f t="shared" si="20"/>
        <v>6.6505889949433348</v>
      </c>
      <c r="AG54" s="37">
        <f t="shared" si="37"/>
        <v>0.20345953630644242</v>
      </c>
      <c r="AH54" s="37">
        <f t="shared" si="38"/>
        <v>1.233883747563179</v>
      </c>
      <c r="AI54" s="40">
        <f t="shared" si="21"/>
        <v>1.4373432838696214</v>
      </c>
      <c r="AJ54" s="39">
        <f t="shared" si="22"/>
        <v>1.7755555555555558</v>
      </c>
      <c r="AK54" s="37">
        <f t="shared" si="39"/>
        <v>3.7116925254526532</v>
      </c>
      <c r="AL54" s="37">
        <f t="shared" si="40"/>
        <v>0.76703999999999994</v>
      </c>
      <c r="AM54" s="37">
        <f t="shared" si="41"/>
        <v>9.4760000000000011E-2</v>
      </c>
      <c r="AN54" s="40">
        <f t="shared" si="23"/>
        <v>0.8617999999999999</v>
      </c>
      <c r="AO54" s="39">
        <f t="shared" si="42"/>
        <v>0.1326910019389842</v>
      </c>
      <c r="AP54" s="37">
        <f t="shared" si="43"/>
        <v>0.15292125000000001</v>
      </c>
      <c r="AQ54" s="40">
        <f t="shared" si="44"/>
        <v>1.7099999999999999E-3</v>
      </c>
      <c r="AR54" s="39">
        <f t="shared" si="24"/>
        <v>2.8765005127244181</v>
      </c>
      <c r="AS54" s="37">
        <f t="shared" si="25"/>
        <v>25.567999999999998</v>
      </c>
      <c r="AT54" s="40">
        <f t="shared" si="26"/>
        <v>89.887322818561572</v>
      </c>
    </row>
    <row r="55" spans="17:46" x14ac:dyDescent="0.25">
      <c r="Q55">
        <v>48</v>
      </c>
      <c r="R55" s="39">
        <f t="shared" si="0"/>
        <v>16</v>
      </c>
      <c r="S55" s="37">
        <f t="shared" si="30"/>
        <v>1.6319999999999997</v>
      </c>
      <c r="T55" s="37">
        <f t="shared" si="2"/>
        <v>3.8</v>
      </c>
      <c r="U55" s="40">
        <f t="shared" si="31"/>
        <v>7.6350877192982445</v>
      </c>
      <c r="V55" s="39">
        <f t="shared" si="32"/>
        <v>2</v>
      </c>
      <c r="W55" s="37">
        <f t="shared" si="33"/>
        <v>0.76249999999999996</v>
      </c>
      <c r="X55" s="40">
        <f t="shared" si="34"/>
        <v>0.23750000000000004</v>
      </c>
      <c r="Y55" s="39">
        <f t="shared" si="35"/>
        <v>5.0391304347826082</v>
      </c>
      <c r="Z55" s="37">
        <f t="shared" si="28"/>
        <v>10.154652936689548</v>
      </c>
      <c r="AA55" s="37">
        <f t="shared" si="29"/>
        <v>7.772427813084418</v>
      </c>
      <c r="AB55" s="37">
        <v>0</v>
      </c>
      <c r="AC55" s="37">
        <f t="shared" si="36"/>
        <v>0.30205317054804115</v>
      </c>
      <c r="AD55" s="40">
        <f t="shared" si="19"/>
        <v>0.30205317054804115</v>
      </c>
      <c r="AE55" s="39">
        <f t="shared" si="27"/>
        <v>5.821754385964911</v>
      </c>
      <c r="AF55" s="37">
        <f t="shared" si="20"/>
        <v>6.7869808095040511</v>
      </c>
      <c r="AG55" s="37">
        <f t="shared" si="37"/>
        <v>0.21189029913945082</v>
      </c>
      <c r="AH55" s="37">
        <f t="shared" si="38"/>
        <v>1.2601365932560127</v>
      </c>
      <c r="AI55" s="40">
        <f t="shared" si="21"/>
        <v>1.4720268923954636</v>
      </c>
      <c r="AJ55" s="39">
        <f t="shared" si="22"/>
        <v>1.8133333333333335</v>
      </c>
      <c r="AK55" s="37">
        <f t="shared" si="39"/>
        <v>3.7878127727003559</v>
      </c>
      <c r="AL55" s="37">
        <f t="shared" si="40"/>
        <v>0.78335999999999983</v>
      </c>
      <c r="AM55" s="37">
        <f t="shared" si="41"/>
        <v>9.4760000000000011E-2</v>
      </c>
      <c r="AN55" s="40">
        <f t="shared" si="23"/>
        <v>0.87811999999999979</v>
      </c>
      <c r="AO55" s="39">
        <f t="shared" si="42"/>
        <v>0.1381893255257288</v>
      </c>
      <c r="AP55" s="37">
        <f t="shared" si="43"/>
        <v>0.15292125000000001</v>
      </c>
      <c r="AQ55" s="40">
        <f t="shared" si="44"/>
        <v>1.7099999999999999E-3</v>
      </c>
      <c r="AR55" s="39">
        <f t="shared" si="24"/>
        <v>2.945020638469233</v>
      </c>
      <c r="AS55" s="37">
        <f t="shared" si="25"/>
        <v>26.111999999999995</v>
      </c>
      <c r="AT55" s="40">
        <f t="shared" si="26"/>
        <v>89.864684768918607</v>
      </c>
    </row>
    <row r="56" spans="17:46" x14ac:dyDescent="0.25">
      <c r="Q56">
        <v>49</v>
      </c>
      <c r="R56" s="39">
        <f t="shared" si="0"/>
        <v>16</v>
      </c>
      <c r="S56" s="37">
        <f t="shared" si="30"/>
        <v>1.6659999999999997</v>
      </c>
      <c r="T56" s="37">
        <f t="shared" si="2"/>
        <v>3.8</v>
      </c>
      <c r="U56" s="40">
        <f t="shared" si="31"/>
        <v>7.7941520467836245</v>
      </c>
      <c r="V56" s="39">
        <f t="shared" si="32"/>
        <v>2</v>
      </c>
      <c r="W56" s="37">
        <f t="shared" si="33"/>
        <v>0.76249999999999996</v>
      </c>
      <c r="X56" s="40">
        <f t="shared" si="34"/>
        <v>0.23750000000000004</v>
      </c>
      <c r="Y56" s="39">
        <f t="shared" si="35"/>
        <v>5.0391304347826082</v>
      </c>
      <c r="Z56" s="37">
        <f t="shared" si="28"/>
        <v>10.31371726417493</v>
      </c>
      <c r="AA56" s="37">
        <f t="shared" si="29"/>
        <v>7.9287373368406344</v>
      </c>
      <c r="AB56" s="37">
        <v>0</v>
      </c>
      <c r="AC56" s="37">
        <f t="shared" si="36"/>
        <v>0.31432437878305358</v>
      </c>
      <c r="AD56" s="40">
        <f t="shared" si="19"/>
        <v>0.31432437878305358</v>
      </c>
      <c r="AE56" s="39">
        <f t="shared" si="27"/>
        <v>5.9430409356725136</v>
      </c>
      <c r="AF56" s="37">
        <f t="shared" si="20"/>
        <v>6.9234722332378631</v>
      </c>
      <c r="AG56" s="37">
        <f t="shared" si="37"/>
        <v>0.22049855171631216</v>
      </c>
      <c r="AH56" s="37">
        <f t="shared" si="38"/>
        <v>1.2863894389488462</v>
      </c>
      <c r="AI56" s="40">
        <f t="shared" si="21"/>
        <v>1.5068879906651582</v>
      </c>
      <c r="AJ56" s="39">
        <f t="shared" si="22"/>
        <v>1.8511111111111112</v>
      </c>
      <c r="AK56" s="37">
        <f t="shared" si="39"/>
        <v>3.8639886118096998</v>
      </c>
      <c r="AL56" s="37">
        <f t="shared" si="40"/>
        <v>0.79967999999999984</v>
      </c>
      <c r="AM56" s="37">
        <f t="shared" si="41"/>
        <v>9.4760000000000011E-2</v>
      </c>
      <c r="AN56" s="40">
        <f t="shared" si="23"/>
        <v>0.8944399999999999</v>
      </c>
      <c r="AO56" s="39">
        <f t="shared" si="42"/>
        <v>0.14380340329324706</v>
      </c>
      <c r="AP56" s="37">
        <f t="shared" si="43"/>
        <v>0.15292125000000001</v>
      </c>
      <c r="AQ56" s="40">
        <f t="shared" si="44"/>
        <v>1.7099999999999999E-3</v>
      </c>
      <c r="AR56" s="39">
        <f t="shared" si="24"/>
        <v>3.0140870227414585</v>
      </c>
      <c r="AS56" s="37">
        <f t="shared" si="25"/>
        <v>26.655999999999995</v>
      </c>
      <c r="AT56" s="40">
        <f t="shared" si="26"/>
        <v>89.841327325965608</v>
      </c>
    </row>
    <row r="57" spans="17:46" x14ac:dyDescent="0.25">
      <c r="Q57">
        <v>50</v>
      </c>
      <c r="R57" s="39">
        <f t="shared" si="0"/>
        <v>16</v>
      </c>
      <c r="S57" s="37">
        <f t="shared" si="30"/>
        <v>1.6999999999999997</v>
      </c>
      <c r="T57" s="37">
        <f t="shared" si="2"/>
        <v>3.8</v>
      </c>
      <c r="U57" s="40">
        <f t="shared" si="31"/>
        <v>7.9532163742690045</v>
      </c>
      <c r="V57" s="39">
        <f t="shared" si="32"/>
        <v>2</v>
      </c>
      <c r="W57" s="37">
        <f t="shared" si="33"/>
        <v>0.76249999999999996</v>
      </c>
      <c r="X57" s="40">
        <f t="shared" si="34"/>
        <v>0.23750000000000004</v>
      </c>
      <c r="Y57" s="39">
        <f t="shared" si="35"/>
        <v>5.0391304347826082</v>
      </c>
      <c r="Z57" s="37">
        <f t="shared" si="28"/>
        <v>10.472781591660308</v>
      </c>
      <c r="AA57" s="37">
        <f t="shared" si="29"/>
        <v>8.0851543166577819</v>
      </c>
      <c r="AB57" s="37">
        <v>0</v>
      </c>
      <c r="AC57" s="37">
        <f t="shared" si="36"/>
        <v>0.32684860162084983</v>
      </c>
      <c r="AD57" s="40">
        <f t="shared" si="19"/>
        <v>0.32684860162084983</v>
      </c>
      <c r="AE57" s="39">
        <f t="shared" si="27"/>
        <v>6.0643274853801152</v>
      </c>
      <c r="AF57" s="37">
        <f t="shared" si="20"/>
        <v>7.0600574889429604</v>
      </c>
      <c r="AG57" s="37">
        <f t="shared" si="37"/>
        <v>0.22928429403702605</v>
      </c>
      <c r="AH57" s="37">
        <f t="shared" si="38"/>
        <v>1.3126422846416796</v>
      </c>
      <c r="AI57" s="40">
        <f t="shared" si="21"/>
        <v>1.5419265786787058</v>
      </c>
      <c r="AJ57" s="39">
        <f t="shared" si="22"/>
        <v>1.8888888888888888</v>
      </c>
      <c r="AK57" s="37">
        <f t="shared" si="39"/>
        <v>3.9402168185253923</v>
      </c>
      <c r="AL57" s="37">
        <f t="shared" si="40"/>
        <v>0.81599999999999984</v>
      </c>
      <c r="AM57" s="37">
        <f t="shared" si="41"/>
        <v>9.4760000000000011E-2</v>
      </c>
      <c r="AN57" s="40">
        <f t="shared" si="23"/>
        <v>0.91075999999999979</v>
      </c>
      <c r="AO57" s="39">
        <f t="shared" si="42"/>
        <v>0.14953323524153875</v>
      </c>
      <c r="AP57" s="37">
        <f t="shared" si="43"/>
        <v>0.15292125000000001</v>
      </c>
      <c r="AQ57" s="40">
        <f t="shared" si="44"/>
        <v>1.7099999999999999E-3</v>
      </c>
      <c r="AR57" s="39">
        <f t="shared" si="24"/>
        <v>3.083699665541094</v>
      </c>
      <c r="AS57" s="37">
        <f t="shared" si="25"/>
        <v>27.199999999999996</v>
      </c>
      <c r="AT57" s="40">
        <f t="shared" si="26"/>
        <v>89.817295444090192</v>
      </c>
    </row>
    <row r="58" spans="17:46" x14ac:dyDescent="0.25">
      <c r="Q58">
        <v>51</v>
      </c>
      <c r="R58" s="39">
        <f t="shared" si="0"/>
        <v>16</v>
      </c>
      <c r="S58" s="37">
        <f t="shared" si="30"/>
        <v>1.7339999999999998</v>
      </c>
      <c r="T58" s="37">
        <f t="shared" si="2"/>
        <v>3.8</v>
      </c>
      <c r="U58" s="40">
        <f t="shared" si="31"/>
        <v>8.1122807017543845</v>
      </c>
      <c r="V58" s="39">
        <f t="shared" si="32"/>
        <v>2</v>
      </c>
      <c r="W58" s="37">
        <f t="shared" si="33"/>
        <v>0.76249999999999996</v>
      </c>
      <c r="X58" s="40">
        <f t="shared" si="34"/>
        <v>0.23750000000000004</v>
      </c>
      <c r="Y58" s="39">
        <f t="shared" si="35"/>
        <v>5.0391304347826082</v>
      </c>
      <c r="Z58" s="37">
        <f t="shared" si="28"/>
        <v>10.63184591914569</v>
      </c>
      <c r="AA58" s="37">
        <f t="shared" si="29"/>
        <v>8.2416726343798672</v>
      </c>
      <c r="AB58" s="37">
        <v>0</v>
      </c>
      <c r="AC58" s="37">
        <f t="shared" si="36"/>
        <v>0.3396258390614299</v>
      </c>
      <c r="AD58" s="40">
        <f t="shared" si="19"/>
        <v>0.3396258390614299</v>
      </c>
      <c r="AE58" s="39">
        <f t="shared" si="27"/>
        <v>6.1856140350877178</v>
      </c>
      <c r="AF58" s="37">
        <f t="shared" si="20"/>
        <v>7.1967312341693059</v>
      </c>
      <c r="AG58" s="37">
        <f t="shared" si="37"/>
        <v>0.23824752610159308</v>
      </c>
      <c r="AH58" s="37">
        <f t="shared" si="38"/>
        <v>1.3388951303345134</v>
      </c>
      <c r="AI58" s="40">
        <f t="shared" si="21"/>
        <v>1.5771426564361064</v>
      </c>
      <c r="AJ58" s="39">
        <f t="shared" si="22"/>
        <v>1.9266666666666667</v>
      </c>
      <c r="AK58" s="37">
        <f t="shared" si="39"/>
        <v>4.0164944112270247</v>
      </c>
      <c r="AL58" s="37">
        <f t="shared" si="40"/>
        <v>0.83231999999999984</v>
      </c>
      <c r="AM58" s="37">
        <f t="shared" si="41"/>
        <v>9.4760000000000011E-2</v>
      </c>
      <c r="AN58" s="40">
        <f t="shared" si="23"/>
        <v>0.9270799999999999</v>
      </c>
      <c r="AO58" s="39">
        <f t="shared" si="42"/>
        <v>0.15537882137060419</v>
      </c>
      <c r="AP58" s="37">
        <f t="shared" si="43"/>
        <v>0.15292125000000001</v>
      </c>
      <c r="AQ58" s="40">
        <f t="shared" si="44"/>
        <v>1.7099999999999999E-3</v>
      </c>
      <c r="AR58" s="39">
        <f t="shared" si="24"/>
        <v>3.1538585668681405</v>
      </c>
      <c r="AS58" s="37">
        <f t="shared" si="25"/>
        <v>27.743999999999996</v>
      </c>
      <c r="AT58" s="40">
        <f t="shared" si="26"/>
        <v>89.792630579744994</v>
      </c>
    </row>
    <row r="59" spans="17:46" x14ac:dyDescent="0.25">
      <c r="Q59">
        <v>52</v>
      </c>
      <c r="R59" s="39">
        <f t="shared" si="0"/>
        <v>16</v>
      </c>
      <c r="S59" s="37">
        <f t="shared" si="30"/>
        <v>1.7679999999999998</v>
      </c>
      <c r="T59" s="37">
        <f t="shared" si="2"/>
        <v>3.8</v>
      </c>
      <c r="U59" s="40">
        <f t="shared" si="31"/>
        <v>8.2713450292397646</v>
      </c>
      <c r="V59" s="39">
        <f t="shared" si="32"/>
        <v>2</v>
      </c>
      <c r="W59" s="37">
        <f t="shared" si="33"/>
        <v>0.76249999999999996</v>
      </c>
      <c r="X59" s="40">
        <f t="shared" si="34"/>
        <v>0.23750000000000004</v>
      </c>
      <c r="Y59" s="39">
        <f t="shared" si="35"/>
        <v>5.0391304347826082</v>
      </c>
      <c r="Z59" s="37">
        <f t="shared" si="28"/>
        <v>10.790910246631068</v>
      </c>
      <c r="AA59" s="37">
        <f t="shared" si="29"/>
        <v>8.3982866241251095</v>
      </c>
      <c r="AB59" s="37">
        <v>0</v>
      </c>
      <c r="AC59" s="37">
        <f t="shared" si="36"/>
        <v>0.35265609110479368</v>
      </c>
      <c r="AD59" s="40">
        <f t="shared" si="19"/>
        <v>0.35265609110479368</v>
      </c>
      <c r="AE59" s="39">
        <f t="shared" si="27"/>
        <v>6.3069005847953203</v>
      </c>
      <c r="AF59" s="37">
        <f t="shared" si="20"/>
        <v>7.3334885213983272</v>
      </c>
      <c r="AG59" s="37">
        <f t="shared" si="37"/>
        <v>0.24738824791001271</v>
      </c>
      <c r="AH59" s="37">
        <f t="shared" si="38"/>
        <v>1.3651479760273468</v>
      </c>
      <c r="AI59" s="40">
        <f t="shared" si="21"/>
        <v>1.6125362239373595</v>
      </c>
      <c r="AJ59" s="39">
        <f t="shared" si="22"/>
        <v>1.9644444444444444</v>
      </c>
      <c r="AK59" s="37">
        <f t="shared" si="39"/>
        <v>4.0928186287053689</v>
      </c>
      <c r="AL59" s="37">
        <f t="shared" si="40"/>
        <v>0.84863999999999984</v>
      </c>
      <c r="AM59" s="37">
        <f t="shared" si="41"/>
        <v>9.4760000000000011E-2</v>
      </c>
      <c r="AN59" s="40">
        <f t="shared" si="23"/>
        <v>0.94339999999999979</v>
      </c>
      <c r="AO59" s="39">
        <f t="shared" si="42"/>
        <v>0.16134016168044307</v>
      </c>
      <c r="AP59" s="37">
        <f t="shared" si="43"/>
        <v>0.15292125000000001</v>
      </c>
      <c r="AQ59" s="40">
        <f t="shared" si="44"/>
        <v>1.7099999999999999E-3</v>
      </c>
      <c r="AR59" s="39">
        <f t="shared" si="24"/>
        <v>3.2245637267225962</v>
      </c>
      <c r="AS59" s="37">
        <f t="shared" si="25"/>
        <v>28.287999999999997</v>
      </c>
      <c r="AT59" s="40">
        <f t="shared" si="26"/>
        <v>89.767371024820264</v>
      </c>
    </row>
    <row r="60" spans="17:46" x14ac:dyDescent="0.25">
      <c r="Q60">
        <v>53</v>
      </c>
      <c r="R60" s="39">
        <f t="shared" si="0"/>
        <v>16</v>
      </c>
      <c r="S60" s="37">
        <f t="shared" si="30"/>
        <v>1.8019999999999998</v>
      </c>
      <c r="T60" s="37">
        <f t="shared" si="2"/>
        <v>3.8</v>
      </c>
      <c r="U60" s="40">
        <f t="shared" si="31"/>
        <v>8.4304093567251464</v>
      </c>
      <c r="V60" s="39">
        <f t="shared" si="32"/>
        <v>2</v>
      </c>
      <c r="W60" s="37">
        <f t="shared" si="33"/>
        <v>0.76249999999999996</v>
      </c>
      <c r="X60" s="40">
        <f t="shared" si="34"/>
        <v>0.23750000000000004</v>
      </c>
      <c r="Y60" s="39">
        <f t="shared" si="35"/>
        <v>5.0391304347826082</v>
      </c>
      <c r="Z60" s="37">
        <f t="shared" si="28"/>
        <v>10.94997457411645</v>
      </c>
      <c r="AA60" s="37">
        <f t="shared" si="29"/>
        <v>8.554991031566793</v>
      </c>
      <c r="AB60" s="37">
        <v>0</v>
      </c>
      <c r="AC60" s="37">
        <f t="shared" si="36"/>
        <v>0.36593935775094133</v>
      </c>
      <c r="AD60" s="40">
        <f t="shared" si="19"/>
        <v>0.36593935775094133</v>
      </c>
      <c r="AE60" s="39">
        <f t="shared" si="27"/>
        <v>6.4281871345029238</v>
      </c>
      <c r="AF60" s="37">
        <f t="shared" si="20"/>
        <v>7.4703247624864701</v>
      </c>
      <c r="AG60" s="37">
        <f t="shared" si="37"/>
        <v>0.25670645946228526</v>
      </c>
      <c r="AH60" s="37">
        <f t="shared" si="38"/>
        <v>1.3914008217201808</v>
      </c>
      <c r="AI60" s="40">
        <f t="shared" si="21"/>
        <v>1.648107281182466</v>
      </c>
      <c r="AJ60" s="39">
        <f t="shared" si="22"/>
        <v>2.0022222222222226</v>
      </c>
      <c r="AK60" s="37">
        <f t="shared" si="39"/>
        <v>4.1691869103183308</v>
      </c>
      <c r="AL60" s="37">
        <f t="shared" si="40"/>
        <v>0.86495999999999984</v>
      </c>
      <c r="AM60" s="37">
        <f t="shared" si="41"/>
        <v>9.4760000000000011E-2</v>
      </c>
      <c r="AN60" s="40">
        <f t="shared" si="23"/>
        <v>0.95971999999999991</v>
      </c>
      <c r="AO60" s="39">
        <f t="shared" si="42"/>
        <v>0.16741725617105563</v>
      </c>
      <c r="AP60" s="37">
        <f t="shared" si="43"/>
        <v>0.15292125000000001</v>
      </c>
      <c r="AQ60" s="40">
        <f t="shared" si="44"/>
        <v>1.7099999999999999E-3</v>
      </c>
      <c r="AR60" s="39">
        <f t="shared" si="24"/>
        <v>3.2958151451044628</v>
      </c>
      <c r="AS60" s="37">
        <f t="shared" si="25"/>
        <v>28.831999999999997</v>
      </c>
      <c r="AT60" s="40">
        <f t="shared" si="26"/>
        <v>89.741552202603884</v>
      </c>
    </row>
    <row r="61" spans="17:46" x14ac:dyDescent="0.25">
      <c r="Q61">
        <v>54</v>
      </c>
      <c r="R61" s="39">
        <f t="shared" si="0"/>
        <v>16</v>
      </c>
      <c r="S61" s="37">
        <f t="shared" si="30"/>
        <v>1.8359999999999999</v>
      </c>
      <c r="T61" s="37">
        <f t="shared" si="2"/>
        <v>3.8</v>
      </c>
      <c r="U61" s="40">
        <f t="shared" si="31"/>
        <v>8.5894736842105264</v>
      </c>
      <c r="V61" s="39">
        <f t="shared" si="32"/>
        <v>2</v>
      </c>
      <c r="W61" s="37">
        <f t="shared" si="33"/>
        <v>0.76249999999999996</v>
      </c>
      <c r="X61" s="40">
        <f t="shared" si="34"/>
        <v>0.23750000000000004</v>
      </c>
      <c r="Y61" s="39">
        <f t="shared" si="35"/>
        <v>5.0391304347826082</v>
      </c>
      <c r="Z61" s="37">
        <f t="shared" si="28"/>
        <v>11.109038901601831</v>
      </c>
      <c r="AA61" s="37">
        <f t="shared" si="29"/>
        <v>8.7117809775025066</v>
      </c>
      <c r="AB61" s="37">
        <v>0</v>
      </c>
      <c r="AC61" s="37">
        <f t="shared" si="36"/>
        <v>0.37947563899987269</v>
      </c>
      <c r="AD61" s="40">
        <f t="shared" si="19"/>
        <v>0.37947563899987269</v>
      </c>
      <c r="AE61" s="39">
        <f t="shared" si="27"/>
        <v>6.5494736842105263</v>
      </c>
      <c r="AF61" s="37">
        <f t="shared" si="20"/>
        <v>7.6072356968533956</v>
      </c>
      <c r="AG61" s="37">
        <f t="shared" si="37"/>
        <v>0.26620216075841063</v>
      </c>
      <c r="AH61" s="37">
        <f t="shared" si="38"/>
        <v>1.4176536674130142</v>
      </c>
      <c r="AI61" s="40">
        <f t="shared" si="21"/>
        <v>1.6838558281714249</v>
      </c>
      <c r="AJ61" s="39">
        <f t="shared" si="22"/>
        <v>2.0400000000000005</v>
      </c>
      <c r="AK61" s="37">
        <f t="shared" si="39"/>
        <v>4.2455968782367872</v>
      </c>
      <c r="AL61" s="37">
        <f t="shared" si="40"/>
        <v>0.88127999999999995</v>
      </c>
      <c r="AM61" s="37">
        <f t="shared" si="41"/>
        <v>9.4760000000000011E-2</v>
      </c>
      <c r="AN61" s="40">
        <f t="shared" si="23"/>
        <v>0.97604000000000002</v>
      </c>
      <c r="AO61" s="39">
        <f t="shared" si="42"/>
        <v>0.17361010484244171</v>
      </c>
      <c r="AP61" s="37">
        <f t="shared" si="43"/>
        <v>0.15292125000000001</v>
      </c>
      <c r="AQ61" s="40">
        <f t="shared" si="44"/>
        <v>1.7099999999999999E-3</v>
      </c>
      <c r="AR61" s="39">
        <f t="shared" si="24"/>
        <v>3.3676128220137396</v>
      </c>
      <c r="AS61" s="37">
        <f t="shared" si="25"/>
        <v>29.375999999999998</v>
      </c>
      <c r="AT61" s="40">
        <f t="shared" si="26"/>
        <v>89.715206931137203</v>
      </c>
    </row>
    <row r="62" spans="17:46" x14ac:dyDescent="0.25">
      <c r="Q62">
        <v>55</v>
      </c>
      <c r="R62" s="39">
        <f t="shared" si="0"/>
        <v>16</v>
      </c>
      <c r="S62" s="37">
        <f t="shared" si="30"/>
        <v>1.8699999999999997</v>
      </c>
      <c r="T62" s="37">
        <f t="shared" si="2"/>
        <v>3.8</v>
      </c>
      <c r="U62" s="40">
        <f t="shared" si="31"/>
        <v>8.7485380116959046</v>
      </c>
      <c r="V62" s="39">
        <f t="shared" si="32"/>
        <v>2</v>
      </c>
      <c r="W62" s="37">
        <f t="shared" si="33"/>
        <v>0.76249999999999996</v>
      </c>
      <c r="X62" s="40">
        <f t="shared" si="34"/>
        <v>0.23750000000000004</v>
      </c>
      <c r="Y62" s="39">
        <f t="shared" si="35"/>
        <v>5.0391304347826082</v>
      </c>
      <c r="Z62" s="37">
        <f t="shared" si="28"/>
        <v>11.26810322908721</v>
      </c>
      <c r="AA62" s="37">
        <f t="shared" si="29"/>
        <v>8.8686519251979608</v>
      </c>
      <c r="AB62" s="37">
        <v>0</v>
      </c>
      <c r="AC62" s="37">
        <f t="shared" si="36"/>
        <v>0.39326493485158753</v>
      </c>
      <c r="AD62" s="40">
        <f t="shared" si="19"/>
        <v>0.39326493485158753</v>
      </c>
      <c r="AE62" s="39">
        <f t="shared" si="27"/>
        <v>6.6707602339181271</v>
      </c>
      <c r="AF62" s="37">
        <f t="shared" si="20"/>
        <v>7.7442173629661957</v>
      </c>
      <c r="AG62" s="37">
        <f t="shared" si="37"/>
        <v>0.27587535179838862</v>
      </c>
      <c r="AH62" s="37">
        <f t="shared" si="38"/>
        <v>1.4439065131058475</v>
      </c>
      <c r="AI62" s="40">
        <f t="shared" si="21"/>
        <v>1.719781864904236</v>
      </c>
      <c r="AJ62" s="39">
        <f t="shared" si="22"/>
        <v>2.0777777777777779</v>
      </c>
      <c r="AK62" s="37">
        <f t="shared" si="39"/>
        <v>4.3220463215299318</v>
      </c>
      <c r="AL62" s="37">
        <f t="shared" si="40"/>
        <v>0.89759999999999984</v>
      </c>
      <c r="AM62" s="37">
        <f t="shared" si="41"/>
        <v>9.4760000000000011E-2</v>
      </c>
      <c r="AN62" s="40">
        <f t="shared" si="23"/>
        <v>0.99235999999999991</v>
      </c>
      <c r="AO62" s="39">
        <f t="shared" si="42"/>
        <v>0.1799187076946013</v>
      </c>
      <c r="AP62" s="37">
        <f t="shared" si="43"/>
        <v>0.15292125000000001</v>
      </c>
      <c r="AQ62" s="40">
        <f t="shared" si="44"/>
        <v>1.7099999999999999E-3</v>
      </c>
      <c r="AR62" s="39">
        <f t="shared" si="24"/>
        <v>3.4399567574504251</v>
      </c>
      <c r="AS62" s="37">
        <f t="shared" si="25"/>
        <v>29.919999999999995</v>
      </c>
      <c r="AT62" s="40">
        <f t="shared" si="26"/>
        <v>89.68836565808148</v>
      </c>
    </row>
    <row r="63" spans="17:46" x14ac:dyDescent="0.25">
      <c r="Q63">
        <v>56</v>
      </c>
      <c r="R63" s="39">
        <f t="shared" si="0"/>
        <v>16</v>
      </c>
      <c r="S63" s="37">
        <f t="shared" si="30"/>
        <v>1.9039999999999997</v>
      </c>
      <c r="T63" s="37">
        <f t="shared" si="2"/>
        <v>3.8</v>
      </c>
      <c r="U63" s="40">
        <f t="shared" si="31"/>
        <v>8.9076023391812846</v>
      </c>
      <c r="V63" s="39">
        <f t="shared" si="32"/>
        <v>2</v>
      </c>
      <c r="W63" s="37">
        <f t="shared" si="33"/>
        <v>0.76249999999999996</v>
      </c>
      <c r="X63" s="40">
        <f t="shared" si="34"/>
        <v>0.23750000000000004</v>
      </c>
      <c r="Y63" s="39">
        <f t="shared" si="35"/>
        <v>5.0391304347826082</v>
      </c>
      <c r="Z63" s="37">
        <f t="shared" si="28"/>
        <v>11.427167556572588</v>
      </c>
      <c r="AA63" s="37">
        <f t="shared" si="29"/>
        <v>9.0255996510601584</v>
      </c>
      <c r="AB63" s="37">
        <v>0</v>
      </c>
      <c r="AC63" s="37">
        <f t="shared" si="36"/>
        <v>0.40730724530608625</v>
      </c>
      <c r="AD63" s="40">
        <f t="shared" si="19"/>
        <v>0.40730724530608625</v>
      </c>
      <c r="AE63" s="39">
        <f t="shared" si="27"/>
        <v>6.7920467836257288</v>
      </c>
      <c r="AF63" s="37">
        <f t="shared" si="20"/>
        <v>7.8812660727308375</v>
      </c>
      <c r="AG63" s="37">
        <f t="shared" si="37"/>
        <v>0.28572603258221951</v>
      </c>
      <c r="AH63" s="37">
        <f t="shared" si="38"/>
        <v>1.4701593587986812</v>
      </c>
      <c r="AI63" s="40">
        <f t="shared" si="21"/>
        <v>1.7558853913809007</v>
      </c>
      <c r="AJ63" s="39">
        <f t="shared" si="22"/>
        <v>2.1155555555555554</v>
      </c>
      <c r="AK63" s="37">
        <f t="shared" si="39"/>
        <v>4.3985331818731463</v>
      </c>
      <c r="AL63" s="37">
        <f t="shared" si="40"/>
        <v>0.91391999999999984</v>
      </c>
      <c r="AM63" s="37">
        <f t="shared" si="41"/>
        <v>9.4760000000000011E-2</v>
      </c>
      <c r="AN63" s="40">
        <f t="shared" si="23"/>
        <v>1.0086799999999998</v>
      </c>
      <c r="AO63" s="39">
        <f t="shared" si="42"/>
        <v>0.18634306472753448</v>
      </c>
      <c r="AP63" s="37">
        <f t="shared" si="43"/>
        <v>0.15292125000000001</v>
      </c>
      <c r="AQ63" s="40">
        <f t="shared" si="44"/>
        <v>1.7099999999999999E-3</v>
      </c>
      <c r="AR63" s="39">
        <f t="shared" si="24"/>
        <v>3.5128469514145215</v>
      </c>
      <c r="AS63" s="37">
        <f t="shared" si="25"/>
        <v>30.463999999999995</v>
      </c>
      <c r="AT63" s="40">
        <f t="shared" si="26"/>
        <v>89.661056670627076</v>
      </c>
    </row>
    <row r="64" spans="17:46" x14ac:dyDescent="0.25">
      <c r="Q64">
        <v>57</v>
      </c>
      <c r="R64" s="39">
        <f t="shared" si="0"/>
        <v>16</v>
      </c>
      <c r="S64" s="37">
        <f t="shared" si="30"/>
        <v>1.9379999999999997</v>
      </c>
      <c r="T64" s="37">
        <f t="shared" si="2"/>
        <v>3.8</v>
      </c>
      <c r="U64" s="40">
        <f t="shared" si="31"/>
        <v>9.0666666666666664</v>
      </c>
      <c r="V64" s="39">
        <f t="shared" si="32"/>
        <v>2</v>
      </c>
      <c r="W64" s="37">
        <f t="shared" si="33"/>
        <v>0.76249999999999996</v>
      </c>
      <c r="X64" s="40">
        <f t="shared" si="34"/>
        <v>0.23750000000000004</v>
      </c>
      <c r="Y64" s="39">
        <f t="shared" si="35"/>
        <v>5.0391304347826082</v>
      </c>
      <c r="Z64" s="37">
        <f t="shared" si="28"/>
        <v>11.58623188405797</v>
      </c>
      <c r="AA64" s="37">
        <f t="shared" si="29"/>
        <v>9.1826202182532732</v>
      </c>
      <c r="AB64" s="37">
        <v>0</v>
      </c>
      <c r="AC64" s="37">
        <f t="shared" si="36"/>
        <v>0.42160257036336896</v>
      </c>
      <c r="AD64" s="40">
        <f t="shared" si="19"/>
        <v>0.42160257036336896</v>
      </c>
      <c r="AE64" s="39">
        <f t="shared" si="27"/>
        <v>6.9133333333333331</v>
      </c>
      <c r="AF64" s="37">
        <f t="shared" si="20"/>
        <v>8.0183783884532271</v>
      </c>
      <c r="AG64" s="37">
        <f t="shared" si="37"/>
        <v>0.29575420310990336</v>
      </c>
      <c r="AH64" s="37">
        <f t="shared" si="38"/>
        <v>1.4964122044915151</v>
      </c>
      <c r="AI64" s="40">
        <f t="shared" si="21"/>
        <v>1.7921664076014185</v>
      </c>
      <c r="AJ64" s="39">
        <f t="shared" si="22"/>
        <v>2.1533333333333338</v>
      </c>
      <c r="AK64" s="37">
        <f t="shared" si="39"/>
        <v>4.475055540689973</v>
      </c>
      <c r="AL64" s="37">
        <f t="shared" si="40"/>
        <v>0.93023999999999984</v>
      </c>
      <c r="AM64" s="37">
        <f t="shared" si="41"/>
        <v>9.4760000000000011E-2</v>
      </c>
      <c r="AN64" s="40">
        <f t="shared" si="23"/>
        <v>1.0249999999999999</v>
      </c>
      <c r="AO64" s="39">
        <f t="shared" si="42"/>
        <v>0.19288317594124132</v>
      </c>
      <c r="AP64" s="37">
        <f t="shared" si="43"/>
        <v>0.15292125000000001</v>
      </c>
      <c r="AQ64" s="40">
        <f t="shared" si="44"/>
        <v>1.7099999999999999E-3</v>
      </c>
      <c r="AR64" s="39">
        <f t="shared" si="24"/>
        <v>3.586283403906029</v>
      </c>
      <c r="AS64" s="37">
        <f t="shared" si="25"/>
        <v>31.007999999999996</v>
      </c>
      <c r="AT64" s="40">
        <f t="shared" si="26"/>
        <v>89.633306283485254</v>
      </c>
    </row>
    <row r="65" spans="17:46" x14ac:dyDescent="0.25">
      <c r="Q65">
        <v>58</v>
      </c>
      <c r="R65" s="39">
        <f t="shared" si="0"/>
        <v>16</v>
      </c>
      <c r="S65" s="37">
        <f t="shared" si="30"/>
        <v>1.9719999999999998</v>
      </c>
      <c r="T65" s="37">
        <f t="shared" si="2"/>
        <v>3.8</v>
      </c>
      <c r="U65" s="40">
        <f t="shared" si="31"/>
        <v>9.2257309941520464</v>
      </c>
      <c r="V65" s="39">
        <f t="shared" si="32"/>
        <v>2</v>
      </c>
      <c r="W65" s="37">
        <f t="shared" si="33"/>
        <v>0.76249999999999996</v>
      </c>
      <c r="X65" s="40">
        <f t="shared" si="34"/>
        <v>0.23750000000000004</v>
      </c>
      <c r="Y65" s="39">
        <f t="shared" si="35"/>
        <v>5.0391304347826082</v>
      </c>
      <c r="Z65" s="37">
        <f t="shared" si="28"/>
        <v>11.745296211543351</v>
      </c>
      <c r="AA65" s="37">
        <f t="shared" si="29"/>
        <v>9.3397099529207583</v>
      </c>
      <c r="AB65" s="37">
        <v>0</v>
      </c>
      <c r="AC65" s="37">
        <f t="shared" si="36"/>
        <v>0.43615091002343542</v>
      </c>
      <c r="AD65" s="40">
        <f t="shared" si="19"/>
        <v>0.43615091002343542</v>
      </c>
      <c r="AE65" s="39">
        <f t="shared" si="27"/>
        <v>7.0346198830409348</v>
      </c>
      <c r="AF65" s="37">
        <f t="shared" si="20"/>
        <v>8.1555511020760498</v>
      </c>
      <c r="AG65" s="37">
        <f t="shared" si="37"/>
        <v>0.30595986338143977</v>
      </c>
      <c r="AH65" s="37">
        <f t="shared" si="38"/>
        <v>1.5226650501843486</v>
      </c>
      <c r="AI65" s="40">
        <f t="shared" si="21"/>
        <v>1.8286249135657884</v>
      </c>
      <c r="AJ65" s="39">
        <f t="shared" si="22"/>
        <v>2.1911111111111112</v>
      </c>
      <c r="AK65" s="37">
        <f t="shared" si="39"/>
        <v>4.5516116075642019</v>
      </c>
      <c r="AL65" s="37">
        <f t="shared" si="40"/>
        <v>0.94655999999999985</v>
      </c>
      <c r="AM65" s="37">
        <f t="shared" si="41"/>
        <v>9.4760000000000011E-2</v>
      </c>
      <c r="AN65" s="40">
        <f t="shared" si="23"/>
        <v>1.0413199999999998</v>
      </c>
      <c r="AO65" s="39">
        <f t="shared" si="42"/>
        <v>0.19953904133572159</v>
      </c>
      <c r="AP65" s="37">
        <f t="shared" si="43"/>
        <v>0.15292125000000001</v>
      </c>
      <c r="AQ65" s="40">
        <f t="shared" si="44"/>
        <v>1.7099999999999999E-3</v>
      </c>
      <c r="AR65" s="39">
        <f t="shared" si="24"/>
        <v>3.6602661149249451</v>
      </c>
      <c r="AS65" s="37">
        <f t="shared" si="25"/>
        <v>31.551999999999996</v>
      </c>
      <c r="AT65" s="40">
        <f t="shared" si="26"/>
        <v>89.605139007587127</v>
      </c>
    </row>
    <row r="66" spans="17:46" x14ac:dyDescent="0.25">
      <c r="Q66">
        <v>59</v>
      </c>
      <c r="R66" s="39">
        <f t="shared" si="0"/>
        <v>16</v>
      </c>
      <c r="S66" s="37">
        <f t="shared" si="30"/>
        <v>2.0059999999999998</v>
      </c>
      <c r="T66" s="37">
        <f t="shared" si="2"/>
        <v>3.8</v>
      </c>
      <c r="U66" s="40">
        <f t="shared" si="31"/>
        <v>9.3847953216374265</v>
      </c>
      <c r="V66" s="39">
        <f t="shared" si="32"/>
        <v>2</v>
      </c>
      <c r="W66" s="37">
        <f t="shared" si="33"/>
        <v>0.76249999999999996</v>
      </c>
      <c r="X66" s="40">
        <f t="shared" si="34"/>
        <v>0.23750000000000004</v>
      </c>
      <c r="Y66" s="39">
        <f t="shared" si="35"/>
        <v>5.0391304347826082</v>
      </c>
      <c r="Z66" s="37">
        <f t="shared" si="28"/>
        <v>11.90436053902873</v>
      </c>
      <c r="AA66" s="37">
        <f t="shared" si="29"/>
        <v>9.4968654227201252</v>
      </c>
      <c r="AB66" s="37">
        <v>0</v>
      </c>
      <c r="AC66" s="37">
        <f t="shared" si="36"/>
        <v>0.45095226428628549</v>
      </c>
      <c r="AD66" s="40">
        <f t="shared" si="19"/>
        <v>0.45095226428628549</v>
      </c>
      <c r="AE66" s="39">
        <f t="shared" si="27"/>
        <v>7.1559064327485373</v>
      </c>
      <c r="AF66" s="37">
        <f t="shared" si="20"/>
        <v>8.2927812164350811</v>
      </c>
      <c r="AG66" s="37">
        <f t="shared" si="37"/>
        <v>0.31634301339682913</v>
      </c>
      <c r="AH66" s="37">
        <f t="shared" si="38"/>
        <v>1.5489178958771821</v>
      </c>
      <c r="AI66" s="40">
        <f t="shared" si="21"/>
        <v>1.8652609092740113</v>
      </c>
      <c r="AJ66" s="39">
        <f t="shared" si="22"/>
        <v>2.2288888888888891</v>
      </c>
      <c r="AK66" s="37">
        <f t="shared" si="39"/>
        <v>4.6281997097790146</v>
      </c>
      <c r="AL66" s="37">
        <f t="shared" si="40"/>
        <v>0.96287999999999985</v>
      </c>
      <c r="AM66" s="37">
        <f t="shared" si="41"/>
        <v>9.4760000000000011E-2</v>
      </c>
      <c r="AN66" s="40">
        <f t="shared" si="23"/>
        <v>1.0576399999999999</v>
      </c>
      <c r="AO66" s="39">
        <f t="shared" si="42"/>
        <v>0.20631066091097552</v>
      </c>
      <c r="AP66" s="37">
        <f t="shared" si="43"/>
        <v>0.15292125000000001</v>
      </c>
      <c r="AQ66" s="40">
        <f t="shared" si="44"/>
        <v>1.7099999999999999E-3</v>
      </c>
      <c r="AR66" s="39">
        <f t="shared" si="24"/>
        <v>3.7347950844712723</v>
      </c>
      <c r="AS66" s="37">
        <f t="shared" si="25"/>
        <v>32.095999999999997</v>
      </c>
      <c r="AT66" s="40">
        <f t="shared" si="26"/>
        <v>89.576577701760513</v>
      </c>
    </row>
    <row r="67" spans="17:46" x14ac:dyDescent="0.25">
      <c r="Q67">
        <v>60</v>
      </c>
      <c r="R67" s="39">
        <f t="shared" si="0"/>
        <v>16</v>
      </c>
      <c r="S67" s="37">
        <f t="shared" si="30"/>
        <v>2.0399999999999996</v>
      </c>
      <c r="T67" s="37">
        <f t="shared" si="2"/>
        <v>3.8</v>
      </c>
      <c r="U67" s="40">
        <f t="shared" si="31"/>
        <v>9.5438596491228047</v>
      </c>
      <c r="V67" s="39">
        <f t="shared" si="32"/>
        <v>2</v>
      </c>
      <c r="W67" s="37">
        <f t="shared" si="33"/>
        <v>0.76249999999999996</v>
      </c>
      <c r="X67" s="40">
        <f t="shared" si="34"/>
        <v>0.23750000000000004</v>
      </c>
      <c r="Y67" s="39">
        <f t="shared" si="35"/>
        <v>5.0391304347826082</v>
      </c>
      <c r="Z67" s="37">
        <f t="shared" si="28"/>
        <v>12.063424866514108</v>
      </c>
      <c r="AA67" s="37">
        <f t="shared" si="29"/>
        <v>9.6540834174137853</v>
      </c>
      <c r="AB67" s="37">
        <v>0</v>
      </c>
      <c r="AC67" s="37">
        <f t="shared" si="36"/>
        <v>0.46600663315191915</v>
      </c>
      <c r="AD67" s="40">
        <f t="shared" si="19"/>
        <v>0.46600663315191915</v>
      </c>
      <c r="AE67" s="39">
        <f t="shared" si="27"/>
        <v>7.2771929824561381</v>
      </c>
      <c r="AF67" s="37">
        <f t="shared" si="20"/>
        <v>8.4300659283108601</v>
      </c>
      <c r="AG67" s="37">
        <f t="shared" si="37"/>
        <v>0.32690365315607117</v>
      </c>
      <c r="AH67" s="37">
        <f t="shared" si="38"/>
        <v>1.5751707415700156</v>
      </c>
      <c r="AI67" s="40">
        <f t="shared" si="21"/>
        <v>1.9020743947260867</v>
      </c>
      <c r="AJ67" s="39">
        <f t="shared" si="22"/>
        <v>2.2666666666666666</v>
      </c>
      <c r="AK67" s="37">
        <f t="shared" si="39"/>
        <v>4.7048182828581337</v>
      </c>
      <c r="AL67" s="37">
        <f t="shared" si="40"/>
        <v>0.97919999999999974</v>
      </c>
      <c r="AM67" s="37">
        <f t="shared" si="41"/>
        <v>9.4760000000000011E-2</v>
      </c>
      <c r="AN67" s="40">
        <f t="shared" si="23"/>
        <v>1.0739599999999998</v>
      </c>
      <c r="AO67" s="39">
        <f t="shared" si="42"/>
        <v>0.21319803466700293</v>
      </c>
      <c r="AP67" s="37">
        <f t="shared" si="43"/>
        <v>0.15292125000000001</v>
      </c>
      <c r="AQ67" s="40">
        <f t="shared" si="44"/>
        <v>1.7099999999999999E-3</v>
      </c>
      <c r="AR67" s="39">
        <f t="shared" si="24"/>
        <v>3.8098703125450086</v>
      </c>
      <c r="AS67" s="37">
        <f t="shared" si="25"/>
        <v>32.639999999999993</v>
      </c>
      <c r="AT67" s="40">
        <f t="shared" si="26"/>
        <v>89.54764370935564</v>
      </c>
    </row>
    <row r="68" spans="17:46" x14ac:dyDescent="0.25">
      <c r="Q68">
        <v>61</v>
      </c>
      <c r="R68" s="39">
        <f t="shared" si="0"/>
        <v>16</v>
      </c>
      <c r="S68" s="37">
        <f t="shared" si="30"/>
        <v>2.0739999999999998</v>
      </c>
      <c r="T68" s="37">
        <f t="shared" si="2"/>
        <v>3.8</v>
      </c>
      <c r="U68" s="40">
        <f t="shared" si="31"/>
        <v>9.7029239766081865</v>
      </c>
      <c r="V68" s="39">
        <f t="shared" si="32"/>
        <v>2</v>
      </c>
      <c r="W68" s="37">
        <f t="shared" si="33"/>
        <v>0.76249999999999996</v>
      </c>
      <c r="X68" s="40">
        <f t="shared" si="34"/>
        <v>0.23750000000000004</v>
      </c>
      <c r="Y68" s="39">
        <f t="shared" si="35"/>
        <v>5.0391304347826082</v>
      </c>
      <c r="Z68" s="37">
        <f t="shared" si="28"/>
        <v>12.22248919399949</v>
      </c>
      <c r="AA68" s="37">
        <f t="shared" si="29"/>
        <v>9.8113609312912029</v>
      </c>
      <c r="AB68" s="37">
        <v>0</v>
      </c>
      <c r="AC68" s="37">
        <f t="shared" si="36"/>
        <v>0.4813140166203369</v>
      </c>
      <c r="AD68" s="40">
        <f t="shared" si="19"/>
        <v>0.4813140166203369</v>
      </c>
      <c r="AE68" s="39">
        <f t="shared" si="27"/>
        <v>7.3984795321637415</v>
      </c>
      <c r="AF68" s="37">
        <f t="shared" si="20"/>
        <v>8.567402613079496</v>
      </c>
      <c r="AG68" s="37">
        <f t="shared" si="37"/>
        <v>0.33764178265916633</v>
      </c>
      <c r="AH68" s="37">
        <f t="shared" si="38"/>
        <v>1.6014235872628493</v>
      </c>
      <c r="AI68" s="40">
        <f t="shared" si="21"/>
        <v>1.9390653699220155</v>
      </c>
      <c r="AJ68" s="39">
        <f t="shared" si="22"/>
        <v>2.3044444444444445</v>
      </c>
      <c r="AK68" s="37">
        <f t="shared" si="39"/>
        <v>4.7814658619994352</v>
      </c>
      <c r="AL68" s="37">
        <f t="shared" si="40"/>
        <v>0.99551999999999985</v>
      </c>
      <c r="AM68" s="37">
        <f t="shared" si="41"/>
        <v>9.4760000000000011E-2</v>
      </c>
      <c r="AN68" s="40">
        <f t="shared" si="23"/>
        <v>1.0902799999999999</v>
      </c>
      <c r="AO68" s="39">
        <f t="shared" si="42"/>
        <v>0.22020116260380415</v>
      </c>
      <c r="AP68" s="37">
        <f t="shared" si="43"/>
        <v>0.15292125000000001</v>
      </c>
      <c r="AQ68" s="40">
        <f t="shared" si="44"/>
        <v>1.7099999999999999E-3</v>
      </c>
      <c r="AR68" s="39">
        <f t="shared" si="24"/>
        <v>3.8854917991461564</v>
      </c>
      <c r="AS68" s="37">
        <f t="shared" si="25"/>
        <v>33.183999999999997</v>
      </c>
      <c r="AT68" s="40">
        <f t="shared" si="26"/>
        <v>89.518356981533657</v>
      </c>
    </row>
    <row r="69" spans="17:46" x14ac:dyDescent="0.25">
      <c r="Q69">
        <v>62</v>
      </c>
      <c r="R69" s="39">
        <f t="shared" si="0"/>
        <v>16</v>
      </c>
      <c r="S69" s="37">
        <f t="shared" si="30"/>
        <v>2.1079999999999997</v>
      </c>
      <c r="T69" s="37">
        <f t="shared" si="2"/>
        <v>3.8</v>
      </c>
      <c r="U69" s="40">
        <f t="shared" si="31"/>
        <v>9.8619883040935665</v>
      </c>
      <c r="V69" s="39">
        <f t="shared" si="32"/>
        <v>2</v>
      </c>
      <c r="W69" s="37">
        <f t="shared" si="33"/>
        <v>0.76249999999999996</v>
      </c>
      <c r="X69" s="40">
        <f t="shared" si="34"/>
        <v>0.23750000000000004</v>
      </c>
      <c r="Y69" s="39">
        <f t="shared" si="35"/>
        <v>5.0391304347826082</v>
      </c>
      <c r="Z69" s="37">
        <f t="shared" si="28"/>
        <v>12.381553521484872</v>
      </c>
      <c r="AA69" s="37">
        <f t="shared" si="29"/>
        <v>9.96869514722502</v>
      </c>
      <c r="AB69" s="37">
        <v>0</v>
      </c>
      <c r="AC69" s="37">
        <f t="shared" si="36"/>
        <v>0.49687441469153831</v>
      </c>
      <c r="AD69" s="40">
        <f t="shared" si="19"/>
        <v>0.49687441469153831</v>
      </c>
      <c r="AE69" s="39">
        <f t="shared" si="27"/>
        <v>7.5197660818713441</v>
      </c>
      <c r="AF69" s="37">
        <f t="shared" si="20"/>
        <v>8.7047888107902764</v>
      </c>
      <c r="AG69" s="37">
        <f t="shared" si="37"/>
        <v>0.34855740190611412</v>
      </c>
      <c r="AH69" s="37">
        <f t="shared" si="38"/>
        <v>1.627676432955683</v>
      </c>
      <c r="AI69" s="40">
        <f t="shared" si="21"/>
        <v>1.9762338348617972</v>
      </c>
      <c r="AJ69" s="39">
        <f t="shared" si="22"/>
        <v>2.3422222222222224</v>
      </c>
      <c r="AK69" s="37">
        <f t="shared" si="39"/>
        <v>4.8581410743048696</v>
      </c>
      <c r="AL69" s="37">
        <f t="shared" si="40"/>
        <v>1.0118399999999999</v>
      </c>
      <c r="AM69" s="37">
        <f t="shared" si="41"/>
        <v>9.4760000000000011E-2</v>
      </c>
      <c r="AN69" s="40">
        <f t="shared" si="23"/>
        <v>1.1065999999999998</v>
      </c>
      <c r="AO69" s="39">
        <f t="shared" si="42"/>
        <v>0.22732004472137879</v>
      </c>
      <c r="AP69" s="37">
        <f t="shared" si="43"/>
        <v>0.15292125000000001</v>
      </c>
      <c r="AQ69" s="40">
        <f t="shared" si="44"/>
        <v>1.7099999999999999E-3</v>
      </c>
      <c r="AR69" s="39">
        <f t="shared" si="24"/>
        <v>3.9616595442747142</v>
      </c>
      <c r="AS69" s="37">
        <f t="shared" si="25"/>
        <v>33.727999999999994</v>
      </c>
      <c r="AT69" s="40">
        <f t="shared" si="26"/>
        <v>89.488736188712764</v>
      </c>
    </row>
    <row r="70" spans="17:46" x14ac:dyDescent="0.25">
      <c r="Q70">
        <v>63</v>
      </c>
      <c r="R70" s="39">
        <f t="shared" si="0"/>
        <v>16</v>
      </c>
      <c r="S70" s="37">
        <f t="shared" si="30"/>
        <v>2.1419999999999999</v>
      </c>
      <c r="T70" s="37">
        <f t="shared" si="2"/>
        <v>3.8</v>
      </c>
      <c r="U70" s="40">
        <f t="shared" si="31"/>
        <v>10.021052631578947</v>
      </c>
      <c r="V70" s="39">
        <f t="shared" si="32"/>
        <v>2</v>
      </c>
      <c r="W70" s="37">
        <f t="shared" si="33"/>
        <v>0.76249999999999996</v>
      </c>
      <c r="X70" s="40">
        <f t="shared" si="34"/>
        <v>0.23750000000000004</v>
      </c>
      <c r="Y70" s="39">
        <f t="shared" si="35"/>
        <v>5.0391304347826082</v>
      </c>
      <c r="Z70" s="37">
        <f t="shared" si="28"/>
        <v>12.54061784897025</v>
      </c>
      <c r="AA70" s="37">
        <f t="shared" si="29"/>
        <v>10.126083422187707</v>
      </c>
      <c r="AB70" s="37">
        <v>0</v>
      </c>
      <c r="AC70" s="37">
        <f t="shared" si="36"/>
        <v>0.51268782736552343</v>
      </c>
      <c r="AD70" s="40">
        <f t="shared" si="19"/>
        <v>0.51268782736552343</v>
      </c>
      <c r="AE70" s="39">
        <f t="shared" si="27"/>
        <v>7.6410526315789467</v>
      </c>
      <c r="AF70" s="37">
        <f t="shared" si="20"/>
        <v>8.8422222135186299</v>
      </c>
      <c r="AG70" s="37">
        <f t="shared" si="37"/>
        <v>0.35965051089691458</v>
      </c>
      <c r="AH70" s="37">
        <f t="shared" si="38"/>
        <v>1.6539292786485165</v>
      </c>
      <c r="AI70" s="40">
        <f t="shared" si="21"/>
        <v>2.0135797895454308</v>
      </c>
      <c r="AJ70" s="39">
        <f t="shared" si="22"/>
        <v>2.3800000000000003</v>
      </c>
      <c r="AK70" s="37">
        <f t="shared" si="39"/>
        <v>4.9348426317221463</v>
      </c>
      <c r="AL70" s="37">
        <f t="shared" si="40"/>
        <v>1.02816</v>
      </c>
      <c r="AM70" s="37">
        <f t="shared" si="41"/>
        <v>9.4760000000000011E-2</v>
      </c>
      <c r="AN70" s="40">
        <f t="shared" si="23"/>
        <v>1.1229199999999999</v>
      </c>
      <c r="AO70" s="39">
        <f t="shared" si="42"/>
        <v>0.2345546810197269</v>
      </c>
      <c r="AP70" s="37">
        <f t="shared" si="43"/>
        <v>0.15292125000000001</v>
      </c>
      <c r="AQ70" s="40">
        <f t="shared" si="44"/>
        <v>1.7099999999999999E-3</v>
      </c>
      <c r="AR70" s="39">
        <f t="shared" si="24"/>
        <v>4.0383735479306813</v>
      </c>
      <c r="AS70" s="37">
        <f t="shared" si="25"/>
        <v>34.271999999999998</v>
      </c>
      <c r="AT70" s="40">
        <f t="shared" si="26"/>
        <v>89.458798821477913</v>
      </c>
    </row>
    <row r="71" spans="17:46" x14ac:dyDescent="0.25">
      <c r="Q71">
        <v>64</v>
      </c>
      <c r="R71" s="39">
        <f t="shared" ref="R71:R134" si="45">VOUT</f>
        <v>16</v>
      </c>
      <c r="S71" s="37">
        <f t="shared" ref="S71:S102" si="46">Q71*$O$12</f>
        <v>2.1759999999999997</v>
      </c>
      <c r="T71" s="37">
        <f t="shared" ref="T71:T134" si="47">VIN_var</f>
        <v>3.8</v>
      </c>
      <c r="U71" s="40">
        <f t="shared" ref="U71:U102" si="48">(R71*S71)/(T71*EFF_est)</f>
        <v>10.180116959064327</v>
      </c>
      <c r="V71" s="39">
        <f t="shared" ref="V71:V102" si="49">IF((S71*R71/T71)&lt;((T71*(1-(T71/R71)))/(2*Lm*Fsw)),1,2)</f>
        <v>2</v>
      </c>
      <c r="W71" s="37">
        <f t="shared" ref="W71:W102" si="50">CHOOSE(V71,SQRT((2*S71*Lm*Fsw*(R71-T71))/((T71)^2)),1-(T71/R71))</f>
        <v>0.76249999999999996</v>
      </c>
      <c r="X71" s="40">
        <f t="shared" ref="X71:X102" si="51">CHOOSE(V71,(Lm*W71*Fsw)/(R71-T71),1-W71)</f>
        <v>0.23750000000000004</v>
      </c>
      <c r="Y71" s="39">
        <f t="shared" ref="Y71:Y102" si="52">(T71*W71)/(Lm*Fsw)</f>
        <v>5.0391304347826082</v>
      </c>
      <c r="Z71" s="37">
        <f t="shared" si="28"/>
        <v>12.699682176455632</v>
      </c>
      <c r="AA71" s="37">
        <f t="shared" si="29"/>
        <v>10.28352327407579</v>
      </c>
      <c r="AB71" s="37">
        <v>0</v>
      </c>
      <c r="AC71" s="37">
        <f t="shared" ref="AC71:AC102" si="53">(AA71^2)*Rdcr</f>
        <v>0.52875425464229231</v>
      </c>
      <c r="AD71" s="40">
        <f t="shared" si="19"/>
        <v>0.52875425464229231</v>
      </c>
      <c r="AE71" s="39">
        <f t="shared" si="27"/>
        <v>7.7623391812865483</v>
      </c>
      <c r="AF71" s="37">
        <f t="shared" si="20"/>
        <v>8.9797006538608848</v>
      </c>
      <c r="AG71" s="37">
        <f t="shared" ref="AG71:AG102" si="54">(AF71^2)*RDS_on</f>
        <v>0.37092110963156816</v>
      </c>
      <c r="AH71" s="37">
        <f t="shared" ref="AH71:AH102" si="55">((R71*U71)/2)*Fsw*(tr_sw+tf_sw)</f>
        <v>1.6801821243413499</v>
      </c>
      <c r="AI71" s="40">
        <f t="shared" si="21"/>
        <v>2.0511032339729183</v>
      </c>
      <c r="AJ71" s="39">
        <f t="shared" si="22"/>
        <v>2.4177777777777778</v>
      </c>
      <c r="AK71" s="37">
        <f t="shared" ref="AK71:AK102" si="56">CHOOSE(V71,Z71*SQRT(X71/3),SQRT(X71*((Z71^2)+((Y71^2)/3)-(Y71*Z71))))</f>
        <v>5.0115693246236654</v>
      </c>
      <c r="AL71" s="37">
        <f t="shared" ref="AL71:AL102" si="57">S71*Vd_rect</f>
        <v>1.0444799999999999</v>
      </c>
      <c r="AM71" s="37">
        <f t="shared" ref="AM71:AM102" si="58">CHOOSE(V71,(R71+Vd_rect)*Qrr*Fsw,(R71+Vd_rect)*Qrr*Fsw)</f>
        <v>9.4760000000000011E-2</v>
      </c>
      <c r="AN71" s="40">
        <f t="shared" si="23"/>
        <v>1.1392399999999998</v>
      </c>
      <c r="AO71" s="39">
        <f t="shared" ref="AO71:AO102" si="59">(AF71^2)*R_cs</f>
        <v>0.24190507149884879</v>
      </c>
      <c r="AP71" s="37">
        <f t="shared" ref="AP71:AP102" si="60">Qg_tot*Vcc*Fsw</f>
        <v>0.15292125000000001</v>
      </c>
      <c r="AQ71" s="40">
        <f t="shared" ref="AQ71:AQ102" si="61">IQ*T71</f>
        <v>1.7099999999999999E-3</v>
      </c>
      <c r="AR71" s="39">
        <f t="shared" si="24"/>
        <v>4.1156338101140593</v>
      </c>
      <c r="AS71" s="37">
        <f t="shared" si="25"/>
        <v>34.815999999999995</v>
      </c>
      <c r="AT71" s="40">
        <f t="shared" si="26"/>
        <v>89.428561282098414</v>
      </c>
    </row>
    <row r="72" spans="17:46" x14ac:dyDescent="0.25">
      <c r="Q72">
        <v>65</v>
      </c>
      <c r="R72" s="39">
        <f t="shared" si="45"/>
        <v>16</v>
      </c>
      <c r="S72" s="37">
        <f t="shared" si="46"/>
        <v>2.2099999999999995</v>
      </c>
      <c r="T72" s="37">
        <f t="shared" si="47"/>
        <v>3.8</v>
      </c>
      <c r="U72" s="40">
        <f t="shared" si="48"/>
        <v>10.339181286549705</v>
      </c>
      <c r="V72" s="39">
        <f t="shared" si="49"/>
        <v>2</v>
      </c>
      <c r="W72" s="37">
        <f t="shared" si="50"/>
        <v>0.76249999999999996</v>
      </c>
      <c r="X72" s="40">
        <f t="shared" si="51"/>
        <v>0.23750000000000004</v>
      </c>
      <c r="Y72" s="39">
        <f t="shared" si="52"/>
        <v>5.0391304347826082</v>
      </c>
      <c r="Z72" s="37">
        <f t="shared" si="28"/>
        <v>12.85874650394101</v>
      </c>
      <c r="AA72" s="37">
        <f t="shared" si="29"/>
        <v>10.441012369706732</v>
      </c>
      <c r="AB72" s="37">
        <v>0</v>
      </c>
      <c r="AC72" s="37">
        <f t="shared" si="53"/>
        <v>0.5450736965218449</v>
      </c>
      <c r="AD72" s="40">
        <f t="shared" ref="AD72:AD135" si="62">AB72+AC72</f>
        <v>0.5450736965218449</v>
      </c>
      <c r="AE72" s="39">
        <f t="shared" si="27"/>
        <v>7.8836257309941491</v>
      </c>
      <c r="AF72" s="37">
        <f t="shared" ref="AF72:AF135" si="63">CHOOSE(V72,Z72*SQRT(W72/3),SQRT(W72*((Z72^2)+((Y72^2)/3)-(Z72*Y72))))</f>
        <v>9.1172220944529681</v>
      </c>
      <c r="AG72" s="37">
        <f t="shared" si="54"/>
        <v>0.3823691981100743</v>
      </c>
      <c r="AH72" s="37">
        <f t="shared" si="55"/>
        <v>1.7064349700341834</v>
      </c>
      <c r="AI72" s="40">
        <f t="shared" ref="AI72:AI135" si="64">AG72+AH72</f>
        <v>2.0888041681442577</v>
      </c>
      <c r="AJ72" s="39">
        <f t="shared" ref="AJ72:AJ135" si="65">X72*U72</f>
        <v>2.4555555555555553</v>
      </c>
      <c r="AK72" s="37">
        <f t="shared" si="56"/>
        <v>5.0883200159569011</v>
      </c>
      <c r="AL72" s="37">
        <f t="shared" si="57"/>
        <v>1.0607999999999997</v>
      </c>
      <c r="AM72" s="37">
        <f t="shared" si="58"/>
        <v>9.4760000000000011E-2</v>
      </c>
      <c r="AN72" s="40">
        <f t="shared" ref="AN72:AN135" si="66">AL72+AM72</f>
        <v>1.1555599999999997</v>
      </c>
      <c r="AO72" s="39">
        <f t="shared" si="59"/>
        <v>0.24937121615874411</v>
      </c>
      <c r="AP72" s="37">
        <f t="shared" si="60"/>
        <v>0.15292125000000001</v>
      </c>
      <c r="AQ72" s="40">
        <f t="shared" si="61"/>
        <v>1.7099999999999999E-3</v>
      </c>
      <c r="AR72" s="39">
        <f t="shared" ref="AR72:AR135" si="67">AO72+AN72+AI72+AD72+AP72+AQ72</f>
        <v>4.1934403308248465</v>
      </c>
      <c r="AS72" s="37">
        <f t="shared" ref="AS72:AS135" si="68">R72*S72</f>
        <v>35.359999999999992</v>
      </c>
      <c r="AT72" s="40">
        <f t="shared" ref="AT72:AT135" si="69">(AS72/(AS72+AR72))*100</f>
        <v>89.398038967657612</v>
      </c>
    </row>
    <row r="73" spans="17:46" x14ac:dyDescent="0.25">
      <c r="Q73">
        <v>66</v>
      </c>
      <c r="R73" s="39">
        <f t="shared" si="45"/>
        <v>16</v>
      </c>
      <c r="S73" s="37">
        <f t="shared" si="46"/>
        <v>2.2439999999999998</v>
      </c>
      <c r="T73" s="37">
        <f t="shared" si="47"/>
        <v>3.8</v>
      </c>
      <c r="U73" s="40">
        <f t="shared" si="48"/>
        <v>10.498245614035087</v>
      </c>
      <c r="V73" s="39">
        <f t="shared" si="49"/>
        <v>2</v>
      </c>
      <c r="W73" s="37">
        <f t="shared" si="50"/>
        <v>0.76249999999999996</v>
      </c>
      <c r="X73" s="40">
        <f t="shared" si="51"/>
        <v>0.23750000000000004</v>
      </c>
      <c r="Y73" s="39">
        <f t="shared" si="52"/>
        <v>5.0391304347826082</v>
      </c>
      <c r="Z73" s="37">
        <f t="shared" si="28"/>
        <v>13.017810831426392</v>
      </c>
      <c r="AA73" s="37">
        <f t="shared" si="29"/>
        <v>10.598548513869071</v>
      </c>
      <c r="AB73" s="37">
        <v>0</v>
      </c>
      <c r="AC73" s="37">
        <f t="shared" si="53"/>
        <v>0.56164615300418153</v>
      </c>
      <c r="AD73" s="40">
        <f t="shared" si="62"/>
        <v>0.56164615300418153</v>
      </c>
      <c r="AE73" s="39">
        <f t="shared" ref="AE73:AE136" si="70">U73*W73</f>
        <v>8.0049122807017525</v>
      </c>
      <c r="AF73" s="37">
        <f t="shared" si="63"/>
        <v>9.254784618408884</v>
      </c>
      <c r="AG73" s="37">
        <f t="shared" si="54"/>
        <v>0.39399477633243329</v>
      </c>
      <c r="AH73" s="37">
        <f t="shared" si="55"/>
        <v>1.7326878157270171</v>
      </c>
      <c r="AI73" s="40">
        <f t="shared" si="64"/>
        <v>2.1266825920594505</v>
      </c>
      <c r="AJ73" s="39">
        <f t="shared" si="65"/>
        <v>2.4933333333333336</v>
      </c>
      <c r="AK73" s="37">
        <f t="shared" si="56"/>
        <v>5.1650936359081268</v>
      </c>
      <c r="AL73" s="37">
        <f t="shared" si="57"/>
        <v>1.0771199999999999</v>
      </c>
      <c r="AM73" s="37">
        <f t="shared" si="58"/>
        <v>9.4760000000000011E-2</v>
      </c>
      <c r="AN73" s="40">
        <f t="shared" si="66"/>
        <v>1.1718799999999998</v>
      </c>
      <c r="AO73" s="39">
        <f t="shared" si="59"/>
        <v>0.25695311499941303</v>
      </c>
      <c r="AP73" s="37">
        <f t="shared" si="60"/>
        <v>0.15292125000000001</v>
      </c>
      <c r="AQ73" s="40">
        <f t="shared" si="61"/>
        <v>1.7099999999999999E-3</v>
      </c>
      <c r="AR73" s="39">
        <f t="shared" si="67"/>
        <v>4.2717931100630455</v>
      </c>
      <c r="AS73" s="37">
        <f t="shared" si="68"/>
        <v>35.903999999999996</v>
      </c>
      <c r="AT73" s="40">
        <f t="shared" si="69"/>
        <v>89.367246345678069</v>
      </c>
    </row>
    <row r="74" spans="17:46" x14ac:dyDescent="0.25">
      <c r="Q74">
        <v>67</v>
      </c>
      <c r="R74" s="39">
        <f t="shared" si="45"/>
        <v>16</v>
      </c>
      <c r="S74" s="37">
        <f t="shared" si="46"/>
        <v>2.2779999999999996</v>
      </c>
      <c r="T74" s="37">
        <f t="shared" si="47"/>
        <v>3.8</v>
      </c>
      <c r="U74" s="40">
        <f t="shared" si="48"/>
        <v>10.657309941520467</v>
      </c>
      <c r="V74" s="39">
        <f t="shared" si="49"/>
        <v>2</v>
      </c>
      <c r="W74" s="37">
        <f t="shared" si="50"/>
        <v>0.76249999999999996</v>
      </c>
      <c r="X74" s="40">
        <f t="shared" si="51"/>
        <v>0.23750000000000004</v>
      </c>
      <c r="Y74" s="39">
        <f t="shared" si="52"/>
        <v>5.0391304347826082</v>
      </c>
      <c r="Z74" s="37">
        <f t="shared" si="28"/>
        <v>13.17687515891177</v>
      </c>
      <c r="AA74" s="37">
        <f t="shared" si="29"/>
        <v>10.756129639320099</v>
      </c>
      <c r="AB74" s="37">
        <v>0</v>
      </c>
      <c r="AC74" s="37">
        <f t="shared" si="53"/>
        <v>0.57847162408930164</v>
      </c>
      <c r="AD74" s="40">
        <f t="shared" si="62"/>
        <v>0.57847162408930164</v>
      </c>
      <c r="AE74" s="39">
        <f t="shared" si="70"/>
        <v>8.126198830409356</v>
      </c>
      <c r="AF74" s="37">
        <f t="shared" si="63"/>
        <v>9.3923864205865417</v>
      </c>
      <c r="AG74" s="37">
        <f t="shared" si="54"/>
        <v>0.40579784429864496</v>
      </c>
      <c r="AH74" s="37">
        <f t="shared" si="55"/>
        <v>1.7589406614198511</v>
      </c>
      <c r="AI74" s="40">
        <f t="shared" si="64"/>
        <v>2.1647385057184962</v>
      </c>
      <c r="AJ74" s="39">
        <f t="shared" si="65"/>
        <v>2.5311111111111111</v>
      </c>
      <c r="AK74" s="37">
        <f t="shared" si="56"/>
        <v>5.2418891770278613</v>
      </c>
      <c r="AL74" s="37">
        <f t="shared" si="57"/>
        <v>1.0934399999999997</v>
      </c>
      <c r="AM74" s="37">
        <f t="shared" si="58"/>
        <v>9.4760000000000011E-2</v>
      </c>
      <c r="AN74" s="40">
        <f t="shared" si="66"/>
        <v>1.1881999999999997</v>
      </c>
      <c r="AO74" s="39">
        <f t="shared" si="59"/>
        <v>0.26465076802085541</v>
      </c>
      <c r="AP74" s="37">
        <f t="shared" si="60"/>
        <v>0.15292125000000001</v>
      </c>
      <c r="AQ74" s="40">
        <f t="shared" si="61"/>
        <v>1.7099999999999999E-3</v>
      </c>
      <c r="AR74" s="39">
        <f t="shared" si="67"/>
        <v>4.3506921478286538</v>
      </c>
      <c r="AS74" s="37">
        <f t="shared" si="68"/>
        <v>36.447999999999993</v>
      </c>
      <c r="AT74" s="40">
        <f t="shared" si="69"/>
        <v>89.336197023020986</v>
      </c>
    </row>
    <row r="75" spans="17:46" x14ac:dyDescent="0.25">
      <c r="Q75">
        <v>68</v>
      </c>
      <c r="R75" s="39">
        <f t="shared" si="45"/>
        <v>16</v>
      </c>
      <c r="S75" s="37">
        <f t="shared" si="46"/>
        <v>2.3119999999999998</v>
      </c>
      <c r="T75" s="37">
        <f t="shared" si="47"/>
        <v>3.8</v>
      </c>
      <c r="U75" s="40">
        <f t="shared" si="48"/>
        <v>10.816374269005847</v>
      </c>
      <c r="V75" s="39">
        <f t="shared" si="49"/>
        <v>2</v>
      </c>
      <c r="W75" s="37">
        <f t="shared" si="50"/>
        <v>0.76249999999999996</v>
      </c>
      <c r="X75" s="40">
        <f t="shared" si="51"/>
        <v>0.23750000000000004</v>
      </c>
      <c r="Y75" s="39">
        <f t="shared" si="52"/>
        <v>5.0391304347826082</v>
      </c>
      <c r="Z75" s="37">
        <f t="shared" si="28"/>
        <v>13.335939486397152</v>
      </c>
      <c r="AA75" s="37">
        <f t="shared" si="29"/>
        <v>10.913753797637233</v>
      </c>
      <c r="AB75" s="37">
        <v>0</v>
      </c>
      <c r="AC75" s="37">
        <f t="shared" si="53"/>
        <v>0.59555010977720557</v>
      </c>
      <c r="AD75" s="40">
        <f t="shared" si="62"/>
        <v>0.59555010977720557</v>
      </c>
      <c r="AE75" s="39">
        <f t="shared" si="70"/>
        <v>8.2474853801169576</v>
      </c>
      <c r="AF75" s="37">
        <f t="shared" si="63"/>
        <v>9.530025799599068</v>
      </c>
      <c r="AG75" s="37">
        <f t="shared" si="54"/>
        <v>0.41777840200870975</v>
      </c>
      <c r="AH75" s="37">
        <f t="shared" si="55"/>
        <v>1.7851935071126845</v>
      </c>
      <c r="AI75" s="40">
        <f t="shared" si="64"/>
        <v>2.2029719091213944</v>
      </c>
      <c r="AJ75" s="39">
        <f t="shared" si="65"/>
        <v>2.568888888888889</v>
      </c>
      <c r="AK75" s="37">
        <f t="shared" si="56"/>
        <v>5.3187056897723979</v>
      </c>
      <c r="AL75" s="37">
        <f t="shared" si="57"/>
        <v>1.1097599999999999</v>
      </c>
      <c r="AM75" s="37">
        <f t="shared" si="58"/>
        <v>9.4760000000000011E-2</v>
      </c>
      <c r="AN75" s="40">
        <f t="shared" si="66"/>
        <v>1.2045199999999998</v>
      </c>
      <c r="AO75" s="39">
        <f t="shared" si="59"/>
        <v>0.27246417522307159</v>
      </c>
      <c r="AP75" s="37">
        <f t="shared" si="60"/>
        <v>0.15292125000000001</v>
      </c>
      <c r="AQ75" s="40">
        <f t="shared" si="61"/>
        <v>1.7099999999999999E-3</v>
      </c>
      <c r="AR75" s="39">
        <f t="shared" si="67"/>
        <v>4.4301374441216721</v>
      </c>
      <c r="AS75" s="37">
        <f t="shared" si="68"/>
        <v>36.991999999999997</v>
      </c>
      <c r="AT75" s="40">
        <f t="shared" si="69"/>
        <v>89.304903808747412</v>
      </c>
    </row>
    <row r="76" spans="17:46" x14ac:dyDescent="0.25">
      <c r="Q76">
        <v>69</v>
      </c>
      <c r="R76" s="39">
        <f t="shared" si="45"/>
        <v>16</v>
      </c>
      <c r="S76" s="37">
        <f t="shared" si="46"/>
        <v>2.3459999999999996</v>
      </c>
      <c r="T76" s="37">
        <f t="shared" si="47"/>
        <v>3.8</v>
      </c>
      <c r="U76" s="40">
        <f t="shared" si="48"/>
        <v>10.975438596491227</v>
      </c>
      <c r="V76" s="39">
        <f t="shared" si="49"/>
        <v>2</v>
      </c>
      <c r="W76" s="37">
        <f t="shared" si="50"/>
        <v>0.76249999999999996</v>
      </c>
      <c r="X76" s="40">
        <f t="shared" si="51"/>
        <v>0.23750000000000004</v>
      </c>
      <c r="Y76" s="39">
        <f t="shared" si="52"/>
        <v>5.0391304347826082</v>
      </c>
      <c r="Z76" s="37">
        <f t="shared" si="28"/>
        <v>13.49500381388253</v>
      </c>
      <c r="AA76" s="37">
        <f t="shared" si="29"/>
        <v>11.071419150839636</v>
      </c>
      <c r="AB76" s="37">
        <v>0</v>
      </c>
      <c r="AC76" s="37">
        <f t="shared" si="53"/>
        <v>0.61288161006789332</v>
      </c>
      <c r="AD76" s="40">
        <f t="shared" si="62"/>
        <v>0.61288161006789332</v>
      </c>
      <c r="AE76" s="39">
        <f t="shared" si="70"/>
        <v>8.3687719298245593</v>
      </c>
      <c r="AF76" s="37">
        <f t="shared" si="63"/>
        <v>9.6677011504986918</v>
      </c>
      <c r="AG76" s="37">
        <f t="shared" si="54"/>
        <v>0.42993644946262716</v>
      </c>
      <c r="AH76" s="37">
        <f t="shared" si="55"/>
        <v>1.8114463528055182</v>
      </c>
      <c r="AI76" s="40">
        <f t="shared" si="64"/>
        <v>2.2413828022681455</v>
      </c>
      <c r="AJ76" s="39">
        <f t="shared" si="65"/>
        <v>2.6066666666666669</v>
      </c>
      <c r="AK76" s="37">
        <f t="shared" si="56"/>
        <v>5.3955422784206721</v>
      </c>
      <c r="AL76" s="37">
        <f t="shared" si="57"/>
        <v>1.1260799999999997</v>
      </c>
      <c r="AM76" s="37">
        <f t="shared" si="58"/>
        <v>9.4760000000000011E-2</v>
      </c>
      <c r="AN76" s="40">
        <f t="shared" si="66"/>
        <v>1.2208399999999997</v>
      </c>
      <c r="AO76" s="39">
        <f t="shared" si="59"/>
        <v>0.28039333660606119</v>
      </c>
      <c r="AP76" s="37">
        <f t="shared" si="60"/>
        <v>0.15292125000000001</v>
      </c>
      <c r="AQ76" s="40">
        <f t="shared" si="61"/>
        <v>1.7099999999999999E-3</v>
      </c>
      <c r="AR76" s="39">
        <f t="shared" si="67"/>
        <v>4.5101289989420996</v>
      </c>
      <c r="AS76" s="37">
        <f t="shared" si="68"/>
        <v>37.535999999999994</v>
      </c>
      <c r="AT76" s="40">
        <f t="shared" si="69"/>
        <v>89.273378771549744</v>
      </c>
    </row>
    <row r="77" spans="17:46" x14ac:dyDescent="0.25">
      <c r="Q77">
        <v>70</v>
      </c>
      <c r="R77" s="39">
        <f t="shared" si="45"/>
        <v>16</v>
      </c>
      <c r="S77" s="37">
        <f t="shared" si="46"/>
        <v>2.38</v>
      </c>
      <c r="T77" s="37">
        <f t="shared" si="47"/>
        <v>3.8</v>
      </c>
      <c r="U77" s="40">
        <f t="shared" si="48"/>
        <v>11.134502923976608</v>
      </c>
      <c r="V77" s="39">
        <f t="shared" si="49"/>
        <v>2</v>
      </c>
      <c r="W77" s="37">
        <f t="shared" si="50"/>
        <v>0.76249999999999996</v>
      </c>
      <c r="X77" s="40">
        <f t="shared" si="51"/>
        <v>0.23750000000000004</v>
      </c>
      <c r="Y77" s="39">
        <f t="shared" si="52"/>
        <v>5.0391304347826082</v>
      </c>
      <c r="Z77" s="37">
        <f t="shared" si="28"/>
        <v>13.654068141367912</v>
      </c>
      <c r="AA77" s="37">
        <f t="shared" si="29"/>
        <v>11.229123963705851</v>
      </c>
      <c r="AB77" s="37">
        <v>0</v>
      </c>
      <c r="AC77" s="37">
        <f t="shared" si="53"/>
        <v>0.630466124961365</v>
      </c>
      <c r="AD77" s="40">
        <f t="shared" si="62"/>
        <v>0.630466124961365</v>
      </c>
      <c r="AE77" s="39">
        <f t="shared" si="70"/>
        <v>8.4900584795321627</v>
      </c>
      <c r="AF77" s="37">
        <f t="shared" si="63"/>
        <v>9.8054109580684141</v>
      </c>
      <c r="AG77" s="37">
        <f t="shared" si="54"/>
        <v>0.44227198666039741</v>
      </c>
      <c r="AH77" s="37">
        <f t="shared" si="55"/>
        <v>1.8376991984983519</v>
      </c>
      <c r="AI77" s="40">
        <f t="shared" si="64"/>
        <v>2.2799711851587494</v>
      </c>
      <c r="AJ77" s="39">
        <f t="shared" si="65"/>
        <v>2.6444444444444448</v>
      </c>
      <c r="AK77" s="37">
        <f t="shared" si="56"/>
        <v>5.4723980973303501</v>
      </c>
      <c r="AL77" s="37">
        <f t="shared" si="57"/>
        <v>1.1423999999999999</v>
      </c>
      <c r="AM77" s="37">
        <f t="shared" si="58"/>
        <v>9.4760000000000011E-2</v>
      </c>
      <c r="AN77" s="40">
        <f t="shared" si="66"/>
        <v>1.2371599999999998</v>
      </c>
      <c r="AO77" s="39">
        <f t="shared" si="59"/>
        <v>0.28843825216982438</v>
      </c>
      <c r="AP77" s="37">
        <f t="shared" si="60"/>
        <v>0.15292125000000001</v>
      </c>
      <c r="AQ77" s="40">
        <f t="shared" si="61"/>
        <v>1.7099999999999999E-3</v>
      </c>
      <c r="AR77" s="39">
        <f t="shared" si="67"/>
        <v>4.590666812289939</v>
      </c>
      <c r="AS77" s="37">
        <f t="shared" si="68"/>
        <v>38.08</v>
      </c>
      <c r="AT77" s="40">
        <f t="shared" si="69"/>
        <v>89.241633292293102</v>
      </c>
    </row>
    <row r="78" spans="17:46" x14ac:dyDescent="0.25">
      <c r="Q78">
        <v>71</v>
      </c>
      <c r="R78" s="39">
        <f t="shared" si="45"/>
        <v>16</v>
      </c>
      <c r="S78" s="37">
        <f t="shared" si="46"/>
        <v>2.4139999999999997</v>
      </c>
      <c r="T78" s="37">
        <f t="shared" si="47"/>
        <v>3.8</v>
      </c>
      <c r="U78" s="40">
        <f t="shared" si="48"/>
        <v>11.293567251461987</v>
      </c>
      <c r="V78" s="39">
        <f t="shared" si="49"/>
        <v>2</v>
      </c>
      <c r="W78" s="37">
        <f t="shared" si="50"/>
        <v>0.76249999999999996</v>
      </c>
      <c r="X78" s="40">
        <f t="shared" si="51"/>
        <v>0.23750000000000004</v>
      </c>
      <c r="Y78" s="39">
        <f t="shared" si="52"/>
        <v>5.0391304347826082</v>
      </c>
      <c r="Z78" s="37">
        <f t="shared" si="28"/>
        <v>13.81313246885329</v>
      </c>
      <c r="AA78" s="37">
        <f t="shared" si="29"/>
        <v>11.386866596721156</v>
      </c>
      <c r="AB78" s="37">
        <v>0</v>
      </c>
      <c r="AC78" s="37">
        <f t="shared" si="53"/>
        <v>0.64830365445762017</v>
      </c>
      <c r="AD78" s="40">
        <f t="shared" si="62"/>
        <v>0.64830365445762017</v>
      </c>
      <c r="AE78" s="39">
        <f t="shared" si="70"/>
        <v>8.6113450292397644</v>
      </c>
      <c r="AF78" s="37">
        <f t="shared" si="63"/>
        <v>9.9431537906635565</v>
      </c>
      <c r="AG78" s="37">
        <f t="shared" si="54"/>
        <v>0.45478501360202045</v>
      </c>
      <c r="AH78" s="37">
        <f t="shared" si="55"/>
        <v>1.8639520441911852</v>
      </c>
      <c r="AI78" s="40">
        <f t="shared" si="64"/>
        <v>2.3187370577932058</v>
      </c>
      <c r="AJ78" s="39">
        <f t="shared" si="65"/>
        <v>2.6822222222222223</v>
      </c>
      <c r="AK78" s="37">
        <f t="shared" si="56"/>
        <v>5.5492723475007919</v>
      </c>
      <c r="AL78" s="37">
        <f t="shared" si="57"/>
        <v>1.1587199999999998</v>
      </c>
      <c r="AM78" s="37">
        <f t="shared" si="58"/>
        <v>9.4760000000000011E-2</v>
      </c>
      <c r="AN78" s="40">
        <f t="shared" si="66"/>
        <v>1.2534799999999997</v>
      </c>
      <c r="AO78" s="39">
        <f t="shared" si="59"/>
        <v>0.29659892191436116</v>
      </c>
      <c r="AP78" s="37">
        <f t="shared" si="60"/>
        <v>0.15292125000000001</v>
      </c>
      <c r="AQ78" s="40">
        <f t="shared" si="61"/>
        <v>1.7099999999999999E-3</v>
      </c>
      <c r="AR78" s="39">
        <f t="shared" si="67"/>
        <v>4.6717508841651876</v>
      </c>
      <c r="AS78" s="37">
        <f t="shared" si="68"/>
        <v>38.623999999999995</v>
      </c>
      <c r="AT78" s="40">
        <f t="shared" si="69"/>
        <v>89.209678112145156</v>
      </c>
    </row>
    <row r="79" spans="17:46" x14ac:dyDescent="0.25">
      <c r="Q79">
        <v>72</v>
      </c>
      <c r="R79" s="39">
        <f t="shared" si="45"/>
        <v>16</v>
      </c>
      <c r="S79" s="37">
        <f t="shared" si="46"/>
        <v>2.4479999999999995</v>
      </c>
      <c r="T79" s="37">
        <f t="shared" si="47"/>
        <v>3.8</v>
      </c>
      <c r="U79" s="40">
        <f t="shared" si="48"/>
        <v>11.452631578947367</v>
      </c>
      <c r="V79" s="39">
        <f t="shared" si="49"/>
        <v>2</v>
      </c>
      <c r="W79" s="37">
        <f t="shared" si="50"/>
        <v>0.76249999999999996</v>
      </c>
      <c r="X79" s="40">
        <f t="shared" si="51"/>
        <v>0.23750000000000004</v>
      </c>
      <c r="Y79" s="39">
        <f t="shared" si="52"/>
        <v>5.0391304347826082</v>
      </c>
      <c r="Z79" s="37">
        <f t="shared" si="28"/>
        <v>13.972196796338672</v>
      </c>
      <c r="AA79" s="37">
        <f t="shared" si="29"/>
        <v>11.544645499595552</v>
      </c>
      <c r="AB79" s="37">
        <v>0</v>
      </c>
      <c r="AC79" s="37">
        <f t="shared" si="53"/>
        <v>0.66639419855665905</v>
      </c>
      <c r="AD79" s="40">
        <f t="shared" si="62"/>
        <v>0.66639419855665905</v>
      </c>
      <c r="AE79" s="39">
        <f t="shared" si="70"/>
        <v>8.7326315789473661</v>
      </c>
      <c r="AF79" s="37">
        <f t="shared" si="63"/>
        <v>10.080928294551574</v>
      </c>
      <c r="AG79" s="37">
        <f t="shared" si="54"/>
        <v>0.46747553028749633</v>
      </c>
      <c r="AH79" s="37">
        <f t="shared" si="55"/>
        <v>1.8902048898840189</v>
      </c>
      <c r="AI79" s="40">
        <f t="shared" si="64"/>
        <v>2.3576804201715151</v>
      </c>
      <c r="AJ79" s="39">
        <f t="shared" si="65"/>
        <v>2.72</v>
      </c>
      <c r="AK79" s="37">
        <f t="shared" si="56"/>
        <v>5.6261642734141102</v>
      </c>
      <c r="AL79" s="37">
        <f t="shared" si="57"/>
        <v>1.1750399999999996</v>
      </c>
      <c r="AM79" s="37">
        <f t="shared" si="58"/>
        <v>9.4760000000000011E-2</v>
      </c>
      <c r="AN79" s="40">
        <f t="shared" si="66"/>
        <v>1.2697999999999996</v>
      </c>
      <c r="AO79" s="39">
        <f t="shared" si="59"/>
        <v>0.30487534583967152</v>
      </c>
      <c r="AP79" s="37">
        <f t="shared" si="60"/>
        <v>0.15292125000000001</v>
      </c>
      <c r="AQ79" s="40">
        <f t="shared" si="61"/>
        <v>1.7099999999999999E-3</v>
      </c>
      <c r="AR79" s="39">
        <f t="shared" si="67"/>
        <v>4.7533812145678462</v>
      </c>
      <c r="AS79" s="37">
        <f t="shared" si="68"/>
        <v>39.167999999999992</v>
      </c>
      <c r="AT79" s="40">
        <f t="shared" si="69"/>
        <v>89.177523376721027</v>
      </c>
    </row>
    <row r="80" spans="17:46" x14ac:dyDescent="0.25">
      <c r="Q80">
        <v>73</v>
      </c>
      <c r="R80" s="39">
        <f t="shared" si="45"/>
        <v>16</v>
      </c>
      <c r="S80" s="37">
        <f t="shared" si="46"/>
        <v>2.4819999999999998</v>
      </c>
      <c r="T80" s="37">
        <f t="shared" si="47"/>
        <v>3.8</v>
      </c>
      <c r="U80" s="40">
        <f t="shared" si="48"/>
        <v>11.611695906432749</v>
      </c>
      <c r="V80" s="39">
        <f t="shared" si="49"/>
        <v>2</v>
      </c>
      <c r="W80" s="37">
        <f t="shared" si="50"/>
        <v>0.76249999999999996</v>
      </c>
      <c r="X80" s="40">
        <f t="shared" si="51"/>
        <v>0.23750000000000004</v>
      </c>
      <c r="Y80" s="39">
        <f t="shared" si="52"/>
        <v>5.0391304347826082</v>
      </c>
      <c r="Z80" s="37">
        <f t="shared" ref="Z80:Z143" si="71">CHOOSE(V80,Y80,U80+(0.5*Y80))</f>
        <v>14.131261123824054</v>
      </c>
      <c r="AA80" s="37">
        <f t="shared" ref="AA80:AA143" si="72">CHOOSE(V80,Z80*SQRT((W80+X80)/3),SQRT((U80^2)+((Y80^2)/12)))</f>
        <v>11.702459205299389</v>
      </c>
      <c r="AB80" s="37">
        <v>0</v>
      </c>
      <c r="AC80" s="37">
        <f t="shared" si="53"/>
        <v>0.68473775725848196</v>
      </c>
      <c r="AD80" s="40">
        <f t="shared" si="62"/>
        <v>0.68473775725848196</v>
      </c>
      <c r="AE80" s="39">
        <f t="shared" si="70"/>
        <v>8.8539181286549695</v>
      </c>
      <c r="AF80" s="37">
        <f t="shared" si="63"/>
        <v>10.218733188703897</v>
      </c>
      <c r="AG80" s="37">
        <f t="shared" si="54"/>
        <v>0.48034353671682517</v>
      </c>
      <c r="AH80" s="37">
        <f t="shared" si="55"/>
        <v>1.9164577355768528</v>
      </c>
      <c r="AI80" s="40">
        <f t="shared" si="64"/>
        <v>2.3968012722936782</v>
      </c>
      <c r="AJ80" s="39">
        <f t="shared" si="65"/>
        <v>2.7577777777777781</v>
      </c>
      <c r="AK80" s="37">
        <f t="shared" si="56"/>
        <v>5.7030731601284854</v>
      </c>
      <c r="AL80" s="37">
        <f t="shared" si="57"/>
        <v>1.1913599999999998</v>
      </c>
      <c r="AM80" s="37">
        <f t="shared" si="58"/>
        <v>9.4760000000000011E-2</v>
      </c>
      <c r="AN80" s="40">
        <f t="shared" si="66"/>
        <v>1.2861199999999997</v>
      </c>
      <c r="AO80" s="39">
        <f t="shared" si="59"/>
        <v>0.31326752394575552</v>
      </c>
      <c r="AP80" s="37">
        <f t="shared" si="60"/>
        <v>0.15292125000000001</v>
      </c>
      <c r="AQ80" s="40">
        <f t="shared" si="61"/>
        <v>1.7099999999999999E-3</v>
      </c>
      <c r="AR80" s="39">
        <f t="shared" si="67"/>
        <v>4.8355578034979159</v>
      </c>
      <c r="AS80" s="37">
        <f t="shared" si="68"/>
        <v>39.711999999999996</v>
      </c>
      <c r="AT80" s="40">
        <f t="shared" si="69"/>
        <v>89.14517867662272</v>
      </c>
    </row>
    <row r="81" spans="17:46" x14ac:dyDescent="0.25">
      <c r="Q81">
        <v>74</v>
      </c>
      <c r="R81" s="39">
        <f t="shared" si="45"/>
        <v>16</v>
      </c>
      <c r="S81" s="37">
        <f t="shared" si="46"/>
        <v>2.5159999999999996</v>
      </c>
      <c r="T81" s="37">
        <f t="shared" si="47"/>
        <v>3.8</v>
      </c>
      <c r="U81" s="40">
        <f t="shared" si="48"/>
        <v>11.770760233918127</v>
      </c>
      <c r="V81" s="39">
        <f t="shared" si="49"/>
        <v>2</v>
      </c>
      <c r="W81" s="37">
        <f t="shared" si="50"/>
        <v>0.76249999999999996</v>
      </c>
      <c r="X81" s="40">
        <f t="shared" si="51"/>
        <v>0.23750000000000004</v>
      </c>
      <c r="Y81" s="39">
        <f t="shared" si="52"/>
        <v>5.0391304347826082</v>
      </c>
      <c r="Z81" s="37">
        <f t="shared" si="71"/>
        <v>14.290325451309432</v>
      </c>
      <c r="AA81" s="37">
        <f t="shared" si="72"/>
        <v>11.860306324569263</v>
      </c>
      <c r="AB81" s="37">
        <v>0</v>
      </c>
      <c r="AC81" s="37">
        <f t="shared" si="53"/>
        <v>0.70333433056308836</v>
      </c>
      <c r="AD81" s="40">
        <f t="shared" si="62"/>
        <v>0.70333433056308836</v>
      </c>
      <c r="AE81" s="39">
        <f t="shared" si="70"/>
        <v>8.9752046783625712</v>
      </c>
      <c r="AF81" s="37">
        <f t="shared" si="63"/>
        <v>10.35656725999841</v>
      </c>
      <c r="AG81" s="37">
        <f t="shared" si="54"/>
        <v>0.49338903289000652</v>
      </c>
      <c r="AH81" s="37">
        <f t="shared" si="55"/>
        <v>1.9427105812696861</v>
      </c>
      <c r="AI81" s="40">
        <f t="shared" si="64"/>
        <v>2.4360996141596925</v>
      </c>
      <c r="AJ81" s="39">
        <f t="shared" si="65"/>
        <v>2.7955555555555556</v>
      </c>
      <c r="AK81" s="37">
        <f t="shared" si="56"/>
        <v>5.7799983306006855</v>
      </c>
      <c r="AL81" s="37">
        <f t="shared" si="57"/>
        <v>1.2076799999999996</v>
      </c>
      <c r="AM81" s="37">
        <f t="shared" si="58"/>
        <v>9.4760000000000011E-2</v>
      </c>
      <c r="AN81" s="40">
        <f t="shared" si="66"/>
        <v>1.3024399999999996</v>
      </c>
      <c r="AO81" s="39">
        <f t="shared" si="59"/>
        <v>0.321775456232613</v>
      </c>
      <c r="AP81" s="37">
        <f t="shared" si="60"/>
        <v>0.15292125000000001</v>
      </c>
      <c r="AQ81" s="40">
        <f t="shared" si="61"/>
        <v>1.7099999999999999E-3</v>
      </c>
      <c r="AR81" s="39">
        <f t="shared" si="67"/>
        <v>4.9182806509553929</v>
      </c>
      <c r="AS81" s="37">
        <f t="shared" si="68"/>
        <v>40.255999999999993</v>
      </c>
      <c r="AT81" s="40">
        <f t="shared" si="69"/>
        <v>89.112653084711866</v>
      </c>
    </row>
    <row r="82" spans="17:46" x14ac:dyDescent="0.25">
      <c r="Q82">
        <v>75</v>
      </c>
      <c r="R82" s="39">
        <f t="shared" si="45"/>
        <v>16</v>
      </c>
      <c r="S82" s="37">
        <f t="shared" si="46"/>
        <v>2.5499999999999998</v>
      </c>
      <c r="T82" s="37">
        <f t="shared" si="47"/>
        <v>3.8</v>
      </c>
      <c r="U82" s="40">
        <f t="shared" si="48"/>
        <v>11.929824561403509</v>
      </c>
      <c r="V82" s="39">
        <f t="shared" si="49"/>
        <v>2</v>
      </c>
      <c r="W82" s="37">
        <f t="shared" si="50"/>
        <v>0.76249999999999996</v>
      </c>
      <c r="X82" s="40">
        <f t="shared" si="51"/>
        <v>0.23750000000000004</v>
      </c>
      <c r="Y82" s="39">
        <f t="shared" si="52"/>
        <v>5.0391304347826082</v>
      </c>
      <c r="Z82" s="37">
        <f t="shared" si="71"/>
        <v>14.449389778794814</v>
      </c>
      <c r="AA82" s="37">
        <f t="shared" si="72"/>
        <v>12.018185540841669</v>
      </c>
      <c r="AB82" s="37">
        <v>0</v>
      </c>
      <c r="AC82" s="37">
        <f t="shared" si="53"/>
        <v>0.7221839184704788</v>
      </c>
      <c r="AD82" s="40">
        <f t="shared" si="62"/>
        <v>0.7221839184704788</v>
      </c>
      <c r="AE82" s="39">
        <f t="shared" si="70"/>
        <v>9.0964912280701746</v>
      </c>
      <c r="AF82" s="37">
        <f t="shared" si="63"/>
        <v>10.494429358795458</v>
      </c>
      <c r="AG82" s="37">
        <f t="shared" si="54"/>
        <v>0.50661201880704099</v>
      </c>
      <c r="AH82" s="37">
        <f t="shared" si="55"/>
        <v>1.9689634269625198</v>
      </c>
      <c r="AI82" s="40">
        <f t="shared" si="64"/>
        <v>2.4755754457695609</v>
      </c>
      <c r="AJ82" s="39">
        <f t="shared" si="65"/>
        <v>2.8333333333333339</v>
      </c>
      <c r="AK82" s="37">
        <f t="shared" si="56"/>
        <v>5.8569391432170228</v>
      </c>
      <c r="AL82" s="37">
        <f t="shared" si="57"/>
        <v>1.224</v>
      </c>
      <c r="AM82" s="37">
        <f t="shared" si="58"/>
        <v>9.4760000000000011E-2</v>
      </c>
      <c r="AN82" s="40">
        <f t="shared" si="66"/>
        <v>1.3187599999999999</v>
      </c>
      <c r="AO82" s="39">
        <f t="shared" si="59"/>
        <v>0.33039914270024412</v>
      </c>
      <c r="AP82" s="37">
        <f t="shared" si="60"/>
        <v>0.15292125000000001</v>
      </c>
      <c r="AQ82" s="40">
        <f t="shared" si="61"/>
        <v>1.7099999999999999E-3</v>
      </c>
      <c r="AR82" s="39">
        <f t="shared" si="67"/>
        <v>5.0015497569402836</v>
      </c>
      <c r="AS82" s="37">
        <f t="shared" si="68"/>
        <v>40.799999999999997</v>
      </c>
      <c r="AT82" s="40">
        <f t="shared" si="69"/>
        <v>89.079955190419298</v>
      </c>
    </row>
    <row r="83" spans="17:46" x14ac:dyDescent="0.25">
      <c r="Q83">
        <v>76</v>
      </c>
      <c r="R83" s="39">
        <f t="shared" si="45"/>
        <v>16</v>
      </c>
      <c r="S83" s="37">
        <f t="shared" si="46"/>
        <v>2.5839999999999996</v>
      </c>
      <c r="T83" s="37">
        <f t="shared" si="47"/>
        <v>3.8</v>
      </c>
      <c r="U83" s="40">
        <f t="shared" si="48"/>
        <v>12.088888888888887</v>
      </c>
      <c r="V83" s="39">
        <f t="shared" si="49"/>
        <v>2</v>
      </c>
      <c r="W83" s="37">
        <f t="shared" si="50"/>
        <v>0.76249999999999996</v>
      </c>
      <c r="X83" s="40">
        <f t="shared" si="51"/>
        <v>0.23750000000000004</v>
      </c>
      <c r="Y83" s="39">
        <f t="shared" si="52"/>
        <v>5.0391304347826082</v>
      </c>
      <c r="Z83" s="37">
        <f t="shared" si="71"/>
        <v>14.608454106280192</v>
      </c>
      <c r="AA83" s="37">
        <f t="shared" si="72"/>
        <v>12.176095605576139</v>
      </c>
      <c r="AB83" s="37">
        <v>0</v>
      </c>
      <c r="AC83" s="37">
        <f t="shared" si="53"/>
        <v>0.74128652098065273</v>
      </c>
      <c r="AD83" s="40">
        <f t="shared" si="62"/>
        <v>0.74128652098065273</v>
      </c>
      <c r="AE83" s="39">
        <f t="shared" si="70"/>
        <v>9.2177777777777763</v>
      </c>
      <c r="AF83" s="37">
        <f t="shared" si="63"/>
        <v>10.632318394853943</v>
      </c>
      <c r="AG83" s="37">
        <f t="shared" si="54"/>
        <v>0.52001249446792785</v>
      </c>
      <c r="AH83" s="37">
        <f t="shared" si="55"/>
        <v>1.9952162726553533</v>
      </c>
      <c r="AI83" s="40">
        <f t="shared" si="64"/>
        <v>2.5152287671232809</v>
      </c>
      <c r="AJ83" s="39">
        <f t="shared" si="65"/>
        <v>2.8711111111111109</v>
      </c>
      <c r="AK83" s="37">
        <f t="shared" si="56"/>
        <v>5.9338949895141395</v>
      </c>
      <c r="AL83" s="37">
        <f t="shared" si="57"/>
        <v>1.2403199999999999</v>
      </c>
      <c r="AM83" s="37">
        <f t="shared" si="58"/>
        <v>9.4760000000000011E-2</v>
      </c>
      <c r="AN83" s="40">
        <f t="shared" si="66"/>
        <v>1.3350799999999998</v>
      </c>
      <c r="AO83" s="39">
        <f t="shared" si="59"/>
        <v>0.3391385833486486</v>
      </c>
      <c r="AP83" s="37">
        <f t="shared" si="60"/>
        <v>0.15292125000000001</v>
      </c>
      <c r="AQ83" s="40">
        <f t="shared" si="61"/>
        <v>1.7099999999999999E-3</v>
      </c>
      <c r="AR83" s="39">
        <f t="shared" si="67"/>
        <v>5.0853651214525826</v>
      </c>
      <c r="AS83" s="37">
        <f t="shared" si="68"/>
        <v>41.343999999999994</v>
      </c>
      <c r="AT83" s="40">
        <f t="shared" si="69"/>
        <v>89.047093131362033</v>
      </c>
    </row>
    <row r="84" spans="17:46" x14ac:dyDescent="0.25">
      <c r="Q84">
        <v>77</v>
      </c>
      <c r="R84" s="39">
        <f t="shared" si="45"/>
        <v>16</v>
      </c>
      <c r="S84" s="37">
        <f t="shared" si="46"/>
        <v>2.6179999999999994</v>
      </c>
      <c r="T84" s="37">
        <f t="shared" si="47"/>
        <v>3.8</v>
      </c>
      <c r="U84" s="40">
        <f t="shared" si="48"/>
        <v>12.247953216374267</v>
      </c>
      <c r="V84" s="39">
        <f t="shared" si="49"/>
        <v>2</v>
      </c>
      <c r="W84" s="37">
        <f t="shared" si="50"/>
        <v>0.76249999999999996</v>
      </c>
      <c r="X84" s="40">
        <f t="shared" si="51"/>
        <v>0.23750000000000004</v>
      </c>
      <c r="Y84" s="39">
        <f t="shared" si="52"/>
        <v>5.0391304347826082</v>
      </c>
      <c r="Z84" s="37">
        <f t="shared" si="71"/>
        <v>14.76751843376557</v>
      </c>
      <c r="AA84" s="37">
        <f t="shared" si="72"/>
        <v>12.334035333933583</v>
      </c>
      <c r="AB84" s="37">
        <v>0</v>
      </c>
      <c r="AC84" s="37">
        <f t="shared" si="53"/>
        <v>0.7606421380936107</v>
      </c>
      <c r="AD84" s="40">
        <f t="shared" si="62"/>
        <v>0.7606421380936107</v>
      </c>
      <c r="AE84" s="39">
        <f t="shared" si="70"/>
        <v>9.339064327485378</v>
      </c>
      <c r="AF84" s="37">
        <f t="shared" si="63"/>
        <v>10.770233333557615</v>
      </c>
      <c r="AG84" s="37">
        <f t="shared" si="54"/>
        <v>0.53359045987266762</v>
      </c>
      <c r="AH84" s="37">
        <f t="shared" si="55"/>
        <v>2.0214691183481865</v>
      </c>
      <c r="AI84" s="40">
        <f t="shared" si="64"/>
        <v>2.5550595782208543</v>
      </c>
      <c r="AJ84" s="39">
        <f t="shared" si="65"/>
        <v>2.9088888888888889</v>
      </c>
      <c r="AK84" s="37">
        <f t="shared" si="56"/>
        <v>6.0108652920728893</v>
      </c>
      <c r="AL84" s="37">
        <f t="shared" si="57"/>
        <v>1.2566399999999998</v>
      </c>
      <c r="AM84" s="37">
        <f t="shared" si="58"/>
        <v>9.4760000000000011E-2</v>
      </c>
      <c r="AN84" s="40">
        <f t="shared" si="66"/>
        <v>1.3513999999999997</v>
      </c>
      <c r="AO84" s="39">
        <f t="shared" si="59"/>
        <v>0.34799377817782673</v>
      </c>
      <c r="AP84" s="37">
        <f t="shared" si="60"/>
        <v>0.15292125000000001</v>
      </c>
      <c r="AQ84" s="40">
        <f t="shared" si="61"/>
        <v>1.7099999999999999E-3</v>
      </c>
      <c r="AR84" s="39">
        <f t="shared" si="67"/>
        <v>5.1697267444922925</v>
      </c>
      <c r="AS84" s="37">
        <f t="shared" si="68"/>
        <v>41.887999999999991</v>
      </c>
      <c r="AT84" s="40">
        <f t="shared" si="69"/>
        <v>89.014074622511657</v>
      </c>
    </row>
    <row r="85" spans="17:46" x14ac:dyDescent="0.25">
      <c r="Q85">
        <v>78</v>
      </c>
      <c r="R85" s="39">
        <f t="shared" si="45"/>
        <v>16</v>
      </c>
      <c r="S85" s="37">
        <f t="shared" si="46"/>
        <v>2.6519999999999997</v>
      </c>
      <c r="T85" s="37">
        <f t="shared" si="47"/>
        <v>3.8</v>
      </c>
      <c r="U85" s="40">
        <f t="shared" si="48"/>
        <v>12.407017543859649</v>
      </c>
      <c r="V85" s="39">
        <f t="shared" si="49"/>
        <v>2</v>
      </c>
      <c r="W85" s="37">
        <f t="shared" si="50"/>
        <v>0.76249999999999996</v>
      </c>
      <c r="X85" s="40">
        <f t="shared" si="51"/>
        <v>0.23750000000000004</v>
      </c>
      <c r="Y85" s="39">
        <f t="shared" si="52"/>
        <v>5.0391304347826082</v>
      </c>
      <c r="Z85" s="37">
        <f t="shared" si="71"/>
        <v>14.926582761250952</v>
      </c>
      <c r="AA85" s="37">
        <f t="shared" si="72"/>
        <v>12.492003600778798</v>
      </c>
      <c r="AB85" s="37">
        <v>0</v>
      </c>
      <c r="AC85" s="37">
        <f t="shared" si="53"/>
        <v>0.78025076980935226</v>
      </c>
      <c r="AD85" s="40">
        <f t="shared" si="62"/>
        <v>0.78025076980935226</v>
      </c>
      <c r="AE85" s="39">
        <f t="shared" si="70"/>
        <v>9.4603508771929814</v>
      </c>
      <c r="AF85" s="37">
        <f t="shared" si="63"/>
        <v>10.908173192424394</v>
      </c>
      <c r="AG85" s="37">
        <f t="shared" si="54"/>
        <v>0.54734591502126051</v>
      </c>
      <c r="AH85" s="37">
        <f t="shared" si="55"/>
        <v>2.0477219640410205</v>
      </c>
      <c r="AI85" s="40">
        <f t="shared" si="64"/>
        <v>2.595067879062281</v>
      </c>
      <c r="AJ85" s="39">
        <f t="shared" si="65"/>
        <v>2.9466666666666672</v>
      </c>
      <c r="AK85" s="37">
        <f t="shared" si="56"/>
        <v>6.0878495025702</v>
      </c>
      <c r="AL85" s="37">
        <f t="shared" si="57"/>
        <v>1.2729599999999999</v>
      </c>
      <c r="AM85" s="37">
        <f t="shared" si="58"/>
        <v>9.4760000000000011E-2</v>
      </c>
      <c r="AN85" s="40">
        <f t="shared" si="66"/>
        <v>1.3677199999999998</v>
      </c>
      <c r="AO85" s="39">
        <f t="shared" si="59"/>
        <v>0.35696472718777861</v>
      </c>
      <c r="AP85" s="37">
        <f t="shared" si="60"/>
        <v>0.15292125000000001</v>
      </c>
      <c r="AQ85" s="40">
        <f t="shared" si="61"/>
        <v>1.7099999999999999E-3</v>
      </c>
      <c r="AR85" s="39">
        <f t="shared" si="67"/>
        <v>5.2546346260594117</v>
      </c>
      <c r="AS85" s="37">
        <f t="shared" si="68"/>
        <v>42.431999999999995</v>
      </c>
      <c r="AT85" s="40">
        <f t="shared" si="69"/>
        <v>88.980906983132115</v>
      </c>
    </row>
    <row r="86" spans="17:46" x14ac:dyDescent="0.25">
      <c r="Q86">
        <v>79</v>
      </c>
      <c r="R86" s="39">
        <f t="shared" si="45"/>
        <v>16</v>
      </c>
      <c r="S86" s="37">
        <f t="shared" si="46"/>
        <v>2.6859999999999995</v>
      </c>
      <c r="T86" s="37">
        <f t="shared" si="47"/>
        <v>3.8</v>
      </c>
      <c r="U86" s="40">
        <f t="shared" si="48"/>
        <v>12.566081871345027</v>
      </c>
      <c r="V86" s="39">
        <f t="shared" si="49"/>
        <v>2</v>
      </c>
      <c r="W86" s="37">
        <f t="shared" si="50"/>
        <v>0.76249999999999996</v>
      </c>
      <c r="X86" s="40">
        <f t="shared" si="51"/>
        <v>0.23750000000000004</v>
      </c>
      <c r="Y86" s="39">
        <f t="shared" si="52"/>
        <v>5.0391304347826082</v>
      </c>
      <c r="Z86" s="37">
        <f t="shared" si="71"/>
        <v>15.08564708873633</v>
      </c>
      <c r="AA86" s="37">
        <f t="shared" si="72"/>
        <v>12.649999336979251</v>
      </c>
      <c r="AB86" s="37">
        <v>0</v>
      </c>
      <c r="AC86" s="37">
        <f t="shared" si="53"/>
        <v>0.80011241612787742</v>
      </c>
      <c r="AD86" s="40">
        <f t="shared" si="62"/>
        <v>0.80011241612787742</v>
      </c>
      <c r="AE86" s="39">
        <f t="shared" si="70"/>
        <v>9.5816374269005831</v>
      </c>
      <c r="AF86" s="37">
        <f t="shared" si="63"/>
        <v>11.046137037874431</v>
      </c>
      <c r="AG86" s="37">
        <f t="shared" si="54"/>
        <v>0.56127885991370596</v>
      </c>
      <c r="AH86" s="37">
        <f t="shared" si="55"/>
        <v>2.073974809733854</v>
      </c>
      <c r="AI86" s="40">
        <f t="shared" si="64"/>
        <v>2.6352536696475601</v>
      </c>
      <c r="AJ86" s="39">
        <f t="shared" si="65"/>
        <v>2.9844444444444442</v>
      </c>
      <c r="AK86" s="37">
        <f t="shared" si="56"/>
        <v>6.1648470999753258</v>
      </c>
      <c r="AL86" s="37">
        <f t="shared" si="57"/>
        <v>1.2892799999999998</v>
      </c>
      <c r="AM86" s="37">
        <f t="shared" si="58"/>
        <v>9.4760000000000011E-2</v>
      </c>
      <c r="AN86" s="40">
        <f t="shared" si="66"/>
        <v>1.3840399999999997</v>
      </c>
      <c r="AO86" s="39">
        <f t="shared" si="59"/>
        <v>0.36605143037850391</v>
      </c>
      <c r="AP86" s="37">
        <f t="shared" si="60"/>
        <v>0.15292125000000001</v>
      </c>
      <c r="AQ86" s="40">
        <f t="shared" si="61"/>
        <v>1.7099999999999999E-3</v>
      </c>
      <c r="AR86" s="39">
        <f t="shared" si="67"/>
        <v>5.3400887661539418</v>
      </c>
      <c r="AS86" s="37">
        <f t="shared" si="68"/>
        <v>42.975999999999992</v>
      </c>
      <c r="AT86" s="40">
        <f t="shared" si="69"/>
        <v>88.947597161683461</v>
      </c>
    </row>
    <row r="87" spans="17:46" x14ac:dyDescent="0.25">
      <c r="Q87">
        <v>80</v>
      </c>
      <c r="R87" s="39">
        <f t="shared" si="45"/>
        <v>16</v>
      </c>
      <c r="S87" s="37">
        <f t="shared" si="46"/>
        <v>2.7199999999999998</v>
      </c>
      <c r="T87" s="37">
        <f t="shared" si="47"/>
        <v>3.8</v>
      </c>
      <c r="U87" s="40">
        <f t="shared" si="48"/>
        <v>12.725146198830409</v>
      </c>
      <c r="V87" s="39">
        <f t="shared" si="49"/>
        <v>2</v>
      </c>
      <c r="W87" s="37">
        <f t="shared" si="50"/>
        <v>0.76249999999999996</v>
      </c>
      <c r="X87" s="40">
        <f t="shared" si="51"/>
        <v>0.23750000000000004</v>
      </c>
      <c r="Y87" s="39">
        <f t="shared" si="52"/>
        <v>5.0391304347826082</v>
      </c>
      <c r="Z87" s="37">
        <f t="shared" si="71"/>
        <v>15.244711416221712</v>
      </c>
      <c r="AA87" s="37">
        <f t="shared" si="72"/>
        <v>12.808021525974937</v>
      </c>
      <c r="AB87" s="37">
        <v>0</v>
      </c>
      <c r="AC87" s="37">
        <f t="shared" si="53"/>
        <v>0.82022707704918674</v>
      </c>
      <c r="AD87" s="40">
        <f t="shared" si="62"/>
        <v>0.82022707704918674</v>
      </c>
      <c r="AE87" s="39">
        <f t="shared" si="70"/>
        <v>9.7029239766081865</v>
      </c>
      <c r="AF87" s="37">
        <f t="shared" si="63"/>
        <v>11.18412398223486</v>
      </c>
      <c r="AG87" s="37">
        <f t="shared" si="54"/>
        <v>0.57538929455000432</v>
      </c>
      <c r="AH87" s="37">
        <f t="shared" si="55"/>
        <v>2.1002276554266879</v>
      </c>
      <c r="AI87" s="40">
        <f t="shared" si="64"/>
        <v>2.6756169499766922</v>
      </c>
      <c r="AJ87" s="39">
        <f t="shared" si="65"/>
        <v>3.0222222222222226</v>
      </c>
      <c r="AK87" s="37">
        <f t="shared" si="56"/>
        <v>6.2418575888781991</v>
      </c>
      <c r="AL87" s="37">
        <f t="shared" si="57"/>
        <v>1.3055999999999999</v>
      </c>
      <c r="AM87" s="37">
        <f t="shared" si="58"/>
        <v>9.4760000000000011E-2</v>
      </c>
      <c r="AN87" s="40">
        <f t="shared" si="66"/>
        <v>1.4003599999999998</v>
      </c>
      <c r="AO87" s="39">
        <f t="shared" si="59"/>
        <v>0.37525388775000285</v>
      </c>
      <c r="AP87" s="37">
        <f t="shared" si="60"/>
        <v>0.15292125000000001</v>
      </c>
      <c r="AQ87" s="40">
        <f t="shared" si="61"/>
        <v>1.7099999999999999E-3</v>
      </c>
      <c r="AR87" s="39">
        <f t="shared" si="67"/>
        <v>5.426089164775882</v>
      </c>
      <c r="AS87" s="37">
        <f t="shared" si="68"/>
        <v>43.519999999999996</v>
      </c>
      <c r="AT87" s="40">
        <f t="shared" si="69"/>
        <v>88.91415175886867</v>
      </c>
    </row>
    <row r="88" spans="17:46" x14ac:dyDescent="0.25">
      <c r="Q88">
        <v>81</v>
      </c>
      <c r="R88" s="39">
        <f t="shared" si="45"/>
        <v>16</v>
      </c>
      <c r="S88" s="37">
        <f t="shared" si="46"/>
        <v>2.7539999999999996</v>
      </c>
      <c r="T88" s="37">
        <f t="shared" si="47"/>
        <v>3.8</v>
      </c>
      <c r="U88" s="40">
        <f t="shared" si="48"/>
        <v>12.884210526315787</v>
      </c>
      <c r="V88" s="39">
        <f t="shared" si="49"/>
        <v>2</v>
      </c>
      <c r="W88" s="37">
        <f t="shared" si="50"/>
        <v>0.76249999999999996</v>
      </c>
      <c r="X88" s="40">
        <f t="shared" si="51"/>
        <v>0.23750000000000004</v>
      </c>
      <c r="Y88" s="39">
        <f t="shared" si="52"/>
        <v>5.0391304347826082</v>
      </c>
      <c r="Z88" s="37">
        <f t="shared" si="71"/>
        <v>15.40377574370709</v>
      </c>
      <c r="AA88" s="37">
        <f t="shared" si="72"/>
        <v>12.966069200596451</v>
      </c>
      <c r="AB88" s="37">
        <v>0</v>
      </c>
      <c r="AC88" s="37">
        <f t="shared" si="53"/>
        <v>0.84059475257327954</v>
      </c>
      <c r="AD88" s="40">
        <f t="shared" si="62"/>
        <v>0.84059475257327954</v>
      </c>
      <c r="AE88" s="39">
        <f t="shared" si="70"/>
        <v>9.8242105263157864</v>
      </c>
      <c r="AF88" s="37">
        <f t="shared" si="63"/>
        <v>11.322133180961311</v>
      </c>
      <c r="AG88" s="37">
        <f t="shared" si="54"/>
        <v>0.58967721893015534</v>
      </c>
      <c r="AH88" s="37">
        <f t="shared" si="55"/>
        <v>2.1264805011195209</v>
      </c>
      <c r="AI88" s="40">
        <f t="shared" si="64"/>
        <v>2.7161577200496763</v>
      </c>
      <c r="AJ88" s="39">
        <f t="shared" si="65"/>
        <v>3.06</v>
      </c>
      <c r="AK88" s="37">
        <f t="shared" si="56"/>
        <v>6.3188804979387587</v>
      </c>
      <c r="AL88" s="37">
        <f t="shared" si="57"/>
        <v>1.3219199999999998</v>
      </c>
      <c r="AM88" s="37">
        <f t="shared" si="58"/>
        <v>9.4760000000000011E-2</v>
      </c>
      <c r="AN88" s="40">
        <f t="shared" si="66"/>
        <v>1.4166799999999997</v>
      </c>
      <c r="AO88" s="39">
        <f t="shared" si="59"/>
        <v>0.38457209930227526</v>
      </c>
      <c r="AP88" s="37">
        <f t="shared" si="60"/>
        <v>0.15292125000000001</v>
      </c>
      <c r="AQ88" s="40">
        <f t="shared" si="61"/>
        <v>1.7099999999999999E-3</v>
      </c>
      <c r="AR88" s="39">
        <f t="shared" si="67"/>
        <v>5.5126358219252314</v>
      </c>
      <c r="AS88" s="37">
        <f t="shared" si="68"/>
        <v>44.063999999999993</v>
      </c>
      <c r="AT88" s="40">
        <f t="shared" si="69"/>
        <v>88.880577048983085</v>
      </c>
    </row>
    <row r="89" spans="17:46" x14ac:dyDescent="0.25">
      <c r="Q89">
        <v>82</v>
      </c>
      <c r="R89" s="39">
        <f t="shared" si="45"/>
        <v>16</v>
      </c>
      <c r="S89" s="37">
        <f t="shared" si="46"/>
        <v>2.7879999999999998</v>
      </c>
      <c r="T89" s="37">
        <f t="shared" si="47"/>
        <v>3.8</v>
      </c>
      <c r="U89" s="40">
        <f t="shared" si="48"/>
        <v>13.043274853801169</v>
      </c>
      <c r="V89" s="39">
        <f t="shared" si="49"/>
        <v>2</v>
      </c>
      <c r="W89" s="37">
        <f t="shared" si="50"/>
        <v>0.76249999999999996</v>
      </c>
      <c r="X89" s="40">
        <f t="shared" si="51"/>
        <v>0.23750000000000004</v>
      </c>
      <c r="Y89" s="39">
        <f t="shared" si="52"/>
        <v>5.0391304347826082</v>
      </c>
      <c r="Z89" s="37">
        <f t="shared" si="71"/>
        <v>15.562840071192472</v>
      </c>
      <c r="AA89" s="37">
        <f t="shared" si="72"/>
        <v>13.124141440110712</v>
      </c>
      <c r="AB89" s="37">
        <v>0</v>
      </c>
      <c r="AC89" s="37">
        <f t="shared" si="53"/>
        <v>0.86121544270015638</v>
      </c>
      <c r="AD89" s="40">
        <f t="shared" si="62"/>
        <v>0.86121544270015638</v>
      </c>
      <c r="AE89" s="39">
        <f t="shared" si="70"/>
        <v>9.9454970760233898</v>
      </c>
      <c r="AF89" s="37">
        <f t="shared" si="63"/>
        <v>11.460163830058182</v>
      </c>
      <c r="AG89" s="37">
        <f t="shared" si="54"/>
        <v>0.60414263305415961</v>
      </c>
      <c r="AH89" s="37">
        <f t="shared" si="55"/>
        <v>2.1527333468123548</v>
      </c>
      <c r="AI89" s="40">
        <f t="shared" si="64"/>
        <v>2.7568759798665146</v>
      </c>
      <c r="AJ89" s="39">
        <f t="shared" si="65"/>
        <v>3.097777777777778</v>
      </c>
      <c r="AK89" s="37">
        <f t="shared" si="56"/>
        <v>6.3959153784472029</v>
      </c>
      <c r="AL89" s="37">
        <f t="shared" si="57"/>
        <v>1.3382399999999999</v>
      </c>
      <c r="AM89" s="37">
        <f t="shared" si="58"/>
        <v>9.4760000000000011E-2</v>
      </c>
      <c r="AN89" s="40">
        <f t="shared" si="66"/>
        <v>1.4329999999999998</v>
      </c>
      <c r="AO89" s="39">
        <f t="shared" si="59"/>
        <v>0.39400606503532148</v>
      </c>
      <c r="AP89" s="37">
        <f t="shared" si="60"/>
        <v>0.15292125000000001</v>
      </c>
      <c r="AQ89" s="40">
        <f t="shared" si="61"/>
        <v>1.7099999999999999E-3</v>
      </c>
      <c r="AR89" s="39">
        <f t="shared" si="67"/>
        <v>5.5997287376019926</v>
      </c>
      <c r="AS89" s="37">
        <f t="shared" si="68"/>
        <v>44.607999999999997</v>
      </c>
      <c r="AT89" s="40">
        <f t="shared" si="69"/>
        <v>88.84687899971027</v>
      </c>
    </row>
    <row r="90" spans="17:46" x14ac:dyDescent="0.25">
      <c r="Q90">
        <v>83</v>
      </c>
      <c r="R90" s="39">
        <f t="shared" si="45"/>
        <v>16</v>
      </c>
      <c r="S90" s="37">
        <f t="shared" si="46"/>
        <v>2.8219999999999996</v>
      </c>
      <c r="T90" s="37">
        <f t="shared" si="47"/>
        <v>3.8</v>
      </c>
      <c r="U90" s="40">
        <f t="shared" si="48"/>
        <v>13.202339181286549</v>
      </c>
      <c r="V90" s="39">
        <f t="shared" si="49"/>
        <v>2</v>
      </c>
      <c r="W90" s="37">
        <f t="shared" si="50"/>
        <v>0.76249999999999996</v>
      </c>
      <c r="X90" s="40">
        <f t="shared" si="51"/>
        <v>0.23750000000000004</v>
      </c>
      <c r="Y90" s="39">
        <f t="shared" si="52"/>
        <v>5.0391304347826082</v>
      </c>
      <c r="Z90" s="37">
        <f t="shared" si="71"/>
        <v>15.721904398677854</v>
      </c>
      <c r="AA90" s="37">
        <f t="shared" si="72"/>
        <v>13.282237367475531</v>
      </c>
      <c r="AB90" s="37">
        <v>0</v>
      </c>
      <c r="AC90" s="37">
        <f t="shared" si="53"/>
        <v>0.88208914742981659</v>
      </c>
      <c r="AD90" s="40">
        <f t="shared" si="62"/>
        <v>0.88208914742981659</v>
      </c>
      <c r="AE90" s="39">
        <f t="shared" si="70"/>
        <v>10.066783625730993</v>
      </c>
      <c r="AF90" s="37">
        <f t="shared" si="63"/>
        <v>11.598215163681308</v>
      </c>
      <c r="AG90" s="37">
        <f t="shared" si="54"/>
        <v>0.61878553692201632</v>
      </c>
      <c r="AH90" s="37">
        <f t="shared" si="55"/>
        <v>2.1789861925051883</v>
      </c>
      <c r="AI90" s="40">
        <f t="shared" si="64"/>
        <v>2.7977717294272049</v>
      </c>
      <c r="AJ90" s="39">
        <f t="shared" si="65"/>
        <v>3.1355555555555559</v>
      </c>
      <c r="AK90" s="37">
        <f t="shared" si="56"/>
        <v>6.4729618029860418</v>
      </c>
      <c r="AL90" s="37">
        <f t="shared" si="57"/>
        <v>1.3545599999999998</v>
      </c>
      <c r="AM90" s="37">
        <f t="shared" si="58"/>
        <v>9.4760000000000011E-2</v>
      </c>
      <c r="AN90" s="40">
        <f t="shared" si="66"/>
        <v>1.4493199999999997</v>
      </c>
      <c r="AO90" s="39">
        <f t="shared" si="59"/>
        <v>0.40355578494914107</v>
      </c>
      <c r="AP90" s="37">
        <f t="shared" si="60"/>
        <v>0.15292125000000001</v>
      </c>
      <c r="AQ90" s="40">
        <f t="shared" si="61"/>
        <v>1.7099999999999999E-3</v>
      </c>
      <c r="AR90" s="39">
        <f t="shared" si="67"/>
        <v>5.6873679118061622</v>
      </c>
      <c r="AS90" s="37">
        <f t="shared" si="68"/>
        <v>45.151999999999994</v>
      </c>
      <c r="AT90" s="40">
        <f t="shared" si="69"/>
        <v>88.813063290494981</v>
      </c>
    </row>
    <row r="91" spans="17:46" x14ac:dyDescent="0.25">
      <c r="Q91">
        <v>84</v>
      </c>
      <c r="R91" s="39">
        <f t="shared" si="45"/>
        <v>16</v>
      </c>
      <c r="S91" s="37">
        <f t="shared" si="46"/>
        <v>2.8559999999999994</v>
      </c>
      <c r="T91" s="37">
        <f t="shared" si="47"/>
        <v>3.8</v>
      </c>
      <c r="U91" s="40">
        <f t="shared" si="48"/>
        <v>13.361403508771927</v>
      </c>
      <c r="V91" s="39">
        <f t="shared" si="49"/>
        <v>2</v>
      </c>
      <c r="W91" s="37">
        <f t="shared" si="50"/>
        <v>0.76249999999999996</v>
      </c>
      <c r="X91" s="40">
        <f t="shared" si="51"/>
        <v>0.23750000000000004</v>
      </c>
      <c r="Y91" s="39">
        <f t="shared" si="52"/>
        <v>5.0391304347826082</v>
      </c>
      <c r="Z91" s="37">
        <f t="shared" si="71"/>
        <v>15.880968726163232</v>
      </c>
      <c r="AA91" s="37">
        <f t="shared" si="72"/>
        <v>13.440356146786145</v>
      </c>
      <c r="AB91" s="37">
        <v>0</v>
      </c>
      <c r="AC91" s="37">
        <f t="shared" si="53"/>
        <v>0.90321586676226062</v>
      </c>
      <c r="AD91" s="40">
        <f t="shared" si="62"/>
        <v>0.90321586676226062</v>
      </c>
      <c r="AE91" s="39">
        <f t="shared" si="70"/>
        <v>10.188070175438593</v>
      </c>
      <c r="AF91" s="37">
        <f t="shared" si="63"/>
        <v>11.736286451908235</v>
      </c>
      <c r="AG91" s="37">
        <f t="shared" si="54"/>
        <v>0.63360593053372605</v>
      </c>
      <c r="AH91" s="37">
        <f t="shared" si="55"/>
        <v>2.2052390381980218</v>
      </c>
      <c r="AI91" s="40">
        <f t="shared" si="64"/>
        <v>2.8388449687317481</v>
      </c>
      <c r="AJ91" s="39">
        <f t="shared" si="65"/>
        <v>3.1733333333333333</v>
      </c>
      <c r="AK91" s="37">
        <f t="shared" si="56"/>
        <v>6.5500193641856814</v>
      </c>
      <c r="AL91" s="37">
        <f t="shared" si="57"/>
        <v>1.3708799999999997</v>
      </c>
      <c r="AM91" s="37">
        <f t="shared" si="58"/>
        <v>9.4760000000000011E-2</v>
      </c>
      <c r="AN91" s="40">
        <f t="shared" si="66"/>
        <v>1.4656399999999996</v>
      </c>
      <c r="AO91" s="39">
        <f t="shared" si="59"/>
        <v>0.41322125904373436</v>
      </c>
      <c r="AP91" s="37">
        <f t="shared" si="60"/>
        <v>0.15292125000000001</v>
      </c>
      <c r="AQ91" s="40">
        <f t="shared" si="61"/>
        <v>1.7099999999999999E-3</v>
      </c>
      <c r="AR91" s="39">
        <f t="shared" si="67"/>
        <v>5.7755533445377427</v>
      </c>
      <c r="AS91" s="37">
        <f t="shared" si="68"/>
        <v>45.695999999999991</v>
      </c>
      <c r="AT91" s="40">
        <f t="shared" si="69"/>
        <v>88.779135329610853</v>
      </c>
    </row>
    <row r="92" spans="17:46" x14ac:dyDescent="0.25">
      <c r="Q92">
        <v>85</v>
      </c>
      <c r="R92" s="39">
        <f t="shared" si="45"/>
        <v>16</v>
      </c>
      <c r="S92" s="37">
        <f t="shared" si="46"/>
        <v>2.8899999999999997</v>
      </c>
      <c r="T92" s="37">
        <f t="shared" si="47"/>
        <v>3.8</v>
      </c>
      <c r="U92" s="40">
        <f t="shared" si="48"/>
        <v>13.520467836257309</v>
      </c>
      <c r="V92" s="39">
        <f t="shared" si="49"/>
        <v>2</v>
      </c>
      <c r="W92" s="37">
        <f t="shared" si="50"/>
        <v>0.76249999999999996</v>
      </c>
      <c r="X92" s="40">
        <f t="shared" si="51"/>
        <v>0.23750000000000004</v>
      </c>
      <c r="Y92" s="39">
        <f t="shared" si="52"/>
        <v>5.0391304347826082</v>
      </c>
      <c r="Z92" s="37">
        <f t="shared" si="71"/>
        <v>16.040033053648614</v>
      </c>
      <c r="AA92" s="37">
        <f t="shared" si="72"/>
        <v>13.598496980898211</v>
      </c>
      <c r="AB92" s="37">
        <v>0</v>
      </c>
      <c r="AC92" s="37">
        <f t="shared" si="53"/>
        <v>0.92459560069748892</v>
      </c>
      <c r="AD92" s="40">
        <f t="shared" si="62"/>
        <v>0.92459560069748892</v>
      </c>
      <c r="AE92" s="39">
        <f t="shared" si="70"/>
        <v>10.309356725146197</v>
      </c>
      <c r="AF92" s="37">
        <f t="shared" si="63"/>
        <v>11.874376998662585</v>
      </c>
      <c r="AG92" s="37">
        <f t="shared" si="54"/>
        <v>0.64860381388928845</v>
      </c>
      <c r="AH92" s="37">
        <f t="shared" si="55"/>
        <v>2.2314918838908557</v>
      </c>
      <c r="AI92" s="40">
        <f t="shared" si="64"/>
        <v>2.8800956977801442</v>
      </c>
      <c r="AJ92" s="39">
        <f t="shared" si="65"/>
        <v>3.2111111111111112</v>
      </c>
      <c r="AK92" s="37">
        <f t="shared" si="56"/>
        <v>6.6270876735660238</v>
      </c>
      <c r="AL92" s="37">
        <f t="shared" si="57"/>
        <v>1.3871999999999998</v>
      </c>
      <c r="AM92" s="37">
        <f t="shared" si="58"/>
        <v>9.4760000000000011E-2</v>
      </c>
      <c r="AN92" s="40">
        <f t="shared" si="66"/>
        <v>1.4819599999999997</v>
      </c>
      <c r="AO92" s="39">
        <f t="shared" si="59"/>
        <v>0.42300248731910123</v>
      </c>
      <c r="AP92" s="37">
        <f t="shared" si="60"/>
        <v>0.15292125000000001</v>
      </c>
      <c r="AQ92" s="40">
        <f t="shared" si="61"/>
        <v>1.7099999999999999E-3</v>
      </c>
      <c r="AR92" s="39">
        <f t="shared" si="67"/>
        <v>5.8642850357967351</v>
      </c>
      <c r="AS92" s="37">
        <f t="shared" si="68"/>
        <v>46.239999999999995</v>
      </c>
      <c r="AT92" s="40">
        <f t="shared" si="69"/>
        <v>88.745100270029909</v>
      </c>
    </row>
    <row r="93" spans="17:46" x14ac:dyDescent="0.25">
      <c r="Q93">
        <v>86</v>
      </c>
      <c r="R93" s="39">
        <f t="shared" si="45"/>
        <v>16</v>
      </c>
      <c r="S93" s="37">
        <f t="shared" si="46"/>
        <v>2.9239999999999995</v>
      </c>
      <c r="T93" s="37">
        <f t="shared" si="47"/>
        <v>3.8</v>
      </c>
      <c r="U93" s="40">
        <f t="shared" si="48"/>
        <v>13.679532163742689</v>
      </c>
      <c r="V93" s="39">
        <f t="shared" si="49"/>
        <v>2</v>
      </c>
      <c r="W93" s="37">
        <f t="shared" si="50"/>
        <v>0.76249999999999996</v>
      </c>
      <c r="X93" s="40">
        <f t="shared" si="51"/>
        <v>0.23750000000000004</v>
      </c>
      <c r="Y93" s="39">
        <f t="shared" si="52"/>
        <v>5.0391304347826082</v>
      </c>
      <c r="Z93" s="37">
        <f t="shared" si="71"/>
        <v>16.199097381133992</v>
      </c>
      <c r="AA93" s="37">
        <f t="shared" si="72"/>
        <v>13.756659109213258</v>
      </c>
      <c r="AB93" s="37">
        <v>0</v>
      </c>
      <c r="AC93" s="37">
        <f t="shared" si="53"/>
        <v>0.94622834923550059</v>
      </c>
      <c r="AD93" s="40">
        <f t="shared" si="62"/>
        <v>0.94622834923550059</v>
      </c>
      <c r="AE93" s="39">
        <f t="shared" si="70"/>
        <v>10.4306432748538</v>
      </c>
      <c r="AF93" s="37">
        <f t="shared" si="63"/>
        <v>12.0124861397803</v>
      </c>
      <c r="AG93" s="37">
        <f t="shared" si="54"/>
        <v>0.66377918698870353</v>
      </c>
      <c r="AH93" s="37">
        <f t="shared" si="55"/>
        <v>2.2577447295836892</v>
      </c>
      <c r="AI93" s="40">
        <f t="shared" si="64"/>
        <v>2.9215239165723927</v>
      </c>
      <c r="AJ93" s="39">
        <f t="shared" si="65"/>
        <v>3.2488888888888892</v>
      </c>
      <c r="AK93" s="37">
        <f t="shared" si="56"/>
        <v>6.7041663604572257</v>
      </c>
      <c r="AL93" s="37">
        <f t="shared" si="57"/>
        <v>1.4035199999999997</v>
      </c>
      <c r="AM93" s="37">
        <f t="shared" si="58"/>
        <v>9.4760000000000011E-2</v>
      </c>
      <c r="AN93" s="40">
        <f t="shared" si="66"/>
        <v>1.4982799999999996</v>
      </c>
      <c r="AO93" s="39">
        <f t="shared" si="59"/>
        <v>0.43289946977524146</v>
      </c>
      <c r="AP93" s="37">
        <f t="shared" si="60"/>
        <v>0.15292125000000001</v>
      </c>
      <c r="AQ93" s="40">
        <f t="shared" si="61"/>
        <v>1.7099999999999999E-3</v>
      </c>
      <c r="AR93" s="39">
        <f t="shared" si="67"/>
        <v>5.9535629855831349</v>
      </c>
      <c r="AS93" s="37">
        <f t="shared" si="68"/>
        <v>46.783999999999992</v>
      </c>
      <c r="AT93" s="40">
        <f t="shared" si="69"/>
        <v>88.710963024190832</v>
      </c>
    </row>
    <row r="94" spans="17:46" x14ac:dyDescent="0.25">
      <c r="Q94">
        <v>87</v>
      </c>
      <c r="R94" s="39">
        <f t="shared" si="45"/>
        <v>16</v>
      </c>
      <c r="S94" s="37">
        <f t="shared" si="46"/>
        <v>2.9579999999999997</v>
      </c>
      <c r="T94" s="37">
        <f t="shared" si="47"/>
        <v>3.8</v>
      </c>
      <c r="U94" s="40">
        <f t="shared" si="48"/>
        <v>13.838596491228069</v>
      </c>
      <c r="V94" s="39">
        <f t="shared" si="49"/>
        <v>2</v>
      </c>
      <c r="W94" s="37">
        <f t="shared" si="50"/>
        <v>0.76249999999999996</v>
      </c>
      <c r="X94" s="40">
        <f t="shared" si="51"/>
        <v>0.23750000000000004</v>
      </c>
      <c r="Y94" s="39">
        <f t="shared" si="52"/>
        <v>5.0391304347826082</v>
      </c>
      <c r="Z94" s="37">
        <f t="shared" si="71"/>
        <v>16.358161708619374</v>
      </c>
      <c r="AA94" s="37">
        <f t="shared" si="72"/>
        <v>13.914841805613859</v>
      </c>
      <c r="AB94" s="37">
        <v>0</v>
      </c>
      <c r="AC94" s="37">
        <f t="shared" si="53"/>
        <v>0.96811411237629585</v>
      </c>
      <c r="AD94" s="40">
        <f t="shared" si="62"/>
        <v>0.96811411237629585</v>
      </c>
      <c r="AE94" s="39">
        <f t="shared" si="70"/>
        <v>10.551929824561402</v>
      </c>
      <c r="AF94" s="37">
        <f t="shared" si="63"/>
        <v>12.150613241206599</v>
      </c>
      <c r="AG94" s="37">
        <f t="shared" si="54"/>
        <v>0.67913204983197173</v>
      </c>
      <c r="AH94" s="37">
        <f t="shared" si="55"/>
        <v>2.2839975752765227</v>
      </c>
      <c r="AI94" s="40">
        <f t="shared" si="64"/>
        <v>2.9631296251084942</v>
      </c>
      <c r="AJ94" s="39">
        <f t="shared" si="65"/>
        <v>3.2866666666666671</v>
      </c>
      <c r="AK94" s="37">
        <f t="shared" si="56"/>
        <v>6.7812550709934278</v>
      </c>
      <c r="AL94" s="37">
        <f t="shared" si="57"/>
        <v>1.4198399999999998</v>
      </c>
      <c r="AM94" s="37">
        <f t="shared" si="58"/>
        <v>9.4760000000000011E-2</v>
      </c>
      <c r="AN94" s="40">
        <f t="shared" si="66"/>
        <v>1.5145999999999997</v>
      </c>
      <c r="AO94" s="39">
        <f t="shared" si="59"/>
        <v>0.44291220641215545</v>
      </c>
      <c r="AP94" s="37">
        <f t="shared" si="60"/>
        <v>0.15292125000000001</v>
      </c>
      <c r="AQ94" s="40">
        <f t="shared" si="61"/>
        <v>1.7099999999999999E-3</v>
      </c>
      <c r="AR94" s="39">
        <f t="shared" si="67"/>
        <v>6.0433871938969457</v>
      </c>
      <c r="AS94" s="37">
        <f t="shared" si="68"/>
        <v>47.327999999999996</v>
      </c>
      <c r="AT94" s="40">
        <f t="shared" si="69"/>
        <v>88.676728277754009</v>
      </c>
    </row>
    <row r="95" spans="17:46" x14ac:dyDescent="0.25">
      <c r="Q95">
        <v>88</v>
      </c>
      <c r="R95" s="39">
        <f t="shared" si="45"/>
        <v>16</v>
      </c>
      <c r="S95" s="37">
        <f t="shared" si="46"/>
        <v>2.9919999999999995</v>
      </c>
      <c r="T95" s="37">
        <f t="shared" si="47"/>
        <v>3.8</v>
      </c>
      <c r="U95" s="40">
        <f t="shared" si="48"/>
        <v>13.997660818713449</v>
      </c>
      <c r="V95" s="39">
        <f t="shared" si="49"/>
        <v>2</v>
      </c>
      <c r="W95" s="37">
        <f t="shared" si="50"/>
        <v>0.76249999999999996</v>
      </c>
      <c r="X95" s="40">
        <f t="shared" si="51"/>
        <v>0.23750000000000004</v>
      </c>
      <c r="Y95" s="39">
        <f t="shared" si="52"/>
        <v>5.0391304347826082</v>
      </c>
      <c r="Z95" s="37">
        <f t="shared" si="71"/>
        <v>16.517226036104752</v>
      </c>
      <c r="AA95" s="37">
        <f t="shared" si="72"/>
        <v>14.073044376536835</v>
      </c>
      <c r="AB95" s="37">
        <v>0</v>
      </c>
      <c r="AC95" s="37">
        <f t="shared" si="53"/>
        <v>0.99025289011987516</v>
      </c>
      <c r="AD95" s="40">
        <f t="shared" si="62"/>
        <v>0.99025289011987516</v>
      </c>
      <c r="AE95" s="39">
        <f t="shared" si="70"/>
        <v>10.673216374269003</v>
      </c>
      <c r="AF95" s="37">
        <f t="shared" si="63"/>
        <v>12.288757697313464</v>
      </c>
      <c r="AG95" s="37">
        <f t="shared" si="54"/>
        <v>0.69466240241909216</v>
      </c>
      <c r="AH95" s="37">
        <f t="shared" si="55"/>
        <v>2.3102504209693562</v>
      </c>
      <c r="AI95" s="40">
        <f t="shared" si="64"/>
        <v>3.0049128233884481</v>
      </c>
      <c r="AJ95" s="39">
        <f t="shared" si="65"/>
        <v>3.3244444444444445</v>
      </c>
      <c r="AK95" s="37">
        <f t="shared" si="56"/>
        <v>6.8583534671737407</v>
      </c>
      <c r="AL95" s="37">
        <f t="shared" si="57"/>
        <v>1.4361599999999997</v>
      </c>
      <c r="AM95" s="37">
        <f t="shared" si="58"/>
        <v>9.4760000000000011E-2</v>
      </c>
      <c r="AN95" s="40">
        <f t="shared" si="66"/>
        <v>1.5309199999999996</v>
      </c>
      <c r="AO95" s="39">
        <f t="shared" si="59"/>
        <v>0.45304069722984275</v>
      </c>
      <c r="AP95" s="37">
        <f t="shared" si="60"/>
        <v>0.15292125000000001</v>
      </c>
      <c r="AQ95" s="40">
        <f t="shared" si="61"/>
        <v>1.7099999999999999E-3</v>
      </c>
      <c r="AR95" s="39">
        <f t="shared" si="67"/>
        <v>6.1337576607381665</v>
      </c>
      <c r="AS95" s="37">
        <f t="shared" si="68"/>
        <v>47.871999999999993</v>
      </c>
      <c r="AT95" s="40">
        <f t="shared" si="69"/>
        <v>88.642400502423897</v>
      </c>
    </row>
    <row r="96" spans="17:46" x14ac:dyDescent="0.25">
      <c r="Q96">
        <v>89</v>
      </c>
      <c r="R96" s="39">
        <f t="shared" si="45"/>
        <v>16</v>
      </c>
      <c r="S96" s="37">
        <f t="shared" si="46"/>
        <v>3.0259999999999998</v>
      </c>
      <c r="T96" s="37">
        <f t="shared" si="47"/>
        <v>3.8</v>
      </c>
      <c r="U96" s="40">
        <f t="shared" si="48"/>
        <v>14.156725146198831</v>
      </c>
      <c r="V96" s="39">
        <f t="shared" si="49"/>
        <v>2</v>
      </c>
      <c r="W96" s="37">
        <f t="shared" si="50"/>
        <v>0.76249999999999996</v>
      </c>
      <c r="X96" s="40">
        <f t="shared" si="51"/>
        <v>0.23750000000000004</v>
      </c>
      <c r="Y96" s="39">
        <f t="shared" si="52"/>
        <v>5.0391304347826082</v>
      </c>
      <c r="Z96" s="37">
        <f t="shared" si="71"/>
        <v>16.676290363590134</v>
      </c>
      <c r="AA96" s="37">
        <f t="shared" si="72"/>
        <v>14.231266159173879</v>
      </c>
      <c r="AB96" s="37">
        <v>0</v>
      </c>
      <c r="AC96" s="37">
        <f t="shared" si="53"/>
        <v>1.0126446824662383</v>
      </c>
      <c r="AD96" s="40">
        <f t="shared" si="62"/>
        <v>1.0126446824662383</v>
      </c>
      <c r="AE96" s="39">
        <f t="shared" si="70"/>
        <v>10.794502923976607</v>
      </c>
      <c r="AF96" s="37">
        <f t="shared" si="63"/>
        <v>12.426918929328433</v>
      </c>
      <c r="AG96" s="37">
        <f t="shared" si="54"/>
        <v>0.71037024475006616</v>
      </c>
      <c r="AH96" s="37">
        <f t="shared" si="55"/>
        <v>2.3365032666621901</v>
      </c>
      <c r="AI96" s="40">
        <f t="shared" si="64"/>
        <v>3.0468735114122563</v>
      </c>
      <c r="AJ96" s="39">
        <f t="shared" si="65"/>
        <v>3.3622222222222229</v>
      </c>
      <c r="AK96" s="37">
        <f t="shared" si="56"/>
        <v>6.9354612259853585</v>
      </c>
      <c r="AL96" s="37">
        <f t="shared" si="57"/>
        <v>1.4524799999999998</v>
      </c>
      <c r="AM96" s="37">
        <f t="shared" si="58"/>
        <v>9.4760000000000011E-2</v>
      </c>
      <c r="AN96" s="40">
        <f t="shared" si="66"/>
        <v>1.5472399999999997</v>
      </c>
      <c r="AO96" s="39">
        <f t="shared" si="59"/>
        <v>0.46328494222830402</v>
      </c>
      <c r="AP96" s="37">
        <f t="shared" si="60"/>
        <v>0.15292125000000001</v>
      </c>
      <c r="AQ96" s="40">
        <f t="shared" si="61"/>
        <v>1.7099999999999999E-3</v>
      </c>
      <c r="AR96" s="39">
        <f t="shared" si="67"/>
        <v>6.2246743861067984</v>
      </c>
      <c r="AS96" s="37">
        <f t="shared" si="68"/>
        <v>48.415999999999997</v>
      </c>
      <c r="AT96" s="40">
        <f t="shared" si="69"/>
        <v>88.607983967911068</v>
      </c>
    </row>
    <row r="97" spans="17:46" x14ac:dyDescent="0.25">
      <c r="Q97">
        <v>90</v>
      </c>
      <c r="R97" s="39">
        <f t="shared" si="45"/>
        <v>16</v>
      </c>
      <c r="S97" s="37">
        <f t="shared" si="46"/>
        <v>3.0599999999999996</v>
      </c>
      <c r="T97" s="37">
        <f t="shared" si="47"/>
        <v>3.8</v>
      </c>
      <c r="U97" s="40">
        <f t="shared" si="48"/>
        <v>14.315789473684209</v>
      </c>
      <c r="V97" s="39">
        <f t="shared" si="49"/>
        <v>2</v>
      </c>
      <c r="W97" s="37">
        <f t="shared" si="50"/>
        <v>0.76249999999999996</v>
      </c>
      <c r="X97" s="40">
        <f t="shared" si="51"/>
        <v>0.23750000000000004</v>
      </c>
      <c r="Y97" s="39">
        <f t="shared" si="52"/>
        <v>5.0391304347826082</v>
      </c>
      <c r="Z97" s="37">
        <f t="shared" si="71"/>
        <v>16.835354691075512</v>
      </c>
      <c r="AA97" s="37">
        <f t="shared" si="72"/>
        <v>14.389506519789931</v>
      </c>
      <c r="AB97" s="37">
        <v>0</v>
      </c>
      <c r="AC97" s="37">
        <f t="shared" si="53"/>
        <v>1.0352894894153846</v>
      </c>
      <c r="AD97" s="40">
        <f t="shared" si="62"/>
        <v>1.0352894894153846</v>
      </c>
      <c r="AE97" s="39">
        <f t="shared" si="70"/>
        <v>10.915789473684208</v>
      </c>
      <c r="AF97" s="37">
        <f t="shared" si="63"/>
        <v>12.565096383866148</v>
      </c>
      <c r="AG97" s="37">
        <f t="shared" si="54"/>
        <v>0.72625557682489228</v>
      </c>
      <c r="AH97" s="37">
        <f t="shared" si="55"/>
        <v>2.3627561123550236</v>
      </c>
      <c r="AI97" s="40">
        <f t="shared" si="64"/>
        <v>3.089011689179916</v>
      </c>
      <c r="AJ97" s="39">
        <f t="shared" si="65"/>
        <v>3.4000000000000004</v>
      </c>
      <c r="AK97" s="37">
        <f t="shared" si="56"/>
        <v>7.0125780385840111</v>
      </c>
      <c r="AL97" s="37">
        <f t="shared" si="57"/>
        <v>1.4687999999999997</v>
      </c>
      <c r="AM97" s="37">
        <f t="shared" si="58"/>
        <v>9.4760000000000011E-2</v>
      </c>
      <c r="AN97" s="40">
        <f t="shared" si="66"/>
        <v>1.5635599999999996</v>
      </c>
      <c r="AO97" s="39">
        <f t="shared" si="59"/>
        <v>0.47364494140753849</v>
      </c>
      <c r="AP97" s="37">
        <f t="shared" si="60"/>
        <v>0.15292125000000001</v>
      </c>
      <c r="AQ97" s="40">
        <f t="shared" si="61"/>
        <v>1.7099999999999999E-3</v>
      </c>
      <c r="AR97" s="39">
        <f t="shared" si="67"/>
        <v>6.3161373700028385</v>
      </c>
      <c r="AS97" s="37">
        <f t="shared" si="68"/>
        <v>48.959999999999994</v>
      </c>
      <c r="AT97" s="40">
        <f t="shared" si="69"/>
        <v>88.573482753101217</v>
      </c>
    </row>
    <row r="98" spans="17:46" x14ac:dyDescent="0.25">
      <c r="Q98">
        <v>91</v>
      </c>
      <c r="R98" s="39">
        <f t="shared" si="45"/>
        <v>16</v>
      </c>
      <c r="S98" s="37">
        <f t="shared" si="46"/>
        <v>3.0939999999999994</v>
      </c>
      <c r="T98" s="37">
        <f t="shared" si="47"/>
        <v>3.8</v>
      </c>
      <c r="U98" s="40">
        <f t="shared" si="48"/>
        <v>14.474853801169589</v>
      </c>
      <c r="V98" s="39">
        <f t="shared" si="49"/>
        <v>2</v>
      </c>
      <c r="W98" s="37">
        <f t="shared" si="50"/>
        <v>0.76249999999999996</v>
      </c>
      <c r="X98" s="40">
        <f t="shared" si="51"/>
        <v>0.23750000000000004</v>
      </c>
      <c r="Y98" s="39">
        <f t="shared" si="52"/>
        <v>5.0391304347826082</v>
      </c>
      <c r="Z98" s="37">
        <f t="shared" si="71"/>
        <v>16.994419018560894</v>
      </c>
      <c r="AA98" s="37">
        <f t="shared" si="72"/>
        <v>14.547764852150417</v>
      </c>
      <c r="AB98" s="37">
        <v>0</v>
      </c>
      <c r="AC98" s="37">
        <f t="shared" si="53"/>
        <v>1.0581873109673152</v>
      </c>
      <c r="AD98" s="40">
        <f t="shared" si="62"/>
        <v>1.0581873109673152</v>
      </c>
      <c r="AE98" s="39">
        <f t="shared" si="70"/>
        <v>11.03707602339181</v>
      </c>
      <c r="AF98" s="37">
        <f t="shared" si="63"/>
        <v>12.703289531555029</v>
      </c>
      <c r="AG98" s="37">
        <f t="shared" si="54"/>
        <v>0.74231839864357163</v>
      </c>
      <c r="AH98" s="37">
        <f t="shared" si="55"/>
        <v>2.3890089580478571</v>
      </c>
      <c r="AI98" s="40">
        <f t="shared" si="64"/>
        <v>3.1313273566914286</v>
      </c>
      <c r="AJ98" s="39">
        <f t="shared" si="65"/>
        <v>3.4377777777777778</v>
      </c>
      <c r="AK98" s="37">
        <f t="shared" si="56"/>
        <v>7.0897036095275165</v>
      </c>
      <c r="AL98" s="37">
        <f t="shared" si="57"/>
        <v>1.4851199999999998</v>
      </c>
      <c r="AM98" s="37">
        <f t="shared" si="58"/>
        <v>9.4760000000000011E-2</v>
      </c>
      <c r="AN98" s="40">
        <f t="shared" si="66"/>
        <v>1.5798799999999997</v>
      </c>
      <c r="AO98" s="39">
        <f t="shared" si="59"/>
        <v>0.48412069476754677</v>
      </c>
      <c r="AP98" s="37">
        <f t="shared" si="60"/>
        <v>0.15292125000000001</v>
      </c>
      <c r="AQ98" s="40">
        <f t="shared" si="61"/>
        <v>1.7099999999999999E-3</v>
      </c>
      <c r="AR98" s="39">
        <f t="shared" si="67"/>
        <v>6.4081466124262914</v>
      </c>
      <c r="AS98" s="37">
        <f t="shared" si="68"/>
        <v>49.503999999999991</v>
      </c>
      <c r="AT98" s="40">
        <f t="shared" si="69"/>
        <v>88.538900756491245</v>
      </c>
    </row>
    <row r="99" spans="17:46" x14ac:dyDescent="0.25">
      <c r="Q99">
        <v>92</v>
      </c>
      <c r="R99" s="39">
        <f t="shared" si="45"/>
        <v>16</v>
      </c>
      <c r="S99" s="37">
        <f t="shared" si="46"/>
        <v>3.1279999999999997</v>
      </c>
      <c r="T99" s="37">
        <f t="shared" si="47"/>
        <v>3.8</v>
      </c>
      <c r="U99" s="40">
        <f t="shared" si="48"/>
        <v>14.633918128654969</v>
      </c>
      <c r="V99" s="39">
        <f t="shared" si="49"/>
        <v>2</v>
      </c>
      <c r="W99" s="37">
        <f t="shared" si="50"/>
        <v>0.76249999999999996</v>
      </c>
      <c r="X99" s="40">
        <f t="shared" si="51"/>
        <v>0.23750000000000004</v>
      </c>
      <c r="Y99" s="39">
        <f t="shared" si="52"/>
        <v>5.0391304347826082</v>
      </c>
      <c r="Z99" s="37">
        <f t="shared" si="71"/>
        <v>17.153483346046272</v>
      </c>
      <c r="AA99" s="37">
        <f t="shared" si="72"/>
        <v>14.706040576049213</v>
      </c>
      <c r="AB99" s="37">
        <v>0</v>
      </c>
      <c r="AC99" s="37">
        <f t="shared" si="53"/>
        <v>1.0813381471220294</v>
      </c>
      <c r="AD99" s="40">
        <f t="shared" si="62"/>
        <v>1.0813381471220294</v>
      </c>
      <c r="AE99" s="39">
        <f t="shared" si="70"/>
        <v>11.158362573099414</v>
      </c>
      <c r="AF99" s="37">
        <f t="shared" si="63"/>
        <v>12.841497865751856</v>
      </c>
      <c r="AG99" s="37">
        <f t="shared" si="54"/>
        <v>0.75855871020610355</v>
      </c>
      <c r="AH99" s="37">
        <f t="shared" si="55"/>
        <v>2.415261803740691</v>
      </c>
      <c r="AI99" s="40">
        <f t="shared" si="64"/>
        <v>3.1738205139467945</v>
      </c>
      <c r="AJ99" s="39">
        <f t="shared" si="65"/>
        <v>3.4755555555555557</v>
      </c>
      <c r="AK99" s="37">
        <f t="shared" si="56"/>
        <v>7.166837656058382</v>
      </c>
      <c r="AL99" s="37">
        <f t="shared" si="57"/>
        <v>1.5014399999999999</v>
      </c>
      <c r="AM99" s="37">
        <f t="shared" si="58"/>
        <v>9.4760000000000011E-2</v>
      </c>
      <c r="AN99" s="40">
        <f t="shared" si="66"/>
        <v>1.5961999999999998</v>
      </c>
      <c r="AO99" s="39">
        <f t="shared" si="59"/>
        <v>0.49471220230832841</v>
      </c>
      <c r="AP99" s="37">
        <f t="shared" si="60"/>
        <v>0.15292125000000001</v>
      </c>
      <c r="AQ99" s="40">
        <f t="shared" si="61"/>
        <v>1.7099999999999999E-3</v>
      </c>
      <c r="AR99" s="39">
        <f t="shared" si="67"/>
        <v>6.5007021133771525</v>
      </c>
      <c r="AS99" s="37">
        <f t="shared" si="68"/>
        <v>50.047999999999995</v>
      </c>
      <c r="AT99" s="40">
        <f t="shared" si="69"/>
        <v>88.504241705948289</v>
      </c>
    </row>
    <row r="100" spans="17:46" x14ac:dyDescent="0.25">
      <c r="Q100">
        <v>93</v>
      </c>
      <c r="R100" s="39">
        <f t="shared" si="45"/>
        <v>16</v>
      </c>
      <c r="S100" s="37">
        <f t="shared" si="46"/>
        <v>3.1619999999999995</v>
      </c>
      <c r="T100" s="37">
        <f t="shared" si="47"/>
        <v>3.8</v>
      </c>
      <c r="U100" s="40">
        <f t="shared" si="48"/>
        <v>14.792982456140349</v>
      </c>
      <c r="V100" s="39">
        <f t="shared" si="49"/>
        <v>2</v>
      </c>
      <c r="W100" s="37">
        <f t="shared" si="50"/>
        <v>0.76249999999999996</v>
      </c>
      <c r="X100" s="40">
        <f t="shared" si="51"/>
        <v>0.23750000000000004</v>
      </c>
      <c r="Y100" s="39">
        <f t="shared" si="52"/>
        <v>5.0391304347826082</v>
      </c>
      <c r="Z100" s="37">
        <f t="shared" si="71"/>
        <v>17.312547673531654</v>
      </c>
      <c r="AA100" s="37">
        <f t="shared" si="72"/>
        <v>14.864333135929964</v>
      </c>
      <c r="AB100" s="37">
        <v>0</v>
      </c>
      <c r="AC100" s="37">
        <f t="shared" si="53"/>
        <v>1.1047419978795276</v>
      </c>
      <c r="AD100" s="40">
        <f t="shared" si="62"/>
        <v>1.1047419978795276</v>
      </c>
      <c r="AE100" s="39">
        <f t="shared" si="70"/>
        <v>11.279649122807015</v>
      </c>
      <c r="AF100" s="37">
        <f t="shared" si="63"/>
        <v>12.979720901337901</v>
      </c>
      <c r="AG100" s="37">
        <f t="shared" si="54"/>
        <v>0.77497651151248859</v>
      </c>
      <c r="AH100" s="37">
        <f t="shared" si="55"/>
        <v>2.4415146494335245</v>
      </c>
      <c r="AI100" s="40">
        <f t="shared" si="64"/>
        <v>3.216491160946013</v>
      </c>
      <c r="AJ100" s="39">
        <f t="shared" si="65"/>
        <v>3.5133333333333336</v>
      </c>
      <c r="AK100" s="37">
        <f t="shared" si="56"/>
        <v>7.2439799074319344</v>
      </c>
      <c r="AL100" s="37">
        <f t="shared" si="57"/>
        <v>1.5177599999999998</v>
      </c>
      <c r="AM100" s="37">
        <f t="shared" si="58"/>
        <v>9.4760000000000011E-2</v>
      </c>
      <c r="AN100" s="40">
        <f t="shared" si="66"/>
        <v>1.6125199999999997</v>
      </c>
      <c r="AO100" s="39">
        <f t="shared" si="59"/>
        <v>0.50541946402988391</v>
      </c>
      <c r="AP100" s="37">
        <f t="shared" si="60"/>
        <v>0.15292125000000001</v>
      </c>
      <c r="AQ100" s="40">
        <f t="shared" si="61"/>
        <v>1.7099999999999999E-3</v>
      </c>
      <c r="AR100" s="39">
        <f t="shared" si="67"/>
        <v>6.5938038728554238</v>
      </c>
      <c r="AS100" s="37">
        <f t="shared" si="68"/>
        <v>50.591999999999992</v>
      </c>
      <c r="AT100" s="40">
        <f t="shared" si="69"/>
        <v>88.469509167842048</v>
      </c>
    </row>
    <row r="101" spans="17:46" x14ac:dyDescent="0.25">
      <c r="Q101">
        <v>94</v>
      </c>
      <c r="R101" s="39">
        <f t="shared" si="45"/>
        <v>16</v>
      </c>
      <c r="S101" s="37">
        <f t="shared" si="46"/>
        <v>3.1959999999999997</v>
      </c>
      <c r="T101" s="37">
        <f t="shared" si="47"/>
        <v>3.8</v>
      </c>
      <c r="U101" s="40">
        <f t="shared" si="48"/>
        <v>14.952046783625731</v>
      </c>
      <c r="V101" s="39">
        <f t="shared" si="49"/>
        <v>2</v>
      </c>
      <c r="W101" s="37">
        <f t="shared" si="50"/>
        <v>0.76249999999999996</v>
      </c>
      <c r="X101" s="40">
        <f t="shared" si="51"/>
        <v>0.23750000000000004</v>
      </c>
      <c r="Y101" s="39">
        <f t="shared" si="52"/>
        <v>5.0391304347826082</v>
      </c>
      <c r="Z101" s="37">
        <f t="shared" si="71"/>
        <v>17.471612001017036</v>
      </c>
      <c r="AA101" s="37">
        <f t="shared" si="72"/>
        <v>15.022641999593878</v>
      </c>
      <c r="AB101" s="37">
        <v>0</v>
      </c>
      <c r="AC101" s="37">
        <f t="shared" si="53"/>
        <v>1.1283988632398099</v>
      </c>
      <c r="AD101" s="40">
        <f t="shared" si="62"/>
        <v>1.1283988632398099</v>
      </c>
      <c r="AE101" s="39">
        <f t="shared" si="70"/>
        <v>11.400935672514619</v>
      </c>
      <c r="AF101" s="37">
        <f t="shared" si="63"/>
        <v>13.117958173590544</v>
      </c>
      <c r="AG101" s="37">
        <f t="shared" si="54"/>
        <v>0.79157180256272652</v>
      </c>
      <c r="AH101" s="37">
        <f t="shared" si="55"/>
        <v>2.467767495126358</v>
      </c>
      <c r="AI101" s="40">
        <f t="shared" si="64"/>
        <v>3.2593392976890847</v>
      </c>
      <c r="AJ101" s="39">
        <f t="shared" si="65"/>
        <v>3.5511111111111116</v>
      </c>
      <c r="AK101" s="37">
        <f t="shared" si="56"/>
        <v>7.3211301042865626</v>
      </c>
      <c r="AL101" s="37">
        <f t="shared" si="57"/>
        <v>1.5340799999999999</v>
      </c>
      <c r="AM101" s="37">
        <f t="shared" si="58"/>
        <v>9.4760000000000011E-2</v>
      </c>
      <c r="AN101" s="40">
        <f t="shared" si="66"/>
        <v>1.6288399999999998</v>
      </c>
      <c r="AO101" s="39">
        <f t="shared" si="59"/>
        <v>0.51624247993221295</v>
      </c>
      <c r="AP101" s="37">
        <f t="shared" si="60"/>
        <v>0.15292125000000001</v>
      </c>
      <c r="AQ101" s="40">
        <f t="shared" si="61"/>
        <v>1.7099999999999999E-3</v>
      </c>
      <c r="AR101" s="39">
        <f t="shared" si="67"/>
        <v>6.6874518908611078</v>
      </c>
      <c r="AS101" s="37">
        <f t="shared" si="68"/>
        <v>51.135999999999996</v>
      </c>
      <c r="AT101" s="40">
        <f t="shared" si="69"/>
        <v>88.434706555597302</v>
      </c>
    </row>
    <row r="102" spans="17:46" x14ac:dyDescent="0.25">
      <c r="Q102">
        <v>95</v>
      </c>
      <c r="R102" s="39">
        <f t="shared" si="45"/>
        <v>16</v>
      </c>
      <c r="S102" s="37">
        <f t="shared" si="46"/>
        <v>3.2299999999999995</v>
      </c>
      <c r="T102" s="37">
        <f t="shared" si="47"/>
        <v>3.8</v>
      </c>
      <c r="U102" s="40">
        <f t="shared" si="48"/>
        <v>15.111111111111109</v>
      </c>
      <c r="V102" s="39">
        <f t="shared" si="49"/>
        <v>2</v>
      </c>
      <c r="W102" s="37">
        <f t="shared" si="50"/>
        <v>0.76249999999999996</v>
      </c>
      <c r="X102" s="40">
        <f t="shared" si="51"/>
        <v>0.23750000000000004</v>
      </c>
      <c r="Y102" s="39">
        <f t="shared" si="52"/>
        <v>5.0391304347826082</v>
      </c>
      <c r="Z102" s="37">
        <f t="shared" si="71"/>
        <v>17.630676328502414</v>
      </c>
      <c r="AA102" s="37">
        <f t="shared" si="72"/>
        <v>15.180966656987788</v>
      </c>
      <c r="AB102" s="37">
        <v>0</v>
      </c>
      <c r="AC102" s="37">
        <f t="shared" si="53"/>
        <v>1.1523087432028749</v>
      </c>
      <c r="AD102" s="40">
        <f t="shared" si="62"/>
        <v>1.1523087432028749</v>
      </c>
      <c r="AE102" s="39">
        <f t="shared" si="70"/>
        <v>11.52222222222222</v>
      </c>
      <c r="AF102" s="37">
        <f t="shared" si="63"/>
        <v>13.256209237125011</v>
      </c>
      <c r="AG102" s="37">
        <f t="shared" si="54"/>
        <v>0.80834458335681691</v>
      </c>
      <c r="AH102" s="37">
        <f t="shared" si="55"/>
        <v>2.4940203408191914</v>
      </c>
      <c r="AI102" s="40">
        <f t="shared" si="64"/>
        <v>3.3023649241760085</v>
      </c>
      <c r="AJ102" s="39">
        <f t="shared" si="65"/>
        <v>3.588888888888889</v>
      </c>
      <c r="AK102" s="37">
        <f t="shared" si="56"/>
        <v>7.3982879980531022</v>
      </c>
      <c r="AL102" s="37">
        <f t="shared" si="57"/>
        <v>1.5503999999999998</v>
      </c>
      <c r="AM102" s="37">
        <f t="shared" si="58"/>
        <v>9.4760000000000011E-2</v>
      </c>
      <c r="AN102" s="40">
        <f t="shared" si="66"/>
        <v>1.6451599999999997</v>
      </c>
      <c r="AO102" s="39">
        <f t="shared" si="59"/>
        <v>0.52718125001531535</v>
      </c>
      <c r="AP102" s="37">
        <f t="shared" si="60"/>
        <v>0.15292125000000001</v>
      </c>
      <c r="AQ102" s="40">
        <f t="shared" si="61"/>
        <v>1.7099999999999999E-3</v>
      </c>
      <c r="AR102" s="39">
        <f t="shared" si="67"/>
        <v>6.7816461673941992</v>
      </c>
      <c r="AS102" s="37">
        <f t="shared" si="68"/>
        <v>51.679999999999993</v>
      </c>
      <c r="AT102" s="40">
        <f t="shared" si="69"/>
        <v>88.399837137708715</v>
      </c>
    </row>
    <row r="103" spans="17:46" x14ac:dyDescent="0.25">
      <c r="Q103">
        <v>96</v>
      </c>
      <c r="R103" s="39">
        <f t="shared" si="45"/>
        <v>16</v>
      </c>
      <c r="S103" s="37">
        <f t="shared" ref="S103:S134" si="73">Q103*$O$12</f>
        <v>3.2639999999999993</v>
      </c>
      <c r="T103" s="37">
        <f t="shared" si="47"/>
        <v>3.8</v>
      </c>
      <c r="U103" s="40">
        <f t="shared" ref="U103:U134" si="74">(R103*S103)/(T103*EFF_est)</f>
        <v>15.270175438596489</v>
      </c>
      <c r="V103" s="39">
        <f t="shared" ref="V103:V134" si="75">IF((S103*R103/T103)&lt;((T103*(1-(T103/R103)))/(2*Lm*Fsw)),1,2)</f>
        <v>2</v>
      </c>
      <c r="W103" s="37">
        <f t="shared" ref="W103:W134" si="76">CHOOSE(V103,SQRT((2*S103*Lm*Fsw*(R103-T103))/((T103)^2)),1-(T103/R103))</f>
        <v>0.76249999999999996</v>
      </c>
      <c r="X103" s="40">
        <f t="shared" ref="X103:X134" si="77">CHOOSE(V103,(Lm*W103*Fsw)/(R103-T103),1-W103)</f>
        <v>0.23750000000000004</v>
      </c>
      <c r="Y103" s="39">
        <f t="shared" ref="Y103:Y134" si="78">(T103*W103)/(Lm*Fsw)</f>
        <v>5.0391304347826082</v>
      </c>
      <c r="Z103" s="37">
        <f t="shared" si="71"/>
        <v>17.789740655987792</v>
      </c>
      <c r="AA103" s="37">
        <f t="shared" si="72"/>
        <v>15.339306619066745</v>
      </c>
      <c r="AB103" s="37">
        <v>0</v>
      </c>
      <c r="AC103" s="37">
        <f t="shared" ref="AC103:AC134" si="79">(AA103^2)*Rdcr</f>
        <v>1.1764716377687243</v>
      </c>
      <c r="AD103" s="40">
        <f t="shared" si="62"/>
        <v>1.1764716377687243</v>
      </c>
      <c r="AE103" s="39">
        <f t="shared" si="70"/>
        <v>11.643508771929822</v>
      </c>
      <c r="AF103" s="37">
        <f t="shared" si="63"/>
        <v>13.394473664901149</v>
      </c>
      <c r="AG103" s="37">
        <f t="shared" ref="AG103:AG134" si="80">(AF103^2)*RDS_on</f>
        <v>0.82529485389475998</v>
      </c>
      <c r="AH103" s="37">
        <f t="shared" ref="AH103:AH134" si="81">((R103*U103)/2)*Fsw*(tr_sw+tf_sw)</f>
        <v>2.5202731865120254</v>
      </c>
      <c r="AI103" s="40">
        <f t="shared" si="64"/>
        <v>3.3455680404067856</v>
      </c>
      <c r="AJ103" s="39">
        <f t="shared" si="65"/>
        <v>3.6266666666666669</v>
      </c>
      <c r="AK103" s="37">
        <f t="shared" ref="AK103:AK134" si="82">CHOOSE(V103,Z103*SQRT(X103/3),SQRT(X103*((Z103^2)+((Y103^2)/3)-(Y103*Z103))))</f>
        <v>7.4754533504005236</v>
      </c>
      <c r="AL103" s="37">
        <f t="shared" ref="AL103:AL134" si="83">S103*Vd_rect</f>
        <v>1.5667199999999997</v>
      </c>
      <c r="AM103" s="37">
        <f t="shared" ref="AM103:AM134" si="84">CHOOSE(V103,(R103+Vd_rect)*Qrr*Fsw,(R103+Vd_rect)*Qrr*Fsw)</f>
        <v>9.4760000000000011E-2</v>
      </c>
      <c r="AN103" s="40">
        <f t="shared" si="66"/>
        <v>1.6614799999999996</v>
      </c>
      <c r="AO103" s="39">
        <f t="shared" ref="AO103:AO134" si="85">(AF103^2)*R_cs</f>
        <v>0.53823577427919134</v>
      </c>
      <c r="AP103" s="37">
        <f t="shared" ref="AP103:AP134" si="86">Qg_tot*Vcc*Fsw</f>
        <v>0.15292125000000001</v>
      </c>
      <c r="AQ103" s="40">
        <f t="shared" ref="AQ103:AQ134" si="87">IQ*T103</f>
        <v>1.7099999999999999E-3</v>
      </c>
      <c r="AR103" s="39">
        <f t="shared" si="67"/>
        <v>6.8763867024547016</v>
      </c>
      <c r="AS103" s="37">
        <f t="shared" si="68"/>
        <v>52.22399999999999</v>
      </c>
      <c r="AT103" s="40">
        <f t="shared" si="69"/>
        <v>88.36490404525712</v>
      </c>
    </row>
    <row r="104" spans="17:46" x14ac:dyDescent="0.25">
      <c r="Q104">
        <v>97</v>
      </c>
      <c r="R104" s="39">
        <f t="shared" si="45"/>
        <v>16</v>
      </c>
      <c r="S104" s="37">
        <f t="shared" si="73"/>
        <v>3.2979999999999996</v>
      </c>
      <c r="T104" s="37">
        <f t="shared" si="47"/>
        <v>3.8</v>
      </c>
      <c r="U104" s="40">
        <f t="shared" si="74"/>
        <v>15.429239766081869</v>
      </c>
      <c r="V104" s="39">
        <f t="shared" si="75"/>
        <v>2</v>
      </c>
      <c r="W104" s="37">
        <f t="shared" si="76"/>
        <v>0.76249999999999996</v>
      </c>
      <c r="X104" s="40">
        <f t="shared" si="77"/>
        <v>0.23750000000000004</v>
      </c>
      <c r="Y104" s="39">
        <f t="shared" si="78"/>
        <v>5.0391304347826082</v>
      </c>
      <c r="Z104" s="37">
        <f t="shared" si="71"/>
        <v>17.948804983473174</v>
      </c>
      <c r="AA104" s="37">
        <f t="shared" si="72"/>
        <v>15.497661416725798</v>
      </c>
      <c r="AB104" s="37">
        <v>0</v>
      </c>
      <c r="AC104" s="37">
        <f t="shared" si="79"/>
        <v>1.2008875469373574</v>
      </c>
      <c r="AD104" s="40">
        <f t="shared" si="62"/>
        <v>1.2008875469373574</v>
      </c>
      <c r="AE104" s="39">
        <f t="shared" si="70"/>
        <v>11.764795321637424</v>
      </c>
      <c r="AF104" s="37">
        <f t="shared" si="63"/>
        <v>13.532751047290681</v>
      </c>
      <c r="AG104" s="37">
        <f t="shared" si="80"/>
        <v>0.84242261417655628</v>
      </c>
      <c r="AH104" s="37">
        <f t="shared" si="81"/>
        <v>2.5465260322048588</v>
      </c>
      <c r="AI104" s="40">
        <f t="shared" si="64"/>
        <v>3.3889486463814151</v>
      </c>
      <c r="AJ104" s="39">
        <f t="shared" si="65"/>
        <v>3.6644444444444444</v>
      </c>
      <c r="AK104" s="37">
        <f t="shared" si="82"/>
        <v>7.5526259327153564</v>
      </c>
      <c r="AL104" s="37">
        <f t="shared" si="83"/>
        <v>1.5830399999999998</v>
      </c>
      <c r="AM104" s="37">
        <f t="shared" si="84"/>
        <v>9.4760000000000011E-2</v>
      </c>
      <c r="AN104" s="40">
        <f t="shared" si="66"/>
        <v>1.6777999999999997</v>
      </c>
      <c r="AO104" s="39">
        <f t="shared" si="85"/>
        <v>0.54940605272384102</v>
      </c>
      <c r="AP104" s="37">
        <f t="shared" si="86"/>
        <v>0.15292125000000001</v>
      </c>
      <c r="AQ104" s="40">
        <f t="shared" si="87"/>
        <v>1.7099999999999999E-3</v>
      </c>
      <c r="AR104" s="39">
        <f t="shared" si="67"/>
        <v>6.9716734960426132</v>
      </c>
      <c r="AS104" s="37">
        <f t="shared" si="68"/>
        <v>52.767999999999994</v>
      </c>
      <c r="AT104" s="40">
        <f t="shared" si="69"/>
        <v>88.329910278963197</v>
      </c>
    </row>
    <row r="105" spans="17:46" x14ac:dyDescent="0.25">
      <c r="Q105">
        <v>98</v>
      </c>
      <c r="R105" s="39">
        <f t="shared" si="45"/>
        <v>16</v>
      </c>
      <c r="S105" s="37">
        <f t="shared" si="73"/>
        <v>3.3319999999999994</v>
      </c>
      <c r="T105" s="37">
        <f t="shared" si="47"/>
        <v>3.8</v>
      </c>
      <c r="U105" s="40">
        <f t="shared" si="74"/>
        <v>15.588304093567249</v>
      </c>
      <c r="V105" s="39">
        <f t="shared" si="75"/>
        <v>2</v>
      </c>
      <c r="W105" s="37">
        <f t="shared" si="76"/>
        <v>0.76249999999999996</v>
      </c>
      <c r="X105" s="40">
        <f t="shared" si="77"/>
        <v>0.23750000000000004</v>
      </c>
      <c r="Y105" s="39">
        <f t="shared" si="78"/>
        <v>5.0391304347826082</v>
      </c>
      <c r="Z105" s="37">
        <f t="shared" si="71"/>
        <v>18.107869310958552</v>
      </c>
      <c r="AA105" s="37">
        <f t="shared" si="72"/>
        <v>15.656030599796194</v>
      </c>
      <c r="AB105" s="37">
        <v>0</v>
      </c>
      <c r="AC105" s="37">
        <f t="shared" si="79"/>
        <v>1.225556470708774</v>
      </c>
      <c r="AD105" s="40">
        <f t="shared" si="62"/>
        <v>1.225556470708774</v>
      </c>
      <c r="AE105" s="39">
        <f t="shared" si="70"/>
        <v>11.886081871345027</v>
      </c>
      <c r="AF105" s="37">
        <f t="shared" si="63"/>
        <v>13.671040991200634</v>
      </c>
      <c r="AG105" s="37">
        <f t="shared" si="80"/>
        <v>0.85972786420220493</v>
      </c>
      <c r="AH105" s="37">
        <f t="shared" si="81"/>
        <v>2.5727788778976923</v>
      </c>
      <c r="AI105" s="40">
        <f t="shared" si="64"/>
        <v>3.4325067420998971</v>
      </c>
      <c r="AJ105" s="39">
        <f t="shared" si="65"/>
        <v>3.7022222222222223</v>
      </c>
      <c r="AK105" s="37">
        <f t="shared" si="82"/>
        <v>7.6298055256124826</v>
      </c>
      <c r="AL105" s="37">
        <f t="shared" si="83"/>
        <v>1.5993599999999997</v>
      </c>
      <c r="AM105" s="37">
        <f t="shared" si="84"/>
        <v>9.4760000000000011E-2</v>
      </c>
      <c r="AN105" s="40">
        <f t="shared" si="66"/>
        <v>1.6941199999999996</v>
      </c>
      <c r="AO105" s="39">
        <f t="shared" si="85"/>
        <v>0.56069208534926407</v>
      </c>
      <c r="AP105" s="37">
        <f t="shared" si="86"/>
        <v>0.15292125000000001</v>
      </c>
      <c r="AQ105" s="40">
        <f t="shared" si="87"/>
        <v>1.7099999999999999E-3</v>
      </c>
      <c r="AR105" s="39">
        <f t="shared" si="67"/>
        <v>7.0675065481579358</v>
      </c>
      <c r="AS105" s="37">
        <f t="shared" si="68"/>
        <v>53.311999999999991</v>
      </c>
      <c r="AT105" s="40">
        <f t="shared" si="69"/>
        <v>88.294858715811159</v>
      </c>
    </row>
    <row r="106" spans="17:46" x14ac:dyDescent="0.25">
      <c r="Q106">
        <v>99</v>
      </c>
      <c r="R106" s="39">
        <f t="shared" si="45"/>
        <v>16</v>
      </c>
      <c r="S106" s="37">
        <f t="shared" si="73"/>
        <v>3.3659999999999997</v>
      </c>
      <c r="T106" s="37">
        <f t="shared" si="47"/>
        <v>3.8</v>
      </c>
      <c r="U106" s="40">
        <f t="shared" si="74"/>
        <v>15.747368421052631</v>
      </c>
      <c r="V106" s="39">
        <f t="shared" si="75"/>
        <v>2</v>
      </c>
      <c r="W106" s="37">
        <f t="shared" si="76"/>
        <v>0.76249999999999996</v>
      </c>
      <c r="X106" s="40">
        <f t="shared" si="77"/>
        <v>0.23750000000000004</v>
      </c>
      <c r="Y106" s="39">
        <f t="shared" si="78"/>
        <v>5.0391304347826082</v>
      </c>
      <c r="Z106" s="37">
        <f t="shared" si="71"/>
        <v>18.266933638443934</v>
      </c>
      <c r="AA106" s="37">
        <f t="shared" si="72"/>
        <v>15.814413736101473</v>
      </c>
      <c r="AB106" s="37">
        <v>0</v>
      </c>
      <c r="AC106" s="37">
        <f t="shared" si="79"/>
        <v>1.2504784090829748</v>
      </c>
      <c r="AD106" s="40">
        <f t="shared" si="62"/>
        <v>1.2504784090829748</v>
      </c>
      <c r="AE106" s="39">
        <f t="shared" si="70"/>
        <v>12.007368421052631</v>
      </c>
      <c r="AF106" s="37">
        <f t="shared" si="63"/>
        <v>13.809343119249144</v>
      </c>
      <c r="AG106" s="37">
        <f t="shared" si="80"/>
        <v>0.87721060397170691</v>
      </c>
      <c r="AH106" s="37">
        <f t="shared" si="81"/>
        <v>2.5990317235905258</v>
      </c>
      <c r="AI106" s="40">
        <f t="shared" si="64"/>
        <v>3.4762423275622325</v>
      </c>
      <c r="AJ106" s="39">
        <f t="shared" si="65"/>
        <v>3.7400000000000007</v>
      </c>
      <c r="AK106" s="37">
        <f t="shared" si="82"/>
        <v>7.7069919184751532</v>
      </c>
      <c r="AL106" s="37">
        <f t="shared" si="83"/>
        <v>1.6156799999999998</v>
      </c>
      <c r="AM106" s="37">
        <f t="shared" si="84"/>
        <v>9.4760000000000011E-2</v>
      </c>
      <c r="AN106" s="40">
        <f t="shared" si="66"/>
        <v>1.7104399999999997</v>
      </c>
      <c r="AO106" s="39">
        <f t="shared" si="85"/>
        <v>0.57209387215546104</v>
      </c>
      <c r="AP106" s="37">
        <f t="shared" si="86"/>
        <v>0.15292125000000001</v>
      </c>
      <c r="AQ106" s="40">
        <f t="shared" si="87"/>
        <v>1.7099999999999999E-3</v>
      </c>
      <c r="AR106" s="39">
        <f t="shared" si="67"/>
        <v>7.1638858588006684</v>
      </c>
      <c r="AS106" s="37">
        <f t="shared" si="68"/>
        <v>53.855999999999995</v>
      </c>
      <c r="AT106" s="40">
        <f t="shared" si="69"/>
        <v>88.259752115273002</v>
      </c>
    </row>
    <row r="107" spans="17:46" x14ac:dyDescent="0.25">
      <c r="Q107">
        <v>100</v>
      </c>
      <c r="R107" s="39">
        <f t="shared" si="45"/>
        <v>16</v>
      </c>
      <c r="S107" s="37">
        <f t="shared" si="73"/>
        <v>3.3999999999999995</v>
      </c>
      <c r="T107" s="37">
        <f t="shared" si="47"/>
        <v>3.8</v>
      </c>
      <c r="U107" s="40">
        <f t="shared" si="74"/>
        <v>15.906432748538009</v>
      </c>
      <c r="V107" s="39">
        <f t="shared" si="75"/>
        <v>2</v>
      </c>
      <c r="W107" s="37">
        <f t="shared" si="76"/>
        <v>0.76249999999999996</v>
      </c>
      <c r="X107" s="40">
        <f t="shared" si="77"/>
        <v>0.23750000000000004</v>
      </c>
      <c r="Y107" s="39">
        <f t="shared" si="78"/>
        <v>5.0391304347826082</v>
      </c>
      <c r="Z107" s="37">
        <f t="shared" si="71"/>
        <v>18.425997965929312</v>
      </c>
      <c r="AA107" s="37">
        <f t="shared" si="72"/>
        <v>15.972810410569323</v>
      </c>
      <c r="AB107" s="37">
        <v>0</v>
      </c>
      <c r="AC107" s="37">
        <f t="shared" si="79"/>
        <v>1.2756533620599588</v>
      </c>
      <c r="AD107" s="40">
        <f t="shared" si="62"/>
        <v>1.2756533620599588</v>
      </c>
      <c r="AE107" s="39">
        <f t="shared" si="70"/>
        <v>12.12865497076023</v>
      </c>
      <c r="AF107" s="37">
        <f t="shared" si="63"/>
        <v>13.947657068989892</v>
      </c>
      <c r="AG107" s="37">
        <f t="shared" si="80"/>
        <v>0.89487083348506102</v>
      </c>
      <c r="AH107" s="37">
        <f t="shared" si="81"/>
        <v>2.6252845692833593</v>
      </c>
      <c r="AI107" s="40">
        <f t="shared" si="64"/>
        <v>3.5201554027684203</v>
      </c>
      <c r="AJ107" s="39">
        <f t="shared" si="65"/>
        <v>3.7777777777777777</v>
      </c>
      <c r="AK107" s="37">
        <f t="shared" si="82"/>
        <v>7.7841849090221427</v>
      </c>
      <c r="AL107" s="37">
        <f t="shared" si="83"/>
        <v>1.6319999999999997</v>
      </c>
      <c r="AM107" s="37">
        <f t="shared" si="84"/>
        <v>9.4760000000000011E-2</v>
      </c>
      <c r="AN107" s="40">
        <f t="shared" si="66"/>
        <v>1.7267599999999996</v>
      </c>
      <c r="AO107" s="39">
        <f t="shared" si="85"/>
        <v>0.58361141314243115</v>
      </c>
      <c r="AP107" s="37">
        <f t="shared" si="86"/>
        <v>0.15292125000000001</v>
      </c>
      <c r="AQ107" s="40">
        <f t="shared" si="87"/>
        <v>1.7099999999999999E-3</v>
      </c>
      <c r="AR107" s="39">
        <f t="shared" si="67"/>
        <v>7.2608114279708103</v>
      </c>
      <c r="AS107" s="37">
        <f t="shared" si="68"/>
        <v>54.399999999999991</v>
      </c>
      <c r="AT107" s="40">
        <f t="shared" si="69"/>
        <v>88.224593125160965</v>
      </c>
    </row>
    <row r="108" spans="17:46" x14ac:dyDescent="0.25">
      <c r="Q108">
        <v>101</v>
      </c>
      <c r="R108" s="39">
        <f t="shared" si="45"/>
        <v>16</v>
      </c>
      <c r="S108" s="37">
        <f t="shared" si="73"/>
        <v>3.4339999999999997</v>
      </c>
      <c r="T108" s="37">
        <f t="shared" si="47"/>
        <v>3.8</v>
      </c>
      <c r="U108" s="40">
        <f t="shared" si="74"/>
        <v>16.065497076023391</v>
      </c>
      <c r="V108" s="39">
        <f t="shared" si="75"/>
        <v>2</v>
      </c>
      <c r="W108" s="37">
        <f t="shared" si="76"/>
        <v>0.76249999999999996</v>
      </c>
      <c r="X108" s="40">
        <f t="shared" si="77"/>
        <v>0.23750000000000004</v>
      </c>
      <c r="Y108" s="39">
        <f t="shared" si="78"/>
        <v>5.0391304347826082</v>
      </c>
      <c r="Z108" s="37">
        <f t="shared" si="71"/>
        <v>18.585062293414694</v>
      </c>
      <c r="AA108" s="37">
        <f t="shared" si="72"/>
        <v>16.13122022439547</v>
      </c>
      <c r="AB108" s="37">
        <v>0</v>
      </c>
      <c r="AC108" s="37">
        <f t="shared" si="79"/>
        <v>1.301081329639727</v>
      </c>
      <c r="AD108" s="40">
        <f t="shared" si="62"/>
        <v>1.301081329639727</v>
      </c>
      <c r="AE108" s="39">
        <f t="shared" si="70"/>
        <v>12.249941520467834</v>
      </c>
      <c r="AF108" s="37">
        <f t="shared" si="63"/>
        <v>14.085982492182021</v>
      </c>
      <c r="AG108" s="37">
        <f t="shared" si="80"/>
        <v>0.9127085527422687</v>
      </c>
      <c r="AH108" s="37">
        <f t="shared" si="81"/>
        <v>2.6515374149761932</v>
      </c>
      <c r="AI108" s="40">
        <f t="shared" si="64"/>
        <v>3.5642459677184619</v>
      </c>
      <c r="AJ108" s="39">
        <f t="shared" si="65"/>
        <v>3.815555555555556</v>
      </c>
      <c r="AK108" s="37">
        <f t="shared" si="82"/>
        <v>7.861384302900289</v>
      </c>
      <c r="AL108" s="37">
        <f t="shared" si="83"/>
        <v>1.6483199999999998</v>
      </c>
      <c r="AM108" s="37">
        <f t="shared" si="84"/>
        <v>9.4760000000000011E-2</v>
      </c>
      <c r="AN108" s="40">
        <f t="shared" si="66"/>
        <v>1.7430799999999997</v>
      </c>
      <c r="AO108" s="39">
        <f t="shared" si="85"/>
        <v>0.59524470831017517</v>
      </c>
      <c r="AP108" s="37">
        <f t="shared" si="86"/>
        <v>0.15292125000000001</v>
      </c>
      <c r="AQ108" s="40">
        <f t="shared" si="87"/>
        <v>1.7099999999999999E-3</v>
      </c>
      <c r="AR108" s="39">
        <f t="shared" si="67"/>
        <v>7.3582832556683639</v>
      </c>
      <c r="AS108" s="37">
        <f t="shared" si="68"/>
        <v>54.943999999999996</v>
      </c>
      <c r="AT108" s="40">
        <f t="shared" si="69"/>
        <v>88.189384287133819</v>
      </c>
    </row>
    <row r="109" spans="17:46" x14ac:dyDescent="0.25">
      <c r="Q109">
        <v>102</v>
      </c>
      <c r="R109" s="39">
        <f t="shared" si="45"/>
        <v>16</v>
      </c>
      <c r="S109" s="37">
        <f t="shared" si="73"/>
        <v>3.4679999999999995</v>
      </c>
      <c r="T109" s="37">
        <f t="shared" si="47"/>
        <v>3.8</v>
      </c>
      <c r="U109" s="40">
        <f t="shared" si="74"/>
        <v>16.224561403508769</v>
      </c>
      <c r="V109" s="39">
        <f t="shared" si="75"/>
        <v>2</v>
      </c>
      <c r="W109" s="37">
        <f t="shared" si="76"/>
        <v>0.76249999999999996</v>
      </c>
      <c r="X109" s="40">
        <f t="shared" si="77"/>
        <v>0.23750000000000004</v>
      </c>
      <c r="Y109" s="39">
        <f t="shared" si="78"/>
        <v>5.0391304347826082</v>
      </c>
      <c r="Z109" s="37">
        <f t="shared" si="71"/>
        <v>18.744126620900072</v>
      </c>
      <c r="AA109" s="37">
        <f t="shared" si="72"/>
        <v>16.289642794255979</v>
      </c>
      <c r="AB109" s="37">
        <v>0</v>
      </c>
      <c r="AC109" s="37">
        <f t="shared" si="79"/>
        <v>1.3267623118222787</v>
      </c>
      <c r="AD109" s="40">
        <f t="shared" si="62"/>
        <v>1.3267623118222787</v>
      </c>
      <c r="AE109" s="39">
        <f t="shared" si="70"/>
        <v>12.371228070175436</v>
      </c>
      <c r="AF109" s="37">
        <f t="shared" si="63"/>
        <v>14.224319054102292</v>
      </c>
      <c r="AG109" s="37">
        <f t="shared" si="80"/>
        <v>0.9307237617433286</v>
      </c>
      <c r="AH109" s="37">
        <f t="shared" si="81"/>
        <v>2.6777902606690267</v>
      </c>
      <c r="AI109" s="40">
        <f t="shared" si="64"/>
        <v>3.6085140224123551</v>
      </c>
      <c r="AJ109" s="39">
        <f t="shared" si="65"/>
        <v>3.8533333333333335</v>
      </c>
      <c r="AK109" s="37">
        <f t="shared" si="82"/>
        <v>7.938589913300615</v>
      </c>
      <c r="AL109" s="37">
        <f t="shared" si="83"/>
        <v>1.6646399999999997</v>
      </c>
      <c r="AM109" s="37">
        <f t="shared" si="84"/>
        <v>9.4760000000000011E-2</v>
      </c>
      <c r="AN109" s="40">
        <f t="shared" si="66"/>
        <v>1.7593999999999996</v>
      </c>
      <c r="AO109" s="39">
        <f t="shared" si="85"/>
        <v>0.60699375765869257</v>
      </c>
      <c r="AP109" s="37">
        <f t="shared" si="86"/>
        <v>0.15292125000000001</v>
      </c>
      <c r="AQ109" s="40">
        <f t="shared" si="87"/>
        <v>1.7099999999999999E-3</v>
      </c>
      <c r="AR109" s="39">
        <f t="shared" si="67"/>
        <v>7.4563013418933268</v>
      </c>
      <c r="AS109" s="37">
        <f t="shared" si="68"/>
        <v>55.487999999999992</v>
      </c>
      <c r="AT109" s="40">
        <f t="shared" si="69"/>
        <v>88.154128041880895</v>
      </c>
    </row>
    <row r="110" spans="17:46" x14ac:dyDescent="0.25">
      <c r="Q110">
        <v>103</v>
      </c>
      <c r="R110" s="39">
        <f t="shared" si="45"/>
        <v>16</v>
      </c>
      <c r="S110" s="37">
        <f t="shared" si="73"/>
        <v>3.5019999999999993</v>
      </c>
      <c r="T110" s="37">
        <f t="shared" si="47"/>
        <v>3.8</v>
      </c>
      <c r="U110" s="40">
        <f t="shared" si="74"/>
        <v>16.383625730994151</v>
      </c>
      <c r="V110" s="39">
        <f t="shared" si="75"/>
        <v>2</v>
      </c>
      <c r="W110" s="37">
        <f t="shared" si="76"/>
        <v>0.76249999999999996</v>
      </c>
      <c r="X110" s="40">
        <f t="shared" si="77"/>
        <v>0.23750000000000004</v>
      </c>
      <c r="Y110" s="39">
        <f t="shared" si="78"/>
        <v>5.0391304347826082</v>
      </c>
      <c r="Z110" s="37">
        <f t="shared" si="71"/>
        <v>18.903190948385454</v>
      </c>
      <c r="AA110" s="37">
        <f t="shared" si="72"/>
        <v>16.44807775156486</v>
      </c>
      <c r="AB110" s="37">
        <v>0</v>
      </c>
      <c r="AC110" s="37">
        <f t="shared" si="79"/>
        <v>1.3526963086076145</v>
      </c>
      <c r="AD110" s="40">
        <f t="shared" si="62"/>
        <v>1.3526963086076145</v>
      </c>
      <c r="AE110" s="39">
        <f t="shared" si="70"/>
        <v>12.492514619883039</v>
      </c>
      <c r="AF110" s="37">
        <f t="shared" si="63"/>
        <v>14.362666432896827</v>
      </c>
      <c r="AG110" s="37">
        <f t="shared" si="80"/>
        <v>0.94891646048824185</v>
      </c>
      <c r="AH110" s="37">
        <f t="shared" si="81"/>
        <v>2.7040431063618602</v>
      </c>
      <c r="AI110" s="40">
        <f t="shared" si="64"/>
        <v>3.652959566850102</v>
      </c>
      <c r="AJ110" s="39">
        <f t="shared" si="65"/>
        <v>3.8911111111111114</v>
      </c>
      <c r="AK110" s="37">
        <f t="shared" si="82"/>
        <v>8.0158015605965272</v>
      </c>
      <c r="AL110" s="37">
        <f t="shared" si="83"/>
        <v>1.6809599999999996</v>
      </c>
      <c r="AM110" s="37">
        <f t="shared" si="84"/>
        <v>9.4760000000000011E-2</v>
      </c>
      <c r="AN110" s="40">
        <f t="shared" si="66"/>
        <v>1.7757199999999995</v>
      </c>
      <c r="AO110" s="39">
        <f t="shared" si="85"/>
        <v>0.61885856118798377</v>
      </c>
      <c r="AP110" s="37">
        <f t="shared" si="86"/>
        <v>0.15292125000000001</v>
      </c>
      <c r="AQ110" s="40">
        <f t="shared" si="87"/>
        <v>1.7099999999999999E-3</v>
      </c>
      <c r="AR110" s="39">
        <f t="shared" si="67"/>
        <v>7.5548656866457007</v>
      </c>
      <c r="AS110" s="37">
        <f t="shared" si="68"/>
        <v>56.031999999999989</v>
      </c>
      <c r="AT110" s="40">
        <f t="shared" si="69"/>
        <v>88.11882673400531</v>
      </c>
    </row>
    <row r="111" spans="17:46" x14ac:dyDescent="0.25">
      <c r="Q111">
        <v>104</v>
      </c>
      <c r="R111" s="39">
        <f t="shared" si="45"/>
        <v>16</v>
      </c>
      <c r="S111" s="37">
        <f t="shared" si="73"/>
        <v>3.5359999999999996</v>
      </c>
      <c r="T111" s="37">
        <f t="shared" si="47"/>
        <v>3.8</v>
      </c>
      <c r="U111" s="40">
        <f t="shared" si="74"/>
        <v>16.542690058479529</v>
      </c>
      <c r="V111" s="39">
        <f t="shared" si="75"/>
        <v>2</v>
      </c>
      <c r="W111" s="37">
        <f t="shared" si="76"/>
        <v>0.76249999999999996</v>
      </c>
      <c r="X111" s="40">
        <f t="shared" si="77"/>
        <v>0.23750000000000004</v>
      </c>
      <c r="Y111" s="39">
        <f t="shared" si="78"/>
        <v>5.0391304347826082</v>
      </c>
      <c r="Z111" s="37">
        <f t="shared" si="71"/>
        <v>19.062255275870832</v>
      </c>
      <c r="AA111" s="37">
        <f t="shared" si="72"/>
        <v>16.606524741773843</v>
      </c>
      <c r="AB111" s="37">
        <v>0</v>
      </c>
      <c r="AC111" s="37">
        <f t="shared" si="79"/>
        <v>1.3788833199957338</v>
      </c>
      <c r="AD111" s="40">
        <f t="shared" si="62"/>
        <v>1.3788833199957338</v>
      </c>
      <c r="AE111" s="39">
        <f t="shared" si="70"/>
        <v>12.613801169590641</v>
      </c>
      <c r="AF111" s="37">
        <f t="shared" si="63"/>
        <v>14.501024318969659</v>
      </c>
      <c r="AG111" s="37">
        <f t="shared" si="80"/>
        <v>0.96728664897700756</v>
      </c>
      <c r="AH111" s="37">
        <f t="shared" si="81"/>
        <v>2.7302959520546937</v>
      </c>
      <c r="AI111" s="40">
        <f t="shared" si="64"/>
        <v>3.6975826010317014</v>
      </c>
      <c r="AJ111" s="39">
        <f t="shared" si="65"/>
        <v>3.9288888888888889</v>
      </c>
      <c r="AK111" s="37">
        <f t="shared" si="82"/>
        <v>8.0930190720025728</v>
      </c>
      <c r="AL111" s="37">
        <f t="shared" si="83"/>
        <v>1.6972799999999997</v>
      </c>
      <c r="AM111" s="37">
        <f t="shared" si="84"/>
        <v>9.4760000000000011E-2</v>
      </c>
      <c r="AN111" s="40">
        <f t="shared" si="66"/>
        <v>1.7920399999999996</v>
      </c>
      <c r="AO111" s="39">
        <f t="shared" si="85"/>
        <v>0.63083911889804845</v>
      </c>
      <c r="AP111" s="37">
        <f t="shared" si="86"/>
        <v>0.15292125000000001</v>
      </c>
      <c r="AQ111" s="40">
        <f t="shared" si="87"/>
        <v>1.7099999999999999E-3</v>
      </c>
      <c r="AR111" s="39">
        <f t="shared" si="67"/>
        <v>7.6539762899254837</v>
      </c>
      <c r="AS111" s="37">
        <f t="shared" si="68"/>
        <v>56.575999999999993</v>
      </c>
      <c r="AT111" s="40">
        <f t="shared" si="69"/>
        <v>88.083482616626767</v>
      </c>
    </row>
    <row r="112" spans="17:46" x14ac:dyDescent="0.25">
      <c r="Q112">
        <v>105</v>
      </c>
      <c r="R112" s="39">
        <f t="shared" si="45"/>
        <v>16</v>
      </c>
      <c r="S112" s="37">
        <f t="shared" si="73"/>
        <v>3.5699999999999994</v>
      </c>
      <c r="T112" s="37">
        <f t="shared" si="47"/>
        <v>3.8</v>
      </c>
      <c r="U112" s="40">
        <f t="shared" si="74"/>
        <v>16.701754385964911</v>
      </c>
      <c r="V112" s="39">
        <f t="shared" si="75"/>
        <v>2</v>
      </c>
      <c r="W112" s="37">
        <f t="shared" si="76"/>
        <v>0.76249999999999996</v>
      </c>
      <c r="X112" s="40">
        <f t="shared" si="77"/>
        <v>0.23750000000000004</v>
      </c>
      <c r="Y112" s="39">
        <f t="shared" si="78"/>
        <v>5.0391304347826082</v>
      </c>
      <c r="Z112" s="37">
        <f t="shared" si="71"/>
        <v>19.221319603356214</v>
      </c>
      <c r="AA112" s="37">
        <f t="shared" si="72"/>
        <v>16.764983423711683</v>
      </c>
      <c r="AB112" s="37">
        <v>0</v>
      </c>
      <c r="AC112" s="37">
        <f t="shared" si="79"/>
        <v>1.4053233459866377</v>
      </c>
      <c r="AD112" s="40">
        <f t="shared" si="62"/>
        <v>1.4053233459866377</v>
      </c>
      <c r="AE112" s="39">
        <f t="shared" si="70"/>
        <v>12.735087719298244</v>
      </c>
      <c r="AF112" s="37">
        <f t="shared" si="63"/>
        <v>14.639392414405803</v>
      </c>
      <c r="AG112" s="37">
        <f t="shared" si="80"/>
        <v>0.98583432720962594</v>
      </c>
      <c r="AH112" s="37">
        <f t="shared" si="81"/>
        <v>2.7565487977475271</v>
      </c>
      <c r="AI112" s="40">
        <f t="shared" si="64"/>
        <v>3.7423831249571533</v>
      </c>
      <c r="AJ112" s="39">
        <f t="shared" si="65"/>
        <v>3.9666666666666672</v>
      </c>
      <c r="AK112" s="37">
        <f t="shared" si="82"/>
        <v>8.1702422812524524</v>
      </c>
      <c r="AL112" s="37">
        <f t="shared" si="83"/>
        <v>1.7135999999999996</v>
      </c>
      <c r="AM112" s="37">
        <f t="shared" si="84"/>
        <v>9.4760000000000011E-2</v>
      </c>
      <c r="AN112" s="40">
        <f t="shared" si="66"/>
        <v>1.8083599999999995</v>
      </c>
      <c r="AO112" s="39">
        <f t="shared" si="85"/>
        <v>0.64293543078888649</v>
      </c>
      <c r="AP112" s="37">
        <f t="shared" si="86"/>
        <v>0.15292125000000001</v>
      </c>
      <c r="AQ112" s="40">
        <f t="shared" si="87"/>
        <v>1.7099999999999999E-3</v>
      </c>
      <c r="AR112" s="39">
        <f t="shared" si="67"/>
        <v>7.7536331517326778</v>
      </c>
      <c r="AS112" s="37">
        <f t="shared" si="68"/>
        <v>57.11999999999999</v>
      </c>
      <c r="AT112" s="40">
        <f t="shared" si="69"/>
        <v>88.048097855722474</v>
      </c>
    </row>
    <row r="113" spans="17:46" x14ac:dyDescent="0.25">
      <c r="Q113">
        <v>106</v>
      </c>
      <c r="R113" s="39">
        <f t="shared" si="45"/>
        <v>16</v>
      </c>
      <c r="S113" s="37">
        <f t="shared" si="73"/>
        <v>3.6039999999999996</v>
      </c>
      <c r="T113" s="37">
        <f t="shared" si="47"/>
        <v>3.8</v>
      </c>
      <c r="U113" s="40">
        <f t="shared" si="74"/>
        <v>16.860818713450293</v>
      </c>
      <c r="V113" s="39">
        <f t="shared" si="75"/>
        <v>2</v>
      </c>
      <c r="W113" s="37">
        <f t="shared" si="76"/>
        <v>0.76249999999999996</v>
      </c>
      <c r="X113" s="40">
        <f t="shared" si="77"/>
        <v>0.23750000000000004</v>
      </c>
      <c r="Y113" s="39">
        <f t="shared" si="78"/>
        <v>5.0391304347826082</v>
      </c>
      <c r="Z113" s="37">
        <f t="shared" si="71"/>
        <v>19.380383930841596</v>
      </c>
      <c r="AA113" s="37">
        <f t="shared" si="72"/>
        <v>16.923453468960314</v>
      </c>
      <c r="AB113" s="37">
        <v>0</v>
      </c>
      <c r="AC113" s="37">
        <f t="shared" si="79"/>
        <v>1.4320163865803244</v>
      </c>
      <c r="AD113" s="40">
        <f t="shared" si="62"/>
        <v>1.4320163865803244</v>
      </c>
      <c r="AE113" s="39">
        <f t="shared" si="70"/>
        <v>12.856374269005848</v>
      </c>
      <c r="AF113" s="37">
        <f t="shared" si="63"/>
        <v>14.777770432426522</v>
      </c>
      <c r="AG113" s="37">
        <f t="shared" si="80"/>
        <v>1.0045594951860979</v>
      </c>
      <c r="AH113" s="37">
        <f t="shared" si="81"/>
        <v>2.7828016434403615</v>
      </c>
      <c r="AI113" s="40">
        <f t="shared" si="64"/>
        <v>3.7873611386264594</v>
      </c>
      <c r="AJ113" s="39">
        <f t="shared" si="65"/>
        <v>4.0044444444444451</v>
      </c>
      <c r="AK113" s="37">
        <f t="shared" si="82"/>
        <v>8.2474710282950046</v>
      </c>
      <c r="AL113" s="37">
        <f t="shared" si="83"/>
        <v>1.7299199999999997</v>
      </c>
      <c r="AM113" s="37">
        <f t="shared" si="84"/>
        <v>9.4760000000000011E-2</v>
      </c>
      <c r="AN113" s="40">
        <f t="shared" si="66"/>
        <v>1.8246799999999996</v>
      </c>
      <c r="AO113" s="39">
        <f t="shared" si="85"/>
        <v>0.65514749686049867</v>
      </c>
      <c r="AP113" s="37">
        <f t="shared" si="86"/>
        <v>0.15292125000000001</v>
      </c>
      <c r="AQ113" s="40">
        <f t="shared" si="87"/>
        <v>1.7099999999999999E-3</v>
      </c>
      <c r="AR113" s="39">
        <f t="shared" si="67"/>
        <v>7.8538362720672827</v>
      </c>
      <c r="AS113" s="37">
        <f t="shared" si="68"/>
        <v>57.663999999999994</v>
      </c>
      <c r="AT113" s="40">
        <f t="shared" si="69"/>
        <v>88.012674534223493</v>
      </c>
    </row>
    <row r="114" spans="17:46" x14ac:dyDescent="0.25">
      <c r="Q114">
        <v>107</v>
      </c>
      <c r="R114" s="39">
        <f t="shared" si="45"/>
        <v>16</v>
      </c>
      <c r="S114" s="37">
        <f t="shared" si="73"/>
        <v>3.6379999999999995</v>
      </c>
      <c r="T114" s="37">
        <f t="shared" si="47"/>
        <v>3.8</v>
      </c>
      <c r="U114" s="40">
        <f t="shared" si="74"/>
        <v>17.019883040935671</v>
      </c>
      <c r="V114" s="39">
        <f t="shared" si="75"/>
        <v>2</v>
      </c>
      <c r="W114" s="37">
        <f t="shared" si="76"/>
        <v>0.76249999999999996</v>
      </c>
      <c r="X114" s="40">
        <f t="shared" si="77"/>
        <v>0.23750000000000004</v>
      </c>
      <c r="Y114" s="39">
        <f t="shared" si="78"/>
        <v>5.0391304347826082</v>
      </c>
      <c r="Z114" s="37">
        <f t="shared" si="71"/>
        <v>19.539448258326974</v>
      </c>
      <c r="AA114" s="37">
        <f t="shared" si="72"/>
        <v>17.081934561265566</v>
      </c>
      <c r="AB114" s="37">
        <v>0</v>
      </c>
      <c r="AC114" s="37">
        <f t="shared" si="79"/>
        <v>1.458962441776795</v>
      </c>
      <c r="AD114" s="40">
        <f t="shared" si="62"/>
        <v>1.458962441776795</v>
      </c>
      <c r="AE114" s="39">
        <f t="shared" si="70"/>
        <v>12.977660818713447</v>
      </c>
      <c r="AF114" s="37">
        <f t="shared" si="63"/>
        <v>14.916158096874719</v>
      </c>
      <c r="AG114" s="37">
        <f t="shared" si="80"/>
        <v>1.0234621529064218</v>
      </c>
      <c r="AH114" s="37">
        <f t="shared" si="81"/>
        <v>2.809054489133195</v>
      </c>
      <c r="AI114" s="40">
        <f t="shared" si="64"/>
        <v>3.8325166420396171</v>
      </c>
      <c r="AJ114" s="39">
        <f t="shared" si="65"/>
        <v>4.0422222222222226</v>
      </c>
      <c r="AK114" s="37">
        <f t="shared" si="82"/>
        <v>8.3247051590070011</v>
      </c>
      <c r="AL114" s="37">
        <f t="shared" si="83"/>
        <v>1.7462399999999996</v>
      </c>
      <c r="AM114" s="37">
        <f t="shared" si="84"/>
        <v>9.4760000000000011E-2</v>
      </c>
      <c r="AN114" s="40">
        <f t="shared" si="66"/>
        <v>1.8409999999999995</v>
      </c>
      <c r="AO114" s="39">
        <f t="shared" si="85"/>
        <v>0.66747531711288377</v>
      </c>
      <c r="AP114" s="37">
        <f t="shared" si="86"/>
        <v>0.15292125000000001</v>
      </c>
      <c r="AQ114" s="40">
        <f t="shared" si="87"/>
        <v>1.7099999999999999E-3</v>
      </c>
      <c r="AR114" s="39">
        <f t="shared" si="67"/>
        <v>7.954585650929296</v>
      </c>
      <c r="AS114" s="37">
        <f t="shared" si="68"/>
        <v>58.207999999999991</v>
      </c>
      <c r="AT114" s="40">
        <f t="shared" si="69"/>
        <v>87.977214655882236</v>
      </c>
    </row>
    <row r="115" spans="17:46" x14ac:dyDescent="0.25">
      <c r="Q115">
        <v>108</v>
      </c>
      <c r="R115" s="39">
        <f t="shared" si="45"/>
        <v>16</v>
      </c>
      <c r="S115" s="37">
        <f t="shared" si="73"/>
        <v>3.6719999999999997</v>
      </c>
      <c r="T115" s="37">
        <f t="shared" si="47"/>
        <v>3.8</v>
      </c>
      <c r="U115" s="40">
        <f t="shared" si="74"/>
        <v>17.178947368421053</v>
      </c>
      <c r="V115" s="39">
        <f t="shared" si="75"/>
        <v>2</v>
      </c>
      <c r="W115" s="37">
        <f t="shared" si="76"/>
        <v>0.76249999999999996</v>
      </c>
      <c r="X115" s="40">
        <f t="shared" si="77"/>
        <v>0.23750000000000004</v>
      </c>
      <c r="Y115" s="39">
        <f t="shared" si="78"/>
        <v>5.0391304347826082</v>
      </c>
      <c r="Z115" s="37">
        <f t="shared" si="71"/>
        <v>19.698512585812356</v>
      </c>
      <c r="AA115" s="37">
        <f t="shared" si="72"/>
        <v>17.240426395980176</v>
      </c>
      <c r="AB115" s="37">
        <v>0</v>
      </c>
      <c r="AC115" s="37">
        <f t="shared" si="79"/>
        <v>1.48616151157605</v>
      </c>
      <c r="AD115" s="40">
        <f t="shared" si="62"/>
        <v>1.48616151157605</v>
      </c>
      <c r="AE115" s="39">
        <f t="shared" si="70"/>
        <v>13.098947368421053</v>
      </c>
      <c r="AF115" s="37">
        <f t="shared" si="63"/>
        <v>15.054555141728617</v>
      </c>
      <c r="AG115" s="37">
        <f t="shared" si="80"/>
        <v>1.0425423003705987</v>
      </c>
      <c r="AH115" s="37">
        <f t="shared" si="81"/>
        <v>2.8353073348260285</v>
      </c>
      <c r="AI115" s="40">
        <f t="shared" si="64"/>
        <v>3.8778496351966272</v>
      </c>
      <c r="AJ115" s="39">
        <f t="shared" si="65"/>
        <v>4.080000000000001</v>
      </c>
      <c r="AK115" s="37">
        <f t="shared" si="82"/>
        <v>8.4019445249217384</v>
      </c>
      <c r="AL115" s="37">
        <f t="shared" si="83"/>
        <v>1.7625599999999999</v>
      </c>
      <c r="AM115" s="37">
        <f t="shared" si="84"/>
        <v>9.4760000000000011E-2</v>
      </c>
      <c r="AN115" s="40">
        <f t="shared" si="66"/>
        <v>1.8573199999999999</v>
      </c>
      <c r="AO115" s="39">
        <f t="shared" si="85"/>
        <v>0.67991889154604257</v>
      </c>
      <c r="AP115" s="37">
        <f t="shared" si="86"/>
        <v>0.15292125000000001</v>
      </c>
      <c r="AQ115" s="40">
        <f t="shared" si="87"/>
        <v>1.7099999999999999E-3</v>
      </c>
      <c r="AR115" s="39">
        <f t="shared" si="67"/>
        <v>8.0558812883187194</v>
      </c>
      <c r="AS115" s="37">
        <f t="shared" si="68"/>
        <v>58.751999999999995</v>
      </c>
      <c r="AT115" s="40">
        <f t="shared" si="69"/>
        <v>87.94172014892608</v>
      </c>
    </row>
    <row r="116" spans="17:46" x14ac:dyDescent="0.25">
      <c r="Q116">
        <v>109</v>
      </c>
      <c r="R116" s="39">
        <f t="shared" si="45"/>
        <v>16</v>
      </c>
      <c r="S116" s="37">
        <f t="shared" si="73"/>
        <v>3.7059999999999995</v>
      </c>
      <c r="T116" s="37">
        <f t="shared" si="47"/>
        <v>3.8</v>
      </c>
      <c r="U116" s="40">
        <f t="shared" si="74"/>
        <v>17.338011695906431</v>
      </c>
      <c r="V116" s="39">
        <f t="shared" si="75"/>
        <v>2</v>
      </c>
      <c r="W116" s="37">
        <f t="shared" si="76"/>
        <v>0.76249999999999996</v>
      </c>
      <c r="X116" s="40">
        <f t="shared" si="77"/>
        <v>0.23750000000000004</v>
      </c>
      <c r="Y116" s="39">
        <f t="shared" si="78"/>
        <v>5.0391304347826082</v>
      </c>
      <c r="Z116" s="37">
        <f t="shared" si="71"/>
        <v>19.857576913297734</v>
      </c>
      <c r="AA116" s="37">
        <f t="shared" si="72"/>
        <v>17.398928679537072</v>
      </c>
      <c r="AB116" s="37">
        <v>0</v>
      </c>
      <c r="AC116" s="37">
        <f t="shared" si="79"/>
        <v>1.5136135959780881</v>
      </c>
      <c r="AD116" s="40">
        <f t="shared" si="62"/>
        <v>1.5136135959780881</v>
      </c>
      <c r="AE116" s="39">
        <f t="shared" si="70"/>
        <v>13.220233918128653</v>
      </c>
      <c r="AF116" s="37">
        <f t="shared" si="63"/>
        <v>15.192961310641792</v>
      </c>
      <c r="AG116" s="37">
        <f t="shared" si="80"/>
        <v>1.0617999375786284</v>
      </c>
      <c r="AH116" s="37">
        <f t="shared" si="81"/>
        <v>2.861560180518862</v>
      </c>
      <c r="AI116" s="40">
        <f t="shared" si="64"/>
        <v>3.9233601180974906</v>
      </c>
      <c r="AJ116" s="39">
        <f t="shared" si="65"/>
        <v>4.1177777777777784</v>
      </c>
      <c r="AK116" s="37">
        <f t="shared" si="82"/>
        <v>8.479188982972321</v>
      </c>
      <c r="AL116" s="37">
        <f t="shared" si="83"/>
        <v>1.7788799999999998</v>
      </c>
      <c r="AM116" s="37">
        <f t="shared" si="84"/>
        <v>9.4760000000000011E-2</v>
      </c>
      <c r="AN116" s="40">
        <f t="shared" si="66"/>
        <v>1.8736399999999998</v>
      </c>
      <c r="AO116" s="39">
        <f t="shared" si="85"/>
        <v>0.69247822015997507</v>
      </c>
      <c r="AP116" s="37">
        <f t="shared" si="86"/>
        <v>0.15292125000000001</v>
      </c>
      <c r="AQ116" s="40">
        <f t="shared" si="87"/>
        <v>1.7099999999999999E-3</v>
      </c>
      <c r="AR116" s="39">
        <f t="shared" si="67"/>
        <v>8.1577231842355538</v>
      </c>
      <c r="AS116" s="37">
        <f t="shared" si="68"/>
        <v>59.295999999999992</v>
      </c>
      <c r="AT116" s="40">
        <f t="shared" si="69"/>
        <v>87.906192869510761</v>
      </c>
    </row>
    <row r="117" spans="17:46" x14ac:dyDescent="0.25">
      <c r="Q117">
        <v>110</v>
      </c>
      <c r="R117" s="39">
        <f t="shared" si="45"/>
        <v>16</v>
      </c>
      <c r="S117" s="37">
        <f t="shared" si="73"/>
        <v>3.7399999999999993</v>
      </c>
      <c r="T117" s="37">
        <f t="shared" si="47"/>
        <v>3.8</v>
      </c>
      <c r="U117" s="40">
        <f t="shared" si="74"/>
        <v>17.497076023391809</v>
      </c>
      <c r="V117" s="39">
        <f t="shared" si="75"/>
        <v>2</v>
      </c>
      <c r="W117" s="37">
        <f t="shared" si="76"/>
        <v>0.76249999999999996</v>
      </c>
      <c r="X117" s="40">
        <f t="shared" si="77"/>
        <v>0.23750000000000004</v>
      </c>
      <c r="Y117" s="39">
        <f t="shared" si="78"/>
        <v>5.0391304347826082</v>
      </c>
      <c r="Z117" s="37">
        <f t="shared" si="71"/>
        <v>20.016641240783112</v>
      </c>
      <c r="AA117" s="37">
        <f t="shared" si="72"/>
        <v>17.557441128951048</v>
      </c>
      <c r="AB117" s="37">
        <v>0</v>
      </c>
      <c r="AC117" s="37">
        <f t="shared" si="79"/>
        <v>1.5413186949829092</v>
      </c>
      <c r="AD117" s="40">
        <f t="shared" si="62"/>
        <v>1.5413186949829092</v>
      </c>
      <c r="AE117" s="39">
        <f t="shared" si="70"/>
        <v>13.341520467836254</v>
      </c>
      <c r="AF117" s="37">
        <f t="shared" si="63"/>
        <v>15.331376356508038</v>
      </c>
      <c r="AG117" s="37">
        <f t="shared" si="80"/>
        <v>1.0812350645305109</v>
      </c>
      <c r="AH117" s="37">
        <f t="shared" si="81"/>
        <v>2.887813026211695</v>
      </c>
      <c r="AI117" s="40">
        <f t="shared" si="64"/>
        <v>3.9690480907422057</v>
      </c>
      <c r="AJ117" s="39">
        <f t="shared" si="65"/>
        <v>4.1555555555555559</v>
      </c>
      <c r="AK117" s="37">
        <f t="shared" si="82"/>
        <v>8.5564383952488203</v>
      </c>
      <c r="AL117" s="37">
        <f t="shared" si="83"/>
        <v>1.7951999999999997</v>
      </c>
      <c r="AM117" s="37">
        <f t="shared" si="84"/>
        <v>9.4760000000000011E-2</v>
      </c>
      <c r="AN117" s="40">
        <f t="shared" si="66"/>
        <v>1.8899599999999996</v>
      </c>
      <c r="AO117" s="39">
        <f t="shared" si="85"/>
        <v>0.70515330295468104</v>
      </c>
      <c r="AP117" s="37">
        <f t="shared" si="86"/>
        <v>0.15292125000000001</v>
      </c>
      <c r="AQ117" s="40">
        <f t="shared" si="87"/>
        <v>1.7099999999999999E-3</v>
      </c>
      <c r="AR117" s="39">
        <f t="shared" si="67"/>
        <v>8.2601113386797955</v>
      </c>
      <c r="AS117" s="37">
        <f t="shared" si="68"/>
        <v>59.839999999999989</v>
      </c>
      <c r="AT117" s="40">
        <f t="shared" si="69"/>
        <v>87.870634604986051</v>
      </c>
    </row>
    <row r="118" spans="17:46" x14ac:dyDescent="0.25">
      <c r="Q118">
        <v>111</v>
      </c>
      <c r="R118" s="39">
        <f t="shared" si="45"/>
        <v>16</v>
      </c>
      <c r="S118" s="37">
        <f t="shared" si="73"/>
        <v>3.7739999999999996</v>
      </c>
      <c r="T118" s="37">
        <f t="shared" si="47"/>
        <v>3.8</v>
      </c>
      <c r="U118" s="40">
        <f t="shared" si="74"/>
        <v>17.656140350877191</v>
      </c>
      <c r="V118" s="39">
        <f t="shared" si="75"/>
        <v>2</v>
      </c>
      <c r="W118" s="37">
        <f t="shared" si="76"/>
        <v>0.76249999999999996</v>
      </c>
      <c r="X118" s="40">
        <f t="shared" si="77"/>
        <v>0.23750000000000004</v>
      </c>
      <c r="Y118" s="39">
        <f t="shared" si="78"/>
        <v>5.0391304347826082</v>
      </c>
      <c r="Z118" s="37">
        <f t="shared" si="71"/>
        <v>20.175705568268494</v>
      </c>
      <c r="AA118" s="37">
        <f t="shared" si="72"/>
        <v>17.715963471347052</v>
      </c>
      <c r="AB118" s="37">
        <v>0</v>
      </c>
      <c r="AC118" s="37">
        <f t="shared" si="79"/>
        <v>1.5692768085905155</v>
      </c>
      <c r="AD118" s="40">
        <f t="shared" si="62"/>
        <v>1.5692768085905155</v>
      </c>
      <c r="AE118" s="39">
        <f t="shared" si="70"/>
        <v>13.462807017543858</v>
      </c>
      <c r="AF118" s="37">
        <f t="shared" si="63"/>
        <v>15.469800041049451</v>
      </c>
      <c r="AG118" s="37">
        <f t="shared" si="80"/>
        <v>1.1008476812262467</v>
      </c>
      <c r="AH118" s="37">
        <f t="shared" si="81"/>
        <v>2.9140658719045294</v>
      </c>
      <c r="AI118" s="40">
        <f t="shared" si="64"/>
        <v>4.0149135531307758</v>
      </c>
      <c r="AJ118" s="39">
        <f t="shared" si="65"/>
        <v>4.1933333333333334</v>
      </c>
      <c r="AK118" s="37">
        <f t="shared" si="82"/>
        <v>8.6336926287683831</v>
      </c>
      <c r="AL118" s="37">
        <f t="shared" si="83"/>
        <v>1.8115199999999998</v>
      </c>
      <c r="AM118" s="37">
        <f t="shared" si="84"/>
        <v>9.4760000000000011E-2</v>
      </c>
      <c r="AN118" s="40">
        <f t="shared" si="66"/>
        <v>1.9062799999999998</v>
      </c>
      <c r="AO118" s="39">
        <f t="shared" si="85"/>
        <v>0.71794413993016082</v>
      </c>
      <c r="AP118" s="37">
        <f t="shared" si="86"/>
        <v>0.15292125000000001</v>
      </c>
      <c r="AQ118" s="40">
        <f t="shared" si="87"/>
        <v>1.7099999999999999E-3</v>
      </c>
      <c r="AR118" s="39">
        <f t="shared" si="67"/>
        <v>8.3630457516514518</v>
      </c>
      <c r="AS118" s="37">
        <f t="shared" si="68"/>
        <v>60.383999999999993</v>
      </c>
      <c r="AT118" s="40">
        <f t="shared" si="69"/>
        <v>87.835047076985774</v>
      </c>
    </row>
    <row r="119" spans="17:46" x14ac:dyDescent="0.25">
      <c r="Q119">
        <v>112</v>
      </c>
      <c r="R119" s="39">
        <f t="shared" si="45"/>
        <v>16</v>
      </c>
      <c r="S119" s="37">
        <f t="shared" si="73"/>
        <v>3.8079999999999994</v>
      </c>
      <c r="T119" s="37">
        <f t="shared" si="47"/>
        <v>3.8</v>
      </c>
      <c r="U119" s="40">
        <f t="shared" si="74"/>
        <v>17.815204678362569</v>
      </c>
      <c r="V119" s="39">
        <f t="shared" si="75"/>
        <v>2</v>
      </c>
      <c r="W119" s="37">
        <f t="shared" si="76"/>
        <v>0.76249999999999996</v>
      </c>
      <c r="X119" s="40">
        <f t="shared" si="77"/>
        <v>0.23750000000000004</v>
      </c>
      <c r="Y119" s="39">
        <f t="shared" si="78"/>
        <v>5.0391304347826082</v>
      </c>
      <c r="Z119" s="37">
        <f t="shared" si="71"/>
        <v>20.334769895753873</v>
      </c>
      <c r="AA119" s="37">
        <f t="shared" si="72"/>
        <v>17.874495443513389</v>
      </c>
      <c r="AB119" s="37">
        <v>0</v>
      </c>
      <c r="AC119" s="37">
        <f t="shared" si="79"/>
        <v>1.5974879368009045</v>
      </c>
      <c r="AD119" s="40">
        <f t="shared" si="62"/>
        <v>1.5974879368009045</v>
      </c>
      <c r="AE119" s="39">
        <f t="shared" si="70"/>
        <v>13.584093567251458</v>
      </c>
      <c r="AF119" s="37">
        <f t="shared" si="63"/>
        <v>15.608232134426306</v>
      </c>
      <c r="AG119" s="37">
        <f t="shared" si="80"/>
        <v>1.1206377876658347</v>
      </c>
      <c r="AH119" s="37">
        <f t="shared" si="81"/>
        <v>2.9403187175973624</v>
      </c>
      <c r="AI119" s="40">
        <f t="shared" si="64"/>
        <v>4.0609565052631975</v>
      </c>
      <c r="AJ119" s="39">
        <f t="shared" si="65"/>
        <v>4.2311111111111108</v>
      </c>
      <c r="AK119" s="37">
        <f t="shared" si="82"/>
        <v>8.7109515552574965</v>
      </c>
      <c r="AL119" s="37">
        <f t="shared" si="83"/>
        <v>1.8278399999999997</v>
      </c>
      <c r="AM119" s="37">
        <f t="shared" si="84"/>
        <v>9.4760000000000011E-2</v>
      </c>
      <c r="AN119" s="40">
        <f t="shared" si="66"/>
        <v>1.9225999999999996</v>
      </c>
      <c r="AO119" s="39">
        <f t="shared" si="85"/>
        <v>0.73085073108641385</v>
      </c>
      <c r="AP119" s="37">
        <f t="shared" si="86"/>
        <v>0.15292125000000001</v>
      </c>
      <c r="AQ119" s="40">
        <f t="shared" si="87"/>
        <v>1.7099999999999999E-3</v>
      </c>
      <c r="AR119" s="39">
        <f t="shared" si="67"/>
        <v>8.4665264231505155</v>
      </c>
      <c r="AS119" s="37">
        <f t="shared" si="68"/>
        <v>60.92799999999999</v>
      </c>
      <c r="AT119" s="40">
        <f t="shared" si="69"/>
        <v>87.799431944352861</v>
      </c>
    </row>
    <row r="120" spans="17:46" x14ac:dyDescent="0.25">
      <c r="Q120">
        <v>113</v>
      </c>
      <c r="R120" s="39">
        <f t="shared" si="45"/>
        <v>16</v>
      </c>
      <c r="S120" s="37">
        <f t="shared" si="73"/>
        <v>3.8419999999999996</v>
      </c>
      <c r="T120" s="37">
        <f t="shared" si="47"/>
        <v>3.8</v>
      </c>
      <c r="U120" s="40">
        <f t="shared" si="74"/>
        <v>17.974269005847951</v>
      </c>
      <c r="V120" s="39">
        <f t="shared" si="75"/>
        <v>2</v>
      </c>
      <c r="W120" s="37">
        <f t="shared" si="76"/>
        <v>0.76249999999999996</v>
      </c>
      <c r="X120" s="40">
        <f t="shared" si="77"/>
        <v>0.23750000000000004</v>
      </c>
      <c r="Y120" s="39">
        <f t="shared" si="78"/>
        <v>5.0391304347826082</v>
      </c>
      <c r="Z120" s="37">
        <f t="shared" si="71"/>
        <v>20.493834223239254</v>
      </c>
      <c r="AA120" s="37">
        <f t="shared" si="72"/>
        <v>18.033036791478459</v>
      </c>
      <c r="AB120" s="37">
        <v>0</v>
      </c>
      <c r="AC120" s="37">
        <f t="shared" si="79"/>
        <v>1.6259520796140785</v>
      </c>
      <c r="AD120" s="40">
        <f t="shared" si="62"/>
        <v>1.6259520796140785</v>
      </c>
      <c r="AE120" s="39">
        <f t="shared" si="70"/>
        <v>13.705380116959063</v>
      </c>
      <c r="AF120" s="37">
        <f t="shared" si="63"/>
        <v>15.746672414867431</v>
      </c>
      <c r="AG120" s="37">
        <f t="shared" si="80"/>
        <v>1.1406053838492758</v>
      </c>
      <c r="AH120" s="37">
        <f t="shared" si="81"/>
        <v>2.9665715632901963</v>
      </c>
      <c r="AI120" s="40">
        <f t="shared" si="64"/>
        <v>4.1071769471394717</v>
      </c>
      <c r="AJ120" s="39">
        <f t="shared" si="65"/>
        <v>4.2688888888888892</v>
      </c>
      <c r="AK120" s="37">
        <f t="shared" si="82"/>
        <v>8.7882150509457109</v>
      </c>
      <c r="AL120" s="37">
        <f t="shared" si="83"/>
        <v>1.8441599999999998</v>
      </c>
      <c r="AM120" s="37">
        <f t="shared" si="84"/>
        <v>9.4760000000000011E-2</v>
      </c>
      <c r="AN120" s="40">
        <f t="shared" si="66"/>
        <v>1.9389199999999998</v>
      </c>
      <c r="AO120" s="39">
        <f t="shared" si="85"/>
        <v>0.74387307642344069</v>
      </c>
      <c r="AP120" s="37">
        <f t="shared" si="86"/>
        <v>0.15292125000000001</v>
      </c>
      <c r="AQ120" s="40">
        <f t="shared" si="87"/>
        <v>1.7099999999999999E-3</v>
      </c>
      <c r="AR120" s="39">
        <f t="shared" si="67"/>
        <v>8.5705533531769902</v>
      </c>
      <c r="AS120" s="37">
        <f t="shared" si="68"/>
        <v>61.471999999999994</v>
      </c>
      <c r="AT120" s="40">
        <f t="shared" si="69"/>
        <v>87.763790805909778</v>
      </c>
    </row>
    <row r="121" spans="17:46" x14ac:dyDescent="0.25">
      <c r="Q121">
        <v>114</v>
      </c>
      <c r="R121" s="39">
        <f t="shared" si="45"/>
        <v>16</v>
      </c>
      <c r="S121" s="37">
        <f t="shared" si="73"/>
        <v>3.8759999999999994</v>
      </c>
      <c r="T121" s="37">
        <f t="shared" si="47"/>
        <v>3.8</v>
      </c>
      <c r="U121" s="40">
        <f t="shared" si="74"/>
        <v>18.133333333333333</v>
      </c>
      <c r="V121" s="39">
        <f t="shared" si="75"/>
        <v>2</v>
      </c>
      <c r="W121" s="37">
        <f t="shared" si="76"/>
        <v>0.76249999999999996</v>
      </c>
      <c r="X121" s="40">
        <f t="shared" si="77"/>
        <v>0.23750000000000004</v>
      </c>
      <c r="Y121" s="39">
        <f t="shared" si="78"/>
        <v>5.0391304347826082</v>
      </c>
      <c r="Z121" s="37">
        <f t="shared" si="71"/>
        <v>20.652898550724636</v>
      </c>
      <c r="AA121" s="37">
        <f t="shared" si="72"/>
        <v>18.191587270109419</v>
      </c>
      <c r="AB121" s="37">
        <v>0</v>
      </c>
      <c r="AC121" s="37">
        <f t="shared" si="79"/>
        <v>1.6546692370300355</v>
      </c>
      <c r="AD121" s="40">
        <f t="shared" si="62"/>
        <v>1.6546692370300355</v>
      </c>
      <c r="AE121" s="39">
        <f t="shared" si="70"/>
        <v>13.826666666666666</v>
      </c>
      <c r="AF121" s="37">
        <f t="shared" si="63"/>
        <v>15.885120668319784</v>
      </c>
      <c r="AG121" s="37">
        <f t="shared" si="80"/>
        <v>1.1607504697765698</v>
      </c>
      <c r="AH121" s="37">
        <f t="shared" si="81"/>
        <v>2.9928244089830303</v>
      </c>
      <c r="AI121" s="40">
        <f t="shared" si="64"/>
        <v>4.1535748787596001</v>
      </c>
      <c r="AJ121" s="39">
        <f t="shared" si="65"/>
        <v>4.3066666666666675</v>
      </c>
      <c r="AK121" s="37">
        <f t="shared" si="82"/>
        <v>8.8654829963700621</v>
      </c>
      <c r="AL121" s="37">
        <f t="shared" si="83"/>
        <v>1.8604799999999997</v>
      </c>
      <c r="AM121" s="37">
        <f t="shared" si="84"/>
        <v>9.4760000000000011E-2</v>
      </c>
      <c r="AN121" s="40">
        <f t="shared" si="66"/>
        <v>1.9552399999999996</v>
      </c>
      <c r="AO121" s="39">
        <f t="shared" si="85"/>
        <v>0.75701117594124123</v>
      </c>
      <c r="AP121" s="37">
        <f t="shared" si="86"/>
        <v>0.15292125000000001</v>
      </c>
      <c r="AQ121" s="40">
        <f t="shared" si="87"/>
        <v>1.7099999999999999E-3</v>
      </c>
      <c r="AR121" s="39">
        <f t="shared" si="67"/>
        <v>8.6751265417308758</v>
      </c>
      <c r="AS121" s="37">
        <f t="shared" si="68"/>
        <v>62.015999999999991</v>
      </c>
      <c r="AT121" s="40">
        <f t="shared" si="69"/>
        <v>87.728125203083707</v>
      </c>
    </row>
    <row r="122" spans="17:46" x14ac:dyDescent="0.25">
      <c r="Q122">
        <v>115</v>
      </c>
      <c r="R122" s="39">
        <f t="shared" si="45"/>
        <v>16</v>
      </c>
      <c r="S122" s="37">
        <f t="shared" si="73"/>
        <v>3.9099999999999997</v>
      </c>
      <c r="T122" s="37">
        <f t="shared" si="47"/>
        <v>3.8</v>
      </c>
      <c r="U122" s="40">
        <f t="shared" si="74"/>
        <v>18.292397660818711</v>
      </c>
      <c r="V122" s="39">
        <f t="shared" si="75"/>
        <v>2</v>
      </c>
      <c r="W122" s="37">
        <f t="shared" si="76"/>
        <v>0.76249999999999996</v>
      </c>
      <c r="X122" s="40">
        <f t="shared" si="77"/>
        <v>0.23750000000000004</v>
      </c>
      <c r="Y122" s="39">
        <f t="shared" si="78"/>
        <v>5.0391304347826082</v>
      </c>
      <c r="Z122" s="37">
        <f t="shared" si="71"/>
        <v>20.811962878210014</v>
      </c>
      <c r="AA122" s="37">
        <f t="shared" si="72"/>
        <v>18.350146642731637</v>
      </c>
      <c r="AB122" s="37">
        <v>0</v>
      </c>
      <c r="AC122" s="37">
        <f t="shared" si="79"/>
        <v>1.6836394090487758</v>
      </c>
      <c r="AD122" s="40">
        <f t="shared" si="62"/>
        <v>1.6836394090487758</v>
      </c>
      <c r="AE122" s="39">
        <f t="shared" si="70"/>
        <v>13.947953216374266</v>
      </c>
      <c r="AF122" s="37">
        <f t="shared" si="63"/>
        <v>16.023576688116119</v>
      </c>
      <c r="AG122" s="37">
        <f t="shared" si="80"/>
        <v>1.1810730454477163</v>
      </c>
      <c r="AH122" s="37">
        <f t="shared" si="81"/>
        <v>3.0190772546758637</v>
      </c>
      <c r="AI122" s="40">
        <f t="shared" si="64"/>
        <v>4.20015030012358</v>
      </c>
      <c r="AJ122" s="39">
        <f t="shared" si="65"/>
        <v>4.344444444444445</v>
      </c>
      <c r="AK122" s="37">
        <f t="shared" si="82"/>
        <v>8.9427552761895974</v>
      </c>
      <c r="AL122" s="37">
        <f t="shared" si="83"/>
        <v>1.8767999999999998</v>
      </c>
      <c r="AM122" s="37">
        <f t="shared" si="84"/>
        <v>9.4760000000000011E-2</v>
      </c>
      <c r="AN122" s="40">
        <f t="shared" si="66"/>
        <v>1.9715599999999998</v>
      </c>
      <c r="AO122" s="39">
        <f t="shared" si="85"/>
        <v>0.77026502963981491</v>
      </c>
      <c r="AP122" s="37">
        <f t="shared" si="86"/>
        <v>0.15292125000000001</v>
      </c>
      <c r="AQ122" s="40">
        <f t="shared" si="87"/>
        <v>1.7099999999999999E-3</v>
      </c>
      <c r="AR122" s="39">
        <f t="shared" si="67"/>
        <v>8.7802459888121707</v>
      </c>
      <c r="AS122" s="37">
        <f t="shared" si="68"/>
        <v>62.559999999999995</v>
      </c>
      <c r="AT122" s="40">
        <f t="shared" si="69"/>
        <v>87.692436622395263</v>
      </c>
    </row>
    <row r="123" spans="17:46" x14ac:dyDescent="0.25">
      <c r="Q123">
        <v>116</v>
      </c>
      <c r="R123" s="39">
        <f t="shared" si="45"/>
        <v>16</v>
      </c>
      <c r="S123" s="37">
        <f t="shared" si="73"/>
        <v>3.9439999999999995</v>
      </c>
      <c r="T123" s="37">
        <f t="shared" si="47"/>
        <v>3.8</v>
      </c>
      <c r="U123" s="40">
        <f t="shared" si="74"/>
        <v>18.451461988304093</v>
      </c>
      <c r="V123" s="39">
        <f t="shared" si="75"/>
        <v>2</v>
      </c>
      <c r="W123" s="37">
        <f t="shared" si="76"/>
        <v>0.76249999999999996</v>
      </c>
      <c r="X123" s="40">
        <f t="shared" si="77"/>
        <v>0.23750000000000004</v>
      </c>
      <c r="Y123" s="39">
        <f t="shared" si="78"/>
        <v>5.0391304347826082</v>
      </c>
      <c r="Z123" s="37">
        <f t="shared" si="71"/>
        <v>20.971027205695396</v>
      </c>
      <c r="AA123" s="37">
        <f t="shared" si="72"/>
        <v>18.50871468076755</v>
      </c>
      <c r="AB123" s="37">
        <v>0</v>
      </c>
      <c r="AC123" s="37">
        <f t="shared" si="79"/>
        <v>1.7128625956703014</v>
      </c>
      <c r="AD123" s="40">
        <f t="shared" si="62"/>
        <v>1.7128625956703014</v>
      </c>
      <c r="AE123" s="39">
        <f t="shared" si="70"/>
        <v>14.06923976608187</v>
      </c>
      <c r="AF123" s="37">
        <f t="shared" si="63"/>
        <v>16.162040274659656</v>
      </c>
      <c r="AG123" s="37">
        <f t="shared" si="80"/>
        <v>1.2015731108627155</v>
      </c>
      <c r="AH123" s="37">
        <f t="shared" si="81"/>
        <v>3.0453301003686972</v>
      </c>
      <c r="AI123" s="40">
        <f t="shared" si="64"/>
        <v>4.2469032112314125</v>
      </c>
      <c r="AJ123" s="39">
        <f t="shared" si="65"/>
        <v>4.3822222222222225</v>
      </c>
      <c r="AK123" s="37">
        <f t="shared" si="82"/>
        <v>9.0200317790093898</v>
      </c>
      <c r="AL123" s="37">
        <f t="shared" si="83"/>
        <v>1.8931199999999997</v>
      </c>
      <c r="AM123" s="37">
        <f t="shared" si="84"/>
        <v>9.4760000000000011E-2</v>
      </c>
      <c r="AN123" s="40">
        <f t="shared" si="66"/>
        <v>1.9878799999999996</v>
      </c>
      <c r="AO123" s="39">
        <f t="shared" si="85"/>
        <v>0.78363463751916229</v>
      </c>
      <c r="AP123" s="37">
        <f t="shared" si="86"/>
        <v>0.15292125000000001</v>
      </c>
      <c r="AQ123" s="40">
        <f t="shared" si="87"/>
        <v>1.7099999999999999E-3</v>
      </c>
      <c r="AR123" s="39">
        <f t="shared" si="67"/>
        <v>8.8859116944208747</v>
      </c>
      <c r="AS123" s="37">
        <f t="shared" si="68"/>
        <v>63.103999999999992</v>
      </c>
      <c r="AT123" s="40">
        <f t="shared" si="69"/>
        <v>87.656726497819108</v>
      </c>
    </row>
    <row r="124" spans="17:46" x14ac:dyDescent="0.25">
      <c r="Q124">
        <v>117</v>
      </c>
      <c r="R124" s="39">
        <f t="shared" si="45"/>
        <v>16</v>
      </c>
      <c r="S124" s="37">
        <f t="shared" si="73"/>
        <v>3.9779999999999993</v>
      </c>
      <c r="T124" s="37">
        <f t="shared" si="47"/>
        <v>3.8</v>
      </c>
      <c r="U124" s="40">
        <f t="shared" si="74"/>
        <v>18.610526315789471</v>
      </c>
      <c r="V124" s="39">
        <f t="shared" si="75"/>
        <v>2</v>
      </c>
      <c r="W124" s="37">
        <f t="shared" si="76"/>
        <v>0.76249999999999996</v>
      </c>
      <c r="X124" s="40">
        <f t="shared" si="77"/>
        <v>0.23750000000000004</v>
      </c>
      <c r="Y124" s="39">
        <f t="shared" si="78"/>
        <v>5.0391304347826082</v>
      </c>
      <c r="Z124" s="37">
        <f t="shared" si="71"/>
        <v>21.130091533180774</v>
      </c>
      <c r="AA124" s="37">
        <f t="shared" si="72"/>
        <v>18.667291163393841</v>
      </c>
      <c r="AB124" s="37">
        <v>0</v>
      </c>
      <c r="AC124" s="37">
        <f t="shared" si="79"/>
        <v>1.7423387968946091</v>
      </c>
      <c r="AD124" s="40">
        <f t="shared" si="62"/>
        <v>1.7423387968946091</v>
      </c>
      <c r="AE124" s="39">
        <f t="shared" si="70"/>
        <v>14.190526315789471</v>
      </c>
      <c r="AF124" s="37">
        <f t="shared" si="63"/>
        <v>16.300511235124738</v>
      </c>
      <c r="AG124" s="37">
        <f t="shared" si="80"/>
        <v>1.2222506660215677</v>
      </c>
      <c r="AH124" s="37">
        <f t="shared" si="81"/>
        <v>3.0715829460615307</v>
      </c>
      <c r="AI124" s="40">
        <f t="shared" si="64"/>
        <v>4.2938336120830982</v>
      </c>
      <c r="AJ124" s="39">
        <f t="shared" si="65"/>
        <v>4.42</v>
      </c>
      <c r="AK124" s="37">
        <f t="shared" si="82"/>
        <v>9.0973123972134715</v>
      </c>
      <c r="AL124" s="37">
        <f t="shared" si="83"/>
        <v>1.9094399999999996</v>
      </c>
      <c r="AM124" s="37">
        <f t="shared" si="84"/>
        <v>9.4760000000000011E-2</v>
      </c>
      <c r="AN124" s="40">
        <f t="shared" si="66"/>
        <v>2.0041999999999995</v>
      </c>
      <c r="AO124" s="39">
        <f t="shared" si="85"/>
        <v>0.79711999957928337</v>
      </c>
      <c r="AP124" s="37">
        <f t="shared" si="86"/>
        <v>0.15292125000000001</v>
      </c>
      <c r="AQ124" s="40">
        <f t="shared" si="87"/>
        <v>1.7099999999999999E-3</v>
      </c>
      <c r="AR124" s="39">
        <f t="shared" si="67"/>
        <v>8.9921236585569897</v>
      </c>
      <c r="AS124" s="37">
        <f t="shared" si="68"/>
        <v>63.647999999999989</v>
      </c>
      <c r="AT124" s="40">
        <f t="shared" si="69"/>
        <v>87.620996213023773</v>
      </c>
    </row>
    <row r="125" spans="17:46" x14ac:dyDescent="0.25">
      <c r="Q125">
        <v>118</v>
      </c>
      <c r="R125" s="39">
        <f t="shared" si="45"/>
        <v>16</v>
      </c>
      <c r="S125" s="37">
        <f t="shared" si="73"/>
        <v>4.0119999999999996</v>
      </c>
      <c r="T125" s="37">
        <f t="shared" si="47"/>
        <v>3.8</v>
      </c>
      <c r="U125" s="40">
        <f t="shared" si="74"/>
        <v>18.769590643274853</v>
      </c>
      <c r="V125" s="39">
        <f t="shared" si="75"/>
        <v>2</v>
      </c>
      <c r="W125" s="37">
        <f t="shared" si="76"/>
        <v>0.76249999999999996</v>
      </c>
      <c r="X125" s="40">
        <f t="shared" si="77"/>
        <v>0.23750000000000004</v>
      </c>
      <c r="Y125" s="39">
        <f t="shared" si="78"/>
        <v>5.0391304347826082</v>
      </c>
      <c r="Z125" s="37">
        <f t="shared" si="71"/>
        <v>21.289155860666156</v>
      </c>
      <c r="AA125" s="37">
        <f t="shared" si="72"/>
        <v>18.825875877215921</v>
      </c>
      <c r="AB125" s="37">
        <v>0</v>
      </c>
      <c r="AC125" s="37">
        <f t="shared" si="79"/>
        <v>1.7720680127217017</v>
      </c>
      <c r="AD125" s="40">
        <f t="shared" si="62"/>
        <v>1.7720680127217017</v>
      </c>
      <c r="AE125" s="39">
        <f t="shared" si="70"/>
        <v>14.311812865497075</v>
      </c>
      <c r="AF125" s="37">
        <f t="shared" si="63"/>
        <v>16.438989383172537</v>
      </c>
      <c r="AG125" s="37">
        <f t="shared" si="80"/>
        <v>1.2431057109242731</v>
      </c>
      <c r="AH125" s="37">
        <f t="shared" si="81"/>
        <v>3.0978357917543642</v>
      </c>
      <c r="AI125" s="40">
        <f t="shared" si="64"/>
        <v>4.3409415026786373</v>
      </c>
      <c r="AJ125" s="39">
        <f t="shared" si="65"/>
        <v>4.4577777777777783</v>
      </c>
      <c r="AK125" s="37">
        <f t="shared" si="82"/>
        <v>9.1745970268061807</v>
      </c>
      <c r="AL125" s="37">
        <f t="shared" si="83"/>
        <v>1.9257599999999997</v>
      </c>
      <c r="AM125" s="37">
        <f t="shared" si="84"/>
        <v>9.4760000000000011E-2</v>
      </c>
      <c r="AN125" s="40">
        <f t="shared" si="66"/>
        <v>2.0205199999999999</v>
      </c>
      <c r="AO125" s="39">
        <f t="shared" si="85"/>
        <v>0.81072111582017814</v>
      </c>
      <c r="AP125" s="37">
        <f t="shared" si="86"/>
        <v>0.15292125000000001</v>
      </c>
      <c r="AQ125" s="40">
        <f t="shared" si="87"/>
        <v>1.7099999999999999E-3</v>
      </c>
      <c r="AR125" s="39">
        <f t="shared" si="67"/>
        <v>9.0988818812205157</v>
      </c>
      <c r="AS125" s="37">
        <f t="shared" si="68"/>
        <v>64.191999999999993</v>
      </c>
      <c r="AT125" s="40">
        <f t="shared" si="69"/>
        <v>87.585247103498219</v>
      </c>
    </row>
    <row r="126" spans="17:46" x14ac:dyDescent="0.25">
      <c r="Q126">
        <v>119</v>
      </c>
      <c r="R126" s="39">
        <f t="shared" si="45"/>
        <v>16</v>
      </c>
      <c r="S126" s="37">
        <f t="shared" si="73"/>
        <v>4.0459999999999994</v>
      </c>
      <c r="T126" s="37">
        <f t="shared" si="47"/>
        <v>3.8</v>
      </c>
      <c r="U126" s="40">
        <f t="shared" si="74"/>
        <v>18.928654970760231</v>
      </c>
      <c r="V126" s="39">
        <f t="shared" si="75"/>
        <v>2</v>
      </c>
      <c r="W126" s="37">
        <f t="shared" si="76"/>
        <v>0.76249999999999996</v>
      </c>
      <c r="X126" s="40">
        <f t="shared" si="77"/>
        <v>0.23750000000000004</v>
      </c>
      <c r="Y126" s="39">
        <f t="shared" si="78"/>
        <v>5.0391304347826082</v>
      </c>
      <c r="Z126" s="37">
        <f t="shared" si="71"/>
        <v>21.448220188151534</v>
      </c>
      <c r="AA126" s="37">
        <f t="shared" si="72"/>
        <v>18.984468615958555</v>
      </c>
      <c r="AB126" s="37">
        <v>0</v>
      </c>
      <c r="AC126" s="37">
        <f t="shared" si="79"/>
        <v>1.8020502431515766</v>
      </c>
      <c r="AD126" s="40">
        <f t="shared" si="62"/>
        <v>1.8020502431515766</v>
      </c>
      <c r="AE126" s="39">
        <f t="shared" si="70"/>
        <v>14.433099415204676</v>
      </c>
      <c r="AF126" s="37">
        <f t="shared" si="63"/>
        <v>16.577474538680956</v>
      </c>
      <c r="AG126" s="37">
        <f t="shared" si="80"/>
        <v>1.2641382455708308</v>
      </c>
      <c r="AH126" s="37">
        <f t="shared" si="81"/>
        <v>3.1240886374471981</v>
      </c>
      <c r="AI126" s="40">
        <f t="shared" si="64"/>
        <v>4.3882268830180289</v>
      </c>
      <c r="AJ126" s="39">
        <f t="shared" si="65"/>
        <v>4.4955555555555557</v>
      </c>
      <c r="AK126" s="37">
        <f t="shared" si="82"/>
        <v>9.2518855672614073</v>
      </c>
      <c r="AL126" s="37">
        <f t="shared" si="83"/>
        <v>1.9420799999999996</v>
      </c>
      <c r="AM126" s="37">
        <f t="shared" si="84"/>
        <v>9.4760000000000011E-2</v>
      </c>
      <c r="AN126" s="40">
        <f t="shared" si="66"/>
        <v>2.0368399999999998</v>
      </c>
      <c r="AO126" s="39">
        <f t="shared" si="85"/>
        <v>0.82443798624184617</v>
      </c>
      <c r="AP126" s="37">
        <f t="shared" si="86"/>
        <v>0.15292125000000001</v>
      </c>
      <c r="AQ126" s="40">
        <f t="shared" si="87"/>
        <v>1.7099999999999999E-3</v>
      </c>
      <c r="AR126" s="39">
        <f t="shared" si="67"/>
        <v>9.2061863624114508</v>
      </c>
      <c r="AS126" s="37">
        <f t="shared" si="68"/>
        <v>64.73599999999999</v>
      </c>
      <c r="AT126" s="40">
        <f t="shared" si="69"/>
        <v>87.549480458571594</v>
      </c>
    </row>
    <row r="127" spans="17:46" x14ac:dyDescent="0.25">
      <c r="Q127">
        <v>120</v>
      </c>
      <c r="R127" s="39">
        <f t="shared" si="45"/>
        <v>16</v>
      </c>
      <c r="S127" s="37">
        <f t="shared" si="73"/>
        <v>4.0799999999999992</v>
      </c>
      <c r="T127" s="37">
        <f t="shared" si="47"/>
        <v>3.8</v>
      </c>
      <c r="U127" s="40">
        <f t="shared" si="74"/>
        <v>19.087719298245609</v>
      </c>
      <c r="V127" s="39">
        <f t="shared" si="75"/>
        <v>2</v>
      </c>
      <c r="W127" s="37">
        <f t="shared" si="76"/>
        <v>0.76249999999999996</v>
      </c>
      <c r="X127" s="40">
        <f t="shared" si="77"/>
        <v>0.23750000000000004</v>
      </c>
      <c r="Y127" s="39">
        <f t="shared" si="78"/>
        <v>5.0391304347826082</v>
      </c>
      <c r="Z127" s="37">
        <f t="shared" si="71"/>
        <v>21.607284515636913</v>
      </c>
      <c r="AA127" s="37">
        <f t="shared" si="72"/>
        <v>19.143069180171899</v>
      </c>
      <c r="AB127" s="37">
        <v>0</v>
      </c>
      <c r="AC127" s="37">
        <f t="shared" si="79"/>
        <v>1.8322854881842361</v>
      </c>
      <c r="AD127" s="40">
        <f t="shared" si="62"/>
        <v>1.8322854881842361</v>
      </c>
      <c r="AE127" s="39">
        <f t="shared" si="70"/>
        <v>14.554385964912276</v>
      </c>
      <c r="AF127" s="37">
        <f t="shared" si="63"/>
        <v>16.715966527487904</v>
      </c>
      <c r="AG127" s="37">
        <f t="shared" si="80"/>
        <v>1.2853482699612415</v>
      </c>
      <c r="AH127" s="37">
        <f t="shared" si="81"/>
        <v>3.1503414831400312</v>
      </c>
      <c r="AI127" s="40">
        <f t="shared" si="64"/>
        <v>4.4356897531012729</v>
      </c>
      <c r="AJ127" s="39">
        <f t="shared" si="65"/>
        <v>4.5333333333333332</v>
      </c>
      <c r="AK127" s="37">
        <f t="shared" si="82"/>
        <v>9.329177921379312</v>
      </c>
      <c r="AL127" s="37">
        <f t="shared" si="83"/>
        <v>1.9583999999999995</v>
      </c>
      <c r="AM127" s="37">
        <f t="shared" si="84"/>
        <v>9.4760000000000011E-2</v>
      </c>
      <c r="AN127" s="40">
        <f t="shared" si="66"/>
        <v>2.0531599999999997</v>
      </c>
      <c r="AO127" s="39">
        <f t="shared" si="85"/>
        <v>0.838270610844288</v>
      </c>
      <c r="AP127" s="37">
        <f t="shared" si="86"/>
        <v>0.15292125000000001</v>
      </c>
      <c r="AQ127" s="40">
        <f t="shared" si="87"/>
        <v>1.7099999999999999E-3</v>
      </c>
      <c r="AR127" s="39">
        <f t="shared" si="67"/>
        <v>9.314037102129797</v>
      </c>
      <c r="AS127" s="37">
        <f t="shared" si="68"/>
        <v>65.279999999999987</v>
      </c>
      <c r="AT127" s="40">
        <f t="shared" si="69"/>
        <v>87.513697523332098</v>
      </c>
    </row>
    <row r="128" spans="17:46" x14ac:dyDescent="0.25">
      <c r="Q128">
        <v>121</v>
      </c>
      <c r="R128" s="39">
        <f t="shared" si="45"/>
        <v>16</v>
      </c>
      <c r="S128" s="37">
        <f t="shared" si="73"/>
        <v>4.1139999999999999</v>
      </c>
      <c r="T128" s="37">
        <f t="shared" si="47"/>
        <v>3.8</v>
      </c>
      <c r="U128" s="40">
        <f t="shared" si="74"/>
        <v>19.246783625730995</v>
      </c>
      <c r="V128" s="39">
        <f t="shared" si="75"/>
        <v>2</v>
      </c>
      <c r="W128" s="37">
        <f t="shared" si="76"/>
        <v>0.76249999999999996</v>
      </c>
      <c r="X128" s="40">
        <f t="shared" si="77"/>
        <v>0.23750000000000004</v>
      </c>
      <c r="Y128" s="39">
        <f t="shared" si="78"/>
        <v>5.0391304347826082</v>
      </c>
      <c r="Z128" s="37">
        <f t="shared" si="71"/>
        <v>21.766348843122298</v>
      </c>
      <c r="AA128" s="37">
        <f t="shared" si="72"/>
        <v>19.301677376951883</v>
      </c>
      <c r="AB128" s="37">
        <v>0</v>
      </c>
      <c r="AC128" s="37">
        <f t="shared" si="79"/>
        <v>1.8627737478196806</v>
      </c>
      <c r="AD128" s="40">
        <f t="shared" si="62"/>
        <v>1.8627737478196806</v>
      </c>
      <c r="AE128" s="39">
        <f t="shared" si="70"/>
        <v>14.675672514619883</v>
      </c>
      <c r="AF128" s="37">
        <f t="shared" si="63"/>
        <v>16.854465181147138</v>
      </c>
      <c r="AG128" s="37">
        <f t="shared" si="80"/>
        <v>1.3067357840955054</v>
      </c>
      <c r="AH128" s="37">
        <f t="shared" si="81"/>
        <v>3.1765943288328655</v>
      </c>
      <c r="AI128" s="40">
        <f t="shared" si="64"/>
        <v>4.4833301129283711</v>
      </c>
      <c r="AJ128" s="39">
        <f t="shared" si="65"/>
        <v>4.5711111111111125</v>
      </c>
      <c r="AK128" s="37">
        <f t="shared" si="82"/>
        <v>9.4064739951500869</v>
      </c>
      <c r="AL128" s="37">
        <f t="shared" si="83"/>
        <v>1.9747199999999998</v>
      </c>
      <c r="AM128" s="37">
        <f t="shared" si="84"/>
        <v>9.4760000000000011E-2</v>
      </c>
      <c r="AN128" s="40">
        <f t="shared" si="66"/>
        <v>2.06948</v>
      </c>
      <c r="AO128" s="39">
        <f t="shared" si="85"/>
        <v>0.85221898962750353</v>
      </c>
      <c r="AP128" s="37">
        <f t="shared" si="86"/>
        <v>0.15292125000000001</v>
      </c>
      <c r="AQ128" s="40">
        <f t="shared" si="87"/>
        <v>1.7099999999999999E-3</v>
      </c>
      <c r="AR128" s="39">
        <f t="shared" si="67"/>
        <v>9.4224341003755558</v>
      </c>
      <c r="AS128" s="37">
        <f t="shared" si="68"/>
        <v>65.823999999999998</v>
      </c>
      <c r="AT128" s="40">
        <f t="shared" si="69"/>
        <v>87.4778995004515</v>
      </c>
    </row>
    <row r="129" spans="17:46" x14ac:dyDescent="0.25">
      <c r="Q129">
        <v>122</v>
      </c>
      <c r="R129" s="39">
        <f t="shared" si="45"/>
        <v>16</v>
      </c>
      <c r="S129" s="37">
        <f t="shared" si="73"/>
        <v>4.1479999999999997</v>
      </c>
      <c r="T129" s="37">
        <f t="shared" si="47"/>
        <v>3.8</v>
      </c>
      <c r="U129" s="40">
        <f t="shared" si="74"/>
        <v>19.405847953216373</v>
      </c>
      <c r="V129" s="39">
        <f t="shared" si="75"/>
        <v>2</v>
      </c>
      <c r="W129" s="37">
        <f t="shared" si="76"/>
        <v>0.76249999999999996</v>
      </c>
      <c r="X129" s="40">
        <f t="shared" si="77"/>
        <v>0.23750000000000004</v>
      </c>
      <c r="Y129" s="39">
        <f t="shared" si="78"/>
        <v>5.0391304347826082</v>
      </c>
      <c r="Z129" s="37">
        <f t="shared" si="71"/>
        <v>21.925413170607676</v>
      </c>
      <c r="AA129" s="37">
        <f t="shared" si="72"/>
        <v>19.460293019674229</v>
      </c>
      <c r="AB129" s="37">
        <v>0</v>
      </c>
      <c r="AC129" s="37">
        <f t="shared" si="79"/>
        <v>1.8935150220579076</v>
      </c>
      <c r="AD129" s="40">
        <f t="shared" si="62"/>
        <v>1.8935150220579076</v>
      </c>
      <c r="AE129" s="39">
        <f t="shared" si="70"/>
        <v>14.796959064327483</v>
      </c>
      <c r="AF129" s="37">
        <f t="shared" si="63"/>
        <v>16.992970336696018</v>
      </c>
      <c r="AG129" s="37">
        <f t="shared" si="80"/>
        <v>1.3283007879736215</v>
      </c>
      <c r="AH129" s="37">
        <f t="shared" si="81"/>
        <v>3.2028471745256986</v>
      </c>
      <c r="AI129" s="40">
        <f t="shared" si="64"/>
        <v>4.5311479624993201</v>
      </c>
      <c r="AJ129" s="39">
        <f t="shared" si="65"/>
        <v>4.608888888888889</v>
      </c>
      <c r="AK129" s="37">
        <f t="shared" si="82"/>
        <v>9.4837736976243061</v>
      </c>
      <c r="AL129" s="37">
        <f t="shared" si="83"/>
        <v>1.9910399999999997</v>
      </c>
      <c r="AM129" s="37">
        <f t="shared" si="84"/>
        <v>9.4760000000000011E-2</v>
      </c>
      <c r="AN129" s="40">
        <f t="shared" si="66"/>
        <v>2.0857999999999999</v>
      </c>
      <c r="AO129" s="39">
        <f t="shared" si="85"/>
        <v>0.86628312259149232</v>
      </c>
      <c r="AP129" s="37">
        <f t="shared" si="86"/>
        <v>0.15292125000000001</v>
      </c>
      <c r="AQ129" s="40">
        <f t="shared" si="87"/>
        <v>1.7099999999999999E-3</v>
      </c>
      <c r="AR129" s="39">
        <f t="shared" si="67"/>
        <v>9.5313773571487204</v>
      </c>
      <c r="AS129" s="37">
        <f t="shared" si="68"/>
        <v>66.367999999999995</v>
      </c>
      <c r="AT129" s="40">
        <f t="shared" si="69"/>
        <v>87.442087551919826</v>
      </c>
    </row>
    <row r="130" spans="17:46" x14ac:dyDescent="0.25">
      <c r="Q130">
        <v>123</v>
      </c>
      <c r="R130" s="39">
        <f t="shared" si="45"/>
        <v>16</v>
      </c>
      <c r="S130" s="37">
        <f t="shared" si="73"/>
        <v>4.1819999999999995</v>
      </c>
      <c r="T130" s="37">
        <f t="shared" si="47"/>
        <v>3.8</v>
      </c>
      <c r="U130" s="40">
        <f t="shared" si="74"/>
        <v>19.564912280701751</v>
      </c>
      <c r="V130" s="39">
        <f t="shared" si="75"/>
        <v>2</v>
      </c>
      <c r="W130" s="37">
        <f t="shared" si="76"/>
        <v>0.76249999999999996</v>
      </c>
      <c r="X130" s="40">
        <f t="shared" si="77"/>
        <v>0.23750000000000004</v>
      </c>
      <c r="Y130" s="39">
        <f t="shared" si="78"/>
        <v>5.0391304347826082</v>
      </c>
      <c r="Z130" s="37">
        <f t="shared" si="71"/>
        <v>22.084477498093054</v>
      </c>
      <c r="AA130" s="37">
        <f t="shared" si="72"/>
        <v>19.618915927741359</v>
      </c>
      <c r="AB130" s="37">
        <v>0</v>
      </c>
      <c r="AC130" s="37">
        <f t="shared" si="79"/>
        <v>1.924509310898918</v>
      </c>
      <c r="AD130" s="40">
        <f t="shared" si="62"/>
        <v>1.924509310898918</v>
      </c>
      <c r="AE130" s="39">
        <f t="shared" si="70"/>
        <v>14.918245614035085</v>
      </c>
      <c r="AF130" s="37">
        <f t="shared" si="63"/>
        <v>17.131481836434492</v>
      </c>
      <c r="AG130" s="37">
        <f t="shared" si="80"/>
        <v>1.3500432815955907</v>
      </c>
      <c r="AH130" s="37">
        <f t="shared" si="81"/>
        <v>3.229100020218532</v>
      </c>
      <c r="AI130" s="40">
        <f t="shared" si="64"/>
        <v>4.5791433018141223</v>
      </c>
      <c r="AJ130" s="39">
        <f t="shared" si="65"/>
        <v>4.6466666666666665</v>
      </c>
      <c r="AK130" s="37">
        <f t="shared" si="82"/>
        <v>9.561076940789599</v>
      </c>
      <c r="AL130" s="37">
        <f t="shared" si="83"/>
        <v>2.0073599999999998</v>
      </c>
      <c r="AM130" s="37">
        <f t="shared" si="84"/>
        <v>9.4760000000000011E-2</v>
      </c>
      <c r="AN130" s="40">
        <f t="shared" si="66"/>
        <v>2.1021199999999998</v>
      </c>
      <c r="AO130" s="39">
        <f t="shared" si="85"/>
        <v>0.8804630097362548</v>
      </c>
      <c r="AP130" s="37">
        <f t="shared" si="86"/>
        <v>0.15292125000000001</v>
      </c>
      <c r="AQ130" s="40">
        <f t="shared" si="87"/>
        <v>1.7099999999999999E-3</v>
      </c>
      <c r="AR130" s="39">
        <f t="shared" si="67"/>
        <v>9.6408668724492941</v>
      </c>
      <c r="AS130" s="37">
        <f t="shared" si="68"/>
        <v>66.911999999999992</v>
      </c>
      <c r="AT130" s="40">
        <f t="shared" si="69"/>
        <v>87.406262800696027</v>
      </c>
    </row>
    <row r="131" spans="17:46" x14ac:dyDescent="0.25">
      <c r="Q131">
        <v>124</v>
      </c>
      <c r="R131" s="39">
        <f t="shared" si="45"/>
        <v>16</v>
      </c>
      <c r="S131" s="37">
        <f t="shared" si="73"/>
        <v>4.2159999999999993</v>
      </c>
      <c r="T131" s="37">
        <f t="shared" si="47"/>
        <v>3.8</v>
      </c>
      <c r="U131" s="40">
        <f t="shared" si="74"/>
        <v>19.723976608187133</v>
      </c>
      <c r="V131" s="39">
        <f t="shared" si="75"/>
        <v>2</v>
      </c>
      <c r="W131" s="37">
        <f t="shared" si="76"/>
        <v>0.76249999999999996</v>
      </c>
      <c r="X131" s="40">
        <f t="shared" si="77"/>
        <v>0.23750000000000004</v>
      </c>
      <c r="Y131" s="39">
        <f t="shared" si="78"/>
        <v>5.0391304347826082</v>
      </c>
      <c r="Z131" s="37">
        <f t="shared" si="71"/>
        <v>22.243541825578436</v>
      </c>
      <c r="AA131" s="37">
        <f t="shared" si="72"/>
        <v>19.777545926341382</v>
      </c>
      <c r="AB131" s="37">
        <v>0</v>
      </c>
      <c r="AC131" s="37">
        <f t="shared" si="79"/>
        <v>1.955756614342713</v>
      </c>
      <c r="AD131" s="40">
        <f t="shared" si="62"/>
        <v>1.955756614342713</v>
      </c>
      <c r="AE131" s="39">
        <f t="shared" si="70"/>
        <v>15.039532163742688</v>
      </c>
      <c r="AF131" s="37">
        <f t="shared" si="63"/>
        <v>17.269999527714631</v>
      </c>
      <c r="AG131" s="37">
        <f t="shared" si="80"/>
        <v>1.3719632649614124</v>
      </c>
      <c r="AH131" s="37">
        <f t="shared" si="81"/>
        <v>3.255352865911366</v>
      </c>
      <c r="AI131" s="40">
        <f t="shared" si="64"/>
        <v>4.6273161308727779</v>
      </c>
      <c r="AJ131" s="39">
        <f t="shared" si="65"/>
        <v>4.6844444444444449</v>
      </c>
      <c r="AK131" s="37">
        <f t="shared" si="82"/>
        <v>9.6383836394531883</v>
      </c>
      <c r="AL131" s="37">
        <f t="shared" si="83"/>
        <v>2.0236799999999997</v>
      </c>
      <c r="AM131" s="37">
        <f t="shared" si="84"/>
        <v>9.4760000000000011E-2</v>
      </c>
      <c r="AN131" s="40">
        <f t="shared" si="66"/>
        <v>2.1184399999999997</v>
      </c>
      <c r="AO131" s="39">
        <f t="shared" si="85"/>
        <v>0.89475865106179076</v>
      </c>
      <c r="AP131" s="37">
        <f t="shared" si="86"/>
        <v>0.15292125000000001</v>
      </c>
      <c r="AQ131" s="40">
        <f t="shared" si="87"/>
        <v>1.7099999999999999E-3</v>
      </c>
      <c r="AR131" s="39">
        <f t="shared" si="67"/>
        <v>9.7509026462772805</v>
      </c>
      <c r="AS131" s="37">
        <f t="shared" si="68"/>
        <v>67.455999999999989</v>
      </c>
      <c r="AT131" s="40">
        <f t="shared" si="69"/>
        <v>87.370426332278925</v>
      </c>
    </row>
    <row r="132" spans="17:46" x14ac:dyDescent="0.25">
      <c r="Q132">
        <v>125</v>
      </c>
      <c r="R132" s="39">
        <f t="shared" si="45"/>
        <v>16</v>
      </c>
      <c r="S132" s="37">
        <f t="shared" si="73"/>
        <v>4.2499999999999991</v>
      </c>
      <c r="T132" s="37">
        <f t="shared" si="47"/>
        <v>3.8</v>
      </c>
      <c r="U132" s="40">
        <f t="shared" si="74"/>
        <v>19.883040935672511</v>
      </c>
      <c r="V132" s="39">
        <f t="shared" si="75"/>
        <v>2</v>
      </c>
      <c r="W132" s="37">
        <f t="shared" si="76"/>
        <v>0.76249999999999996</v>
      </c>
      <c r="X132" s="40">
        <f t="shared" si="77"/>
        <v>0.23750000000000004</v>
      </c>
      <c r="Y132" s="39">
        <f t="shared" si="78"/>
        <v>5.0391304347826082</v>
      </c>
      <c r="Z132" s="37">
        <f t="shared" si="71"/>
        <v>22.402606153063815</v>
      </c>
      <c r="AA132" s="37">
        <f t="shared" si="72"/>
        <v>19.936182846218536</v>
      </c>
      <c r="AB132" s="37">
        <v>0</v>
      </c>
      <c r="AC132" s="37">
        <f t="shared" si="79"/>
        <v>1.987256932389291</v>
      </c>
      <c r="AD132" s="40">
        <f t="shared" si="62"/>
        <v>1.987256932389291</v>
      </c>
      <c r="AE132" s="39">
        <f t="shared" si="70"/>
        <v>15.16081871345029</v>
      </c>
      <c r="AF132" s="37">
        <f t="shared" si="63"/>
        <v>17.408523262740204</v>
      </c>
      <c r="AG132" s="37">
        <f t="shared" si="80"/>
        <v>1.3940607380710874</v>
      </c>
      <c r="AH132" s="37">
        <f t="shared" si="81"/>
        <v>3.2816057116041994</v>
      </c>
      <c r="AI132" s="40">
        <f t="shared" si="64"/>
        <v>4.6756664496752869</v>
      </c>
      <c r="AJ132" s="39">
        <f t="shared" si="65"/>
        <v>4.7222222222222223</v>
      </c>
      <c r="AK132" s="37">
        <f t="shared" si="82"/>
        <v>9.7156937111300152</v>
      </c>
      <c r="AL132" s="37">
        <f t="shared" si="83"/>
        <v>2.0399999999999996</v>
      </c>
      <c r="AM132" s="37">
        <f t="shared" si="84"/>
        <v>9.4760000000000011E-2</v>
      </c>
      <c r="AN132" s="40">
        <f t="shared" si="66"/>
        <v>2.1347599999999995</v>
      </c>
      <c r="AO132" s="39">
        <f t="shared" si="85"/>
        <v>0.90917004656810052</v>
      </c>
      <c r="AP132" s="37">
        <f t="shared" si="86"/>
        <v>0.15292125000000001</v>
      </c>
      <c r="AQ132" s="40">
        <f t="shared" si="87"/>
        <v>1.7099999999999999E-3</v>
      </c>
      <c r="AR132" s="39">
        <f t="shared" si="67"/>
        <v>9.861484678632678</v>
      </c>
      <c r="AS132" s="37">
        <f t="shared" si="68"/>
        <v>67.999999999999986</v>
      </c>
      <c r="AT132" s="40">
        <f t="shared" si="69"/>
        <v>87.334579196203094</v>
      </c>
    </row>
    <row r="133" spans="17:46" x14ac:dyDescent="0.25">
      <c r="Q133">
        <v>126</v>
      </c>
      <c r="R133" s="39">
        <f t="shared" si="45"/>
        <v>16</v>
      </c>
      <c r="S133" s="37">
        <f t="shared" si="73"/>
        <v>4.2839999999999998</v>
      </c>
      <c r="T133" s="37">
        <f t="shared" si="47"/>
        <v>3.8</v>
      </c>
      <c r="U133" s="40">
        <f t="shared" si="74"/>
        <v>20.042105263157893</v>
      </c>
      <c r="V133" s="39">
        <f t="shared" si="75"/>
        <v>2</v>
      </c>
      <c r="W133" s="37">
        <f t="shared" si="76"/>
        <v>0.76249999999999996</v>
      </c>
      <c r="X133" s="40">
        <f t="shared" si="77"/>
        <v>0.23750000000000004</v>
      </c>
      <c r="Y133" s="39">
        <f t="shared" si="78"/>
        <v>5.0391304347826082</v>
      </c>
      <c r="Z133" s="37">
        <f t="shared" si="71"/>
        <v>22.561670480549196</v>
      </c>
      <c r="AA133" s="37">
        <f t="shared" si="72"/>
        <v>20.094826523454504</v>
      </c>
      <c r="AB133" s="37">
        <v>0</v>
      </c>
      <c r="AC133" s="37">
        <f t="shared" si="79"/>
        <v>2.0190102650386534</v>
      </c>
      <c r="AD133" s="40">
        <f t="shared" si="62"/>
        <v>2.0190102650386534</v>
      </c>
      <c r="AE133" s="39">
        <f t="shared" si="70"/>
        <v>15.282105263157893</v>
      </c>
      <c r="AF133" s="37">
        <f t="shared" si="63"/>
        <v>17.547052898375686</v>
      </c>
      <c r="AG133" s="37">
        <f t="shared" si="80"/>
        <v>1.4163357009246149</v>
      </c>
      <c r="AH133" s="37">
        <f t="shared" si="81"/>
        <v>3.3078585572970329</v>
      </c>
      <c r="AI133" s="40">
        <f t="shared" si="64"/>
        <v>4.7241942582216474</v>
      </c>
      <c r="AJ133" s="39">
        <f t="shared" si="65"/>
        <v>4.7600000000000007</v>
      </c>
      <c r="AK133" s="37">
        <f t="shared" si="82"/>
        <v>9.7930070759361776</v>
      </c>
      <c r="AL133" s="37">
        <f t="shared" si="83"/>
        <v>2.0563199999999999</v>
      </c>
      <c r="AM133" s="37">
        <f t="shared" si="84"/>
        <v>9.4760000000000011E-2</v>
      </c>
      <c r="AN133" s="40">
        <f t="shared" si="66"/>
        <v>2.1510799999999999</v>
      </c>
      <c r="AO133" s="39">
        <f t="shared" si="85"/>
        <v>0.92369719625518376</v>
      </c>
      <c r="AP133" s="37">
        <f t="shared" si="86"/>
        <v>0.15292125000000001</v>
      </c>
      <c r="AQ133" s="40">
        <f t="shared" si="87"/>
        <v>1.7099999999999999E-3</v>
      </c>
      <c r="AR133" s="39">
        <f t="shared" si="67"/>
        <v>9.9726129695154846</v>
      </c>
      <c r="AS133" s="37">
        <f t="shared" si="68"/>
        <v>68.543999999999997</v>
      </c>
      <c r="AT133" s="40">
        <f t="shared" si="69"/>
        <v>87.298722407463742</v>
      </c>
    </row>
    <row r="134" spans="17:46" x14ac:dyDescent="0.25">
      <c r="Q134">
        <v>127</v>
      </c>
      <c r="R134" s="39">
        <f t="shared" si="45"/>
        <v>16</v>
      </c>
      <c r="S134" s="37">
        <f t="shared" si="73"/>
        <v>4.3179999999999996</v>
      </c>
      <c r="T134" s="37">
        <f t="shared" si="47"/>
        <v>3.8</v>
      </c>
      <c r="U134" s="40">
        <f t="shared" si="74"/>
        <v>20.201169590643275</v>
      </c>
      <c r="V134" s="39">
        <f t="shared" si="75"/>
        <v>2</v>
      </c>
      <c r="W134" s="37">
        <f t="shared" si="76"/>
        <v>0.76249999999999996</v>
      </c>
      <c r="X134" s="40">
        <f t="shared" si="77"/>
        <v>0.23750000000000004</v>
      </c>
      <c r="Y134" s="39">
        <f t="shared" si="78"/>
        <v>5.0391304347826082</v>
      </c>
      <c r="Z134" s="37">
        <f t="shared" si="71"/>
        <v>22.720734808034578</v>
      </c>
      <c r="AA134" s="37">
        <f t="shared" si="72"/>
        <v>20.253476799259921</v>
      </c>
      <c r="AB134" s="37">
        <v>0</v>
      </c>
      <c r="AC134" s="37">
        <f t="shared" si="79"/>
        <v>2.0510166122907996</v>
      </c>
      <c r="AD134" s="40">
        <f t="shared" si="62"/>
        <v>2.0510166122907996</v>
      </c>
      <c r="AE134" s="39">
        <f t="shared" si="70"/>
        <v>15.403391812865497</v>
      </c>
      <c r="AF134" s="37">
        <f t="shared" si="63"/>
        <v>17.685588295964227</v>
      </c>
      <c r="AG134" s="37">
        <f t="shared" si="80"/>
        <v>1.4387881535219953</v>
      </c>
      <c r="AH134" s="37">
        <f t="shared" si="81"/>
        <v>3.3341114029898669</v>
      </c>
      <c r="AI134" s="40">
        <f t="shared" si="64"/>
        <v>4.7728995565118622</v>
      </c>
      <c r="AJ134" s="39">
        <f t="shared" si="65"/>
        <v>4.797777777777779</v>
      </c>
      <c r="AK134" s="37">
        <f t="shared" si="82"/>
        <v>9.870323656487308</v>
      </c>
      <c r="AL134" s="37">
        <f t="shared" si="83"/>
        <v>2.0726399999999998</v>
      </c>
      <c r="AM134" s="37">
        <f t="shared" si="84"/>
        <v>9.4760000000000011E-2</v>
      </c>
      <c r="AN134" s="40">
        <f t="shared" si="66"/>
        <v>2.1673999999999998</v>
      </c>
      <c r="AO134" s="39">
        <f t="shared" si="85"/>
        <v>0.93834010012304048</v>
      </c>
      <c r="AP134" s="37">
        <f t="shared" si="86"/>
        <v>0.15292125000000001</v>
      </c>
      <c r="AQ134" s="40">
        <f t="shared" si="87"/>
        <v>1.7099999999999999E-3</v>
      </c>
      <c r="AR134" s="39">
        <f t="shared" si="67"/>
        <v>10.084287518925702</v>
      </c>
      <c r="AS134" s="37">
        <f t="shared" si="68"/>
        <v>69.087999999999994</v>
      </c>
      <c r="AT134" s="40">
        <f t="shared" si="69"/>
        <v>87.262856947874454</v>
      </c>
    </row>
    <row r="135" spans="17:46" x14ac:dyDescent="0.25">
      <c r="Q135">
        <v>128</v>
      </c>
      <c r="R135" s="39">
        <f t="shared" ref="R135:R157" si="88">VOUT</f>
        <v>16</v>
      </c>
      <c r="S135" s="37">
        <f t="shared" ref="S135:S157" si="89">Q135*$O$12</f>
        <v>4.3519999999999994</v>
      </c>
      <c r="T135" s="37">
        <f t="shared" ref="T135:T157" si="90">VIN_var</f>
        <v>3.8</v>
      </c>
      <c r="U135" s="40">
        <f t="shared" ref="U135:U157" si="91">(R135*S135)/(T135*EFF_est)</f>
        <v>20.360233918128653</v>
      </c>
      <c r="V135" s="39">
        <f t="shared" ref="V135:V157" si="92">IF((S135*R135/T135)&lt;((T135*(1-(T135/R135)))/(2*Lm*Fsw)),1,2)</f>
        <v>2</v>
      </c>
      <c r="W135" s="37">
        <f t="shared" ref="W135:W157" si="93">CHOOSE(V135,SQRT((2*S135*Lm*Fsw*(R135-T135))/((T135)^2)),1-(T135/R135))</f>
        <v>0.76249999999999996</v>
      </c>
      <c r="X135" s="40">
        <f t="shared" ref="X135:X157" si="94">CHOOSE(V135,(Lm*W135*Fsw)/(R135-T135),1-W135)</f>
        <v>0.23750000000000004</v>
      </c>
      <c r="Y135" s="39">
        <f t="shared" ref="Y135:Y157" si="95">(T135*W135)/(Lm*Fsw)</f>
        <v>5.0391304347826082</v>
      </c>
      <c r="Z135" s="37">
        <f t="shared" si="71"/>
        <v>22.879799135519956</v>
      </c>
      <c r="AA135" s="37">
        <f t="shared" si="72"/>
        <v>20.41213351977558</v>
      </c>
      <c r="AB135" s="37">
        <v>0</v>
      </c>
      <c r="AC135" s="37">
        <f t="shared" ref="AC135:AC157" si="96">(AA135^2)*Rdcr</f>
        <v>2.083275974145729</v>
      </c>
      <c r="AD135" s="40">
        <f t="shared" si="62"/>
        <v>2.083275974145729</v>
      </c>
      <c r="AE135" s="39">
        <f t="shared" si="70"/>
        <v>15.524678362573097</v>
      </c>
      <c r="AF135" s="37">
        <f t="shared" si="63"/>
        <v>17.82412932115405</v>
      </c>
      <c r="AG135" s="37">
        <f t="shared" ref="AG135:AG157" si="97">(AF135^2)*RDS_on</f>
        <v>1.4614180958632284</v>
      </c>
      <c r="AH135" s="37">
        <f t="shared" ref="AH135:AH157" si="98">((R135*U135)/2)*Fsw*(tr_sw+tf_sw)</f>
        <v>3.3603642486826999</v>
      </c>
      <c r="AI135" s="40">
        <f t="shared" si="64"/>
        <v>4.8217823445459285</v>
      </c>
      <c r="AJ135" s="39">
        <f t="shared" si="65"/>
        <v>4.8355555555555556</v>
      </c>
      <c r="AK135" s="37">
        <f t="shared" ref="AK135:AK157" si="99">CHOOSE(V135,Z135*SQRT(X135/3),SQRT(X135*((Z135^2)+((Y135^2)/3)-(Y135*Z135))))</f>
        <v>9.9476433778017057</v>
      </c>
      <c r="AL135" s="37">
        <f t="shared" ref="AL135:AL157" si="100">S135*Vd_rect</f>
        <v>2.0889599999999997</v>
      </c>
      <c r="AM135" s="37">
        <f t="shared" ref="AM135:AM157" si="101">CHOOSE(V135,(R135+Vd_rect)*Qrr*Fsw,(R135+Vd_rect)*Qrr*Fsw)</f>
        <v>9.4760000000000011E-2</v>
      </c>
      <c r="AN135" s="40">
        <f t="shared" si="66"/>
        <v>2.1837199999999997</v>
      </c>
      <c r="AO135" s="39">
        <f t="shared" ref="AO135:AO157" si="102">(AF135^2)*R_cs</f>
        <v>0.95309875817167067</v>
      </c>
      <c r="AP135" s="37">
        <f t="shared" ref="AP135:AP157" si="103">Qg_tot*Vcc*Fsw</f>
        <v>0.15292125000000001</v>
      </c>
      <c r="AQ135" s="40">
        <f t="shared" ref="AQ135:AQ157" si="104">IQ*T135</f>
        <v>1.7099999999999999E-3</v>
      </c>
      <c r="AR135" s="39">
        <f t="shared" si="67"/>
        <v>10.196508326863327</v>
      </c>
      <c r="AS135" s="37">
        <f t="shared" si="68"/>
        <v>69.631999999999991</v>
      </c>
      <c r="AT135" s="40">
        <f t="shared" si="69"/>
        <v>87.226983767361631</v>
      </c>
    </row>
    <row r="136" spans="17:46" x14ac:dyDescent="0.25">
      <c r="Q136">
        <v>129</v>
      </c>
      <c r="R136" s="39">
        <f t="shared" si="88"/>
        <v>16</v>
      </c>
      <c r="S136" s="37">
        <f t="shared" si="89"/>
        <v>4.3859999999999992</v>
      </c>
      <c r="T136" s="37">
        <f t="shared" si="90"/>
        <v>3.8</v>
      </c>
      <c r="U136" s="40">
        <f t="shared" si="91"/>
        <v>20.519298245614031</v>
      </c>
      <c r="V136" s="39">
        <f t="shared" si="92"/>
        <v>2</v>
      </c>
      <c r="W136" s="37">
        <f t="shared" si="93"/>
        <v>0.76249999999999996</v>
      </c>
      <c r="X136" s="40">
        <f t="shared" si="94"/>
        <v>0.23750000000000004</v>
      </c>
      <c r="Y136" s="39">
        <f t="shared" si="95"/>
        <v>5.0391304347826082</v>
      </c>
      <c r="Z136" s="37">
        <f t="shared" si="71"/>
        <v>23.038863463005335</v>
      </c>
      <c r="AA136" s="37">
        <f t="shared" si="72"/>
        <v>20.570796535882813</v>
      </c>
      <c r="AB136" s="37">
        <v>0</v>
      </c>
      <c r="AC136" s="37">
        <f t="shared" si="96"/>
        <v>2.1157883506034416</v>
      </c>
      <c r="AD136" s="40">
        <f t="shared" ref="AD136:AD157" si="105">AB136+AC136</f>
        <v>2.1157883506034416</v>
      </c>
      <c r="AE136" s="39">
        <f t="shared" si="70"/>
        <v>15.645964912280698</v>
      </c>
      <c r="AF136" s="37">
        <f t="shared" ref="AF136:AF157" si="106">CHOOSE(V136,Z136*SQRT(W136/3),SQRT(W136*((Z136^2)+((Y136^2)/3)-(Z136*Y136))))</f>
        <v>17.962675843732882</v>
      </c>
      <c r="AG136" s="37">
        <f t="shared" si="97"/>
        <v>1.4842255279483139</v>
      </c>
      <c r="AH136" s="37">
        <f t="shared" si="98"/>
        <v>3.3866170943755338</v>
      </c>
      <c r="AI136" s="40">
        <f t="shared" ref="AI136:AI157" si="107">AG136+AH136</f>
        <v>4.8708426223238472</v>
      </c>
      <c r="AJ136" s="39">
        <f t="shared" ref="AJ136:AJ156" si="108">X136*U136</f>
        <v>4.8733333333333331</v>
      </c>
      <c r="AK136" s="37">
        <f t="shared" si="99"/>
        <v>10.024966167207923</v>
      </c>
      <c r="AL136" s="37">
        <f t="shared" si="100"/>
        <v>2.1052799999999996</v>
      </c>
      <c r="AM136" s="37">
        <f t="shared" si="101"/>
        <v>9.4760000000000011E-2</v>
      </c>
      <c r="AN136" s="40">
        <f t="shared" ref="AN136:AN157" si="109">AL136+AM136</f>
        <v>2.2000399999999996</v>
      </c>
      <c r="AO136" s="39">
        <f t="shared" si="102"/>
        <v>0.96797317040107433</v>
      </c>
      <c r="AP136" s="37">
        <f t="shared" si="103"/>
        <v>0.15292125000000001</v>
      </c>
      <c r="AQ136" s="40">
        <f t="shared" si="104"/>
        <v>1.7099999999999999E-3</v>
      </c>
      <c r="AR136" s="39">
        <f t="shared" ref="AR136:AR157" si="110">AO136+AN136+AI136+AD136+AP136+AQ136</f>
        <v>10.309275393328361</v>
      </c>
      <c r="AS136" s="37">
        <f t="shared" ref="AS136:AS157" si="111">R136*S136</f>
        <v>70.175999999999988</v>
      </c>
      <c r="AT136" s="40">
        <f t="shared" ref="AT136:AT156" si="112">(AS136/(AS136+AR136))*100</f>
        <v>87.191103785198791</v>
      </c>
    </row>
    <row r="137" spans="17:46" x14ac:dyDescent="0.25">
      <c r="Q137">
        <v>130</v>
      </c>
      <c r="R137" s="39">
        <f t="shared" si="88"/>
        <v>16</v>
      </c>
      <c r="S137" s="37">
        <f t="shared" si="89"/>
        <v>4.419999999999999</v>
      </c>
      <c r="T137" s="37">
        <f t="shared" si="90"/>
        <v>3.8</v>
      </c>
      <c r="U137" s="40">
        <f t="shared" si="91"/>
        <v>20.67836257309941</v>
      </c>
      <c r="V137" s="39">
        <f t="shared" si="92"/>
        <v>2</v>
      </c>
      <c r="W137" s="37">
        <f t="shared" si="93"/>
        <v>0.76249999999999996</v>
      </c>
      <c r="X137" s="40">
        <f t="shared" si="94"/>
        <v>0.23750000000000004</v>
      </c>
      <c r="Y137" s="39">
        <f t="shared" si="95"/>
        <v>5.0391304347826082</v>
      </c>
      <c r="Z137" s="37">
        <f t="shared" si="71"/>
        <v>23.197927790490713</v>
      </c>
      <c r="AA137" s="37">
        <f t="shared" si="72"/>
        <v>20.729465703022541</v>
      </c>
      <c r="AB137" s="37">
        <v>0</v>
      </c>
      <c r="AC137" s="37">
        <f t="shared" si="96"/>
        <v>2.1485537416639393</v>
      </c>
      <c r="AD137" s="40">
        <f t="shared" si="105"/>
        <v>2.1485537416639393</v>
      </c>
      <c r="AE137" s="39">
        <f t="shared" ref="AE137:AE157" si="113">U137*W137</f>
        <v>15.767251461988298</v>
      </c>
      <c r="AF137" s="37">
        <f t="shared" si="106"/>
        <v>18.101227737469927</v>
      </c>
      <c r="AG137" s="37">
        <f t="shared" si="97"/>
        <v>1.5072104497772527</v>
      </c>
      <c r="AH137" s="37">
        <f t="shared" si="98"/>
        <v>3.4128699400683669</v>
      </c>
      <c r="AI137" s="40">
        <f t="shared" si="107"/>
        <v>4.9200803898456194</v>
      </c>
      <c r="AJ137" s="39">
        <f t="shared" si="108"/>
        <v>4.9111111111111105</v>
      </c>
      <c r="AK137" s="37">
        <f t="shared" si="99"/>
        <v>10.102291954256573</v>
      </c>
      <c r="AL137" s="37">
        <f t="shared" si="100"/>
        <v>2.1215999999999995</v>
      </c>
      <c r="AM137" s="37">
        <f t="shared" si="101"/>
        <v>9.4760000000000011E-2</v>
      </c>
      <c r="AN137" s="40">
        <f t="shared" si="109"/>
        <v>2.2163599999999994</v>
      </c>
      <c r="AO137" s="39">
        <f t="shared" si="102"/>
        <v>0.98296333681125192</v>
      </c>
      <c r="AP137" s="37">
        <f t="shared" si="103"/>
        <v>0.15292125000000001</v>
      </c>
      <c r="AQ137" s="40">
        <f t="shared" si="104"/>
        <v>1.7099999999999999E-3</v>
      </c>
      <c r="AR137" s="39">
        <f t="shared" si="110"/>
        <v>10.422588718320808</v>
      </c>
      <c r="AS137" s="37">
        <f t="shared" si="111"/>
        <v>70.719999999999985</v>
      </c>
      <c r="AT137" s="40">
        <f t="shared" si="112"/>
        <v>87.15521789118425</v>
      </c>
    </row>
    <row r="138" spans="17:46" x14ac:dyDescent="0.25">
      <c r="Q138">
        <v>131</v>
      </c>
      <c r="R138" s="39">
        <f t="shared" si="88"/>
        <v>16</v>
      </c>
      <c r="S138" s="37">
        <f t="shared" si="89"/>
        <v>4.4539999999999997</v>
      </c>
      <c r="T138" s="37">
        <f t="shared" si="90"/>
        <v>3.8</v>
      </c>
      <c r="U138" s="40">
        <f t="shared" si="91"/>
        <v>20.837426900584795</v>
      </c>
      <c r="V138" s="39">
        <f t="shared" si="92"/>
        <v>2</v>
      </c>
      <c r="W138" s="37">
        <f t="shared" si="93"/>
        <v>0.76249999999999996</v>
      </c>
      <c r="X138" s="40">
        <f t="shared" si="94"/>
        <v>0.23750000000000004</v>
      </c>
      <c r="Y138" s="39">
        <f t="shared" si="95"/>
        <v>5.0391304347826082</v>
      </c>
      <c r="Z138" s="37">
        <f t="shared" si="71"/>
        <v>23.356992117976098</v>
      </c>
      <c r="AA138" s="37">
        <f t="shared" si="72"/>
        <v>20.888140881022519</v>
      </c>
      <c r="AB138" s="37">
        <v>0</v>
      </c>
      <c r="AC138" s="37">
        <f t="shared" si="96"/>
        <v>2.1815721473272212</v>
      </c>
      <c r="AD138" s="40">
        <f t="shared" si="105"/>
        <v>2.1815721473272212</v>
      </c>
      <c r="AE138" s="39">
        <f t="shared" si="113"/>
        <v>15.888538011695905</v>
      </c>
      <c r="AF138" s="37">
        <f t="shared" si="106"/>
        <v>18.239784879965036</v>
      </c>
      <c r="AG138" s="37">
        <f t="shared" si="97"/>
        <v>1.5303728613500454</v>
      </c>
      <c r="AH138" s="37">
        <f t="shared" si="98"/>
        <v>3.4391227857612012</v>
      </c>
      <c r="AI138" s="40">
        <f t="shared" si="107"/>
        <v>4.9694956471112466</v>
      </c>
      <c r="AJ138" s="39">
        <f t="shared" si="108"/>
        <v>4.9488888888888898</v>
      </c>
      <c r="AK138" s="37">
        <f t="shared" si="99"/>
        <v>10.179620670636162</v>
      </c>
      <c r="AL138" s="37">
        <f t="shared" si="100"/>
        <v>2.1379199999999998</v>
      </c>
      <c r="AM138" s="37">
        <f t="shared" si="101"/>
        <v>9.4760000000000011E-2</v>
      </c>
      <c r="AN138" s="40">
        <f t="shared" si="109"/>
        <v>2.2326799999999998</v>
      </c>
      <c r="AO138" s="39">
        <f t="shared" si="102"/>
        <v>0.99806925740220342</v>
      </c>
      <c r="AP138" s="37">
        <f t="shared" si="103"/>
        <v>0.15292125000000001</v>
      </c>
      <c r="AQ138" s="40">
        <f t="shared" si="104"/>
        <v>1.7099999999999999E-3</v>
      </c>
      <c r="AR138" s="39">
        <f t="shared" si="110"/>
        <v>10.536448301840672</v>
      </c>
      <c r="AS138" s="37">
        <f t="shared" si="111"/>
        <v>71.263999999999996</v>
      </c>
      <c r="AT138" s="40">
        <f t="shared" si="112"/>
        <v>87.119326946764929</v>
      </c>
    </row>
    <row r="139" spans="17:46" x14ac:dyDescent="0.25">
      <c r="Q139">
        <v>132</v>
      </c>
      <c r="R139" s="39">
        <f t="shared" si="88"/>
        <v>16</v>
      </c>
      <c r="S139" s="37">
        <f t="shared" si="89"/>
        <v>4.4879999999999995</v>
      </c>
      <c r="T139" s="37">
        <f t="shared" si="90"/>
        <v>3.8</v>
      </c>
      <c r="U139" s="40">
        <f t="shared" si="91"/>
        <v>20.996491228070173</v>
      </c>
      <c r="V139" s="39">
        <f t="shared" si="92"/>
        <v>2</v>
      </c>
      <c r="W139" s="37">
        <f t="shared" si="93"/>
        <v>0.76249999999999996</v>
      </c>
      <c r="X139" s="40">
        <f t="shared" si="94"/>
        <v>0.23750000000000004</v>
      </c>
      <c r="Y139" s="39">
        <f t="shared" si="95"/>
        <v>5.0391304347826082</v>
      </c>
      <c r="Z139" s="37">
        <f t="shared" si="71"/>
        <v>23.516056445461476</v>
      </c>
      <c r="AA139" s="37">
        <f t="shared" si="72"/>
        <v>21.046821933932378</v>
      </c>
      <c r="AB139" s="37">
        <v>0</v>
      </c>
      <c r="AC139" s="37">
        <f t="shared" si="96"/>
        <v>2.2148435675932854</v>
      </c>
      <c r="AD139" s="40">
        <f t="shared" si="105"/>
        <v>2.2148435675932854</v>
      </c>
      <c r="AE139" s="39">
        <f t="shared" si="113"/>
        <v>16.009824561403505</v>
      </c>
      <c r="AF139" s="37">
        <f t="shared" si="106"/>
        <v>18.378347152504656</v>
      </c>
      <c r="AG139" s="37">
        <f t="shared" si="97"/>
        <v>1.5537127626666893</v>
      </c>
      <c r="AH139" s="37">
        <f t="shared" si="98"/>
        <v>3.4653756314540343</v>
      </c>
      <c r="AI139" s="40">
        <f t="shared" si="107"/>
        <v>5.0190883941207236</v>
      </c>
      <c r="AJ139" s="39">
        <f t="shared" si="108"/>
        <v>4.9866666666666672</v>
      </c>
      <c r="AK139" s="37">
        <f t="shared" si="99"/>
        <v>10.256952250092668</v>
      </c>
      <c r="AL139" s="37">
        <f t="shared" si="100"/>
        <v>2.1542399999999997</v>
      </c>
      <c r="AM139" s="37">
        <f t="shared" si="101"/>
        <v>9.4760000000000011E-2</v>
      </c>
      <c r="AN139" s="40">
        <f t="shared" si="109"/>
        <v>2.2489999999999997</v>
      </c>
      <c r="AO139" s="39">
        <f t="shared" si="102"/>
        <v>1.0132909321739278</v>
      </c>
      <c r="AP139" s="37">
        <f t="shared" si="103"/>
        <v>0.15292125000000001</v>
      </c>
      <c r="AQ139" s="40">
        <f t="shared" si="104"/>
        <v>1.7099999999999999E-3</v>
      </c>
      <c r="AR139" s="39">
        <f t="shared" si="110"/>
        <v>10.650854143887935</v>
      </c>
      <c r="AS139" s="37">
        <f t="shared" si="111"/>
        <v>71.807999999999993</v>
      </c>
      <c r="AT139" s="40">
        <f t="shared" si="112"/>
        <v>87.083431786109273</v>
      </c>
    </row>
    <row r="140" spans="17:46" x14ac:dyDescent="0.25">
      <c r="Q140">
        <v>133</v>
      </c>
      <c r="R140" s="39">
        <f t="shared" si="88"/>
        <v>16</v>
      </c>
      <c r="S140" s="37">
        <f t="shared" si="89"/>
        <v>4.5219999999999994</v>
      </c>
      <c r="T140" s="37">
        <f t="shared" si="90"/>
        <v>3.8</v>
      </c>
      <c r="U140" s="40">
        <f t="shared" si="91"/>
        <v>21.155555555555551</v>
      </c>
      <c r="V140" s="39">
        <f t="shared" si="92"/>
        <v>2</v>
      </c>
      <c r="W140" s="37">
        <f t="shared" si="93"/>
        <v>0.76249999999999996</v>
      </c>
      <c r="X140" s="40">
        <f t="shared" si="94"/>
        <v>0.23750000000000004</v>
      </c>
      <c r="Y140" s="39">
        <f t="shared" si="95"/>
        <v>5.0391304347826082</v>
      </c>
      <c r="Z140" s="37">
        <f t="shared" si="71"/>
        <v>23.675120772946855</v>
      </c>
      <c r="AA140" s="37">
        <f t="shared" si="72"/>
        <v>21.205508729866086</v>
      </c>
      <c r="AB140" s="37">
        <v>0</v>
      </c>
      <c r="AC140" s="37">
        <f t="shared" si="96"/>
        <v>2.2483680024621338</v>
      </c>
      <c r="AD140" s="40">
        <f t="shared" si="105"/>
        <v>2.2483680024621338</v>
      </c>
      <c r="AE140" s="39">
        <f t="shared" si="113"/>
        <v>16.131111111111107</v>
      </c>
      <c r="AF140" s="37">
        <f t="shared" si="106"/>
        <v>18.516914439924253</v>
      </c>
      <c r="AG140" s="37">
        <f t="shared" si="97"/>
        <v>1.5772301537271867</v>
      </c>
      <c r="AH140" s="37">
        <f t="shared" si="98"/>
        <v>3.4916284771468677</v>
      </c>
      <c r="AI140" s="40">
        <f t="shared" si="107"/>
        <v>5.068858630874054</v>
      </c>
      <c r="AJ140" s="39">
        <f t="shared" si="108"/>
        <v>5.0244444444444447</v>
      </c>
      <c r="AK140" s="37">
        <f t="shared" si="99"/>
        <v>10.334286628352794</v>
      </c>
      <c r="AL140" s="37">
        <f t="shared" si="100"/>
        <v>2.1705599999999996</v>
      </c>
      <c r="AM140" s="37">
        <f t="shared" si="101"/>
        <v>9.4760000000000011E-2</v>
      </c>
      <c r="AN140" s="40">
        <f t="shared" si="109"/>
        <v>2.2653199999999996</v>
      </c>
      <c r="AO140" s="39">
        <f t="shared" si="102"/>
        <v>1.028628361126426</v>
      </c>
      <c r="AP140" s="37">
        <f t="shared" si="103"/>
        <v>0.15292125000000001</v>
      </c>
      <c r="AQ140" s="40">
        <f t="shared" si="104"/>
        <v>1.7099999999999999E-3</v>
      </c>
      <c r="AR140" s="39">
        <f t="shared" si="110"/>
        <v>10.765806244462611</v>
      </c>
      <c r="AS140" s="37">
        <f t="shared" si="111"/>
        <v>72.35199999999999</v>
      </c>
      <c r="AT140" s="40">
        <f t="shared" si="112"/>
        <v>87.047533217131985</v>
      </c>
    </row>
    <row r="141" spans="17:46" x14ac:dyDescent="0.25">
      <c r="Q141">
        <v>134</v>
      </c>
      <c r="R141" s="39">
        <f t="shared" si="88"/>
        <v>16</v>
      </c>
      <c r="S141" s="37">
        <f t="shared" si="89"/>
        <v>4.5559999999999992</v>
      </c>
      <c r="T141" s="37">
        <f t="shared" si="90"/>
        <v>3.8</v>
      </c>
      <c r="U141" s="40">
        <f t="shared" si="91"/>
        <v>21.314619883040933</v>
      </c>
      <c r="V141" s="39">
        <f t="shared" si="92"/>
        <v>2</v>
      </c>
      <c r="W141" s="37">
        <f t="shared" si="93"/>
        <v>0.76249999999999996</v>
      </c>
      <c r="X141" s="40">
        <f t="shared" si="94"/>
        <v>0.23750000000000004</v>
      </c>
      <c r="Y141" s="39">
        <f t="shared" si="95"/>
        <v>5.0391304347826082</v>
      </c>
      <c r="Z141" s="37">
        <f t="shared" si="71"/>
        <v>23.834185100432236</v>
      </c>
      <c r="AA141" s="37">
        <f t="shared" si="72"/>
        <v>21.364201140851328</v>
      </c>
      <c r="AB141" s="37">
        <v>0</v>
      </c>
      <c r="AC141" s="37">
        <f t="shared" si="96"/>
        <v>2.2821454519337663</v>
      </c>
      <c r="AD141" s="40">
        <f t="shared" si="105"/>
        <v>2.2821454519337663</v>
      </c>
      <c r="AE141" s="39">
        <f t="shared" si="113"/>
        <v>16.252397660818712</v>
      </c>
      <c r="AF141" s="37">
        <f t="shared" si="106"/>
        <v>18.655486630476815</v>
      </c>
      <c r="AG141" s="37">
        <f t="shared" si="97"/>
        <v>1.6009250345315362</v>
      </c>
      <c r="AH141" s="37">
        <f t="shared" si="98"/>
        <v>3.5178813228397021</v>
      </c>
      <c r="AI141" s="40">
        <f t="shared" si="107"/>
        <v>5.1188063573712386</v>
      </c>
      <c r="AJ141" s="39">
        <f t="shared" si="108"/>
        <v>5.0622222222222222</v>
      </c>
      <c r="AK141" s="37">
        <f t="shared" si="99"/>
        <v>10.411623743050548</v>
      </c>
      <c r="AL141" s="37">
        <f t="shared" si="100"/>
        <v>2.1868799999999995</v>
      </c>
      <c r="AM141" s="37">
        <f t="shared" si="101"/>
        <v>9.4760000000000011E-2</v>
      </c>
      <c r="AN141" s="40">
        <f t="shared" si="109"/>
        <v>2.2816399999999994</v>
      </c>
      <c r="AO141" s="39">
        <f t="shared" si="102"/>
        <v>1.0440815442596976</v>
      </c>
      <c r="AP141" s="37">
        <f t="shared" si="103"/>
        <v>0.15292125000000001</v>
      </c>
      <c r="AQ141" s="40">
        <f t="shared" si="104"/>
        <v>1.7099999999999999E-3</v>
      </c>
      <c r="AR141" s="39">
        <f t="shared" si="110"/>
        <v>10.881304603564702</v>
      </c>
      <c r="AS141" s="37">
        <f t="shared" si="111"/>
        <v>72.895999999999987</v>
      </c>
      <c r="AT141" s="40">
        <f t="shared" si="112"/>
        <v>87.011632022472938</v>
      </c>
    </row>
    <row r="142" spans="17:46" x14ac:dyDescent="0.25">
      <c r="Q142">
        <v>135</v>
      </c>
      <c r="R142" s="39">
        <f t="shared" si="88"/>
        <v>16</v>
      </c>
      <c r="S142" s="37">
        <f t="shared" si="89"/>
        <v>4.589999999999999</v>
      </c>
      <c r="T142" s="37">
        <f t="shared" si="90"/>
        <v>3.8</v>
      </c>
      <c r="U142" s="40">
        <f t="shared" si="91"/>
        <v>21.473684210526311</v>
      </c>
      <c r="V142" s="39">
        <f t="shared" si="92"/>
        <v>2</v>
      </c>
      <c r="W142" s="37">
        <f t="shared" si="93"/>
        <v>0.76249999999999996</v>
      </c>
      <c r="X142" s="40">
        <f t="shared" si="94"/>
        <v>0.23750000000000004</v>
      </c>
      <c r="Y142" s="39">
        <f t="shared" si="95"/>
        <v>5.0391304347826082</v>
      </c>
      <c r="Z142" s="37">
        <f t="shared" si="71"/>
        <v>23.993249427917615</v>
      </c>
      <c r="AA142" s="37">
        <f t="shared" si="72"/>
        <v>21.522899042685591</v>
      </c>
      <c r="AB142" s="37">
        <v>0</v>
      </c>
      <c r="AC142" s="37">
        <f t="shared" si="96"/>
        <v>2.3161759160081816</v>
      </c>
      <c r="AD142" s="40">
        <f t="shared" si="105"/>
        <v>2.3161759160081816</v>
      </c>
      <c r="AE142" s="39">
        <f t="shared" si="113"/>
        <v>16.37368421052631</v>
      </c>
      <c r="AF142" s="37">
        <f t="shared" si="106"/>
        <v>18.794063615707159</v>
      </c>
      <c r="AG142" s="37">
        <f t="shared" si="97"/>
        <v>1.6247974050797391</v>
      </c>
      <c r="AH142" s="37">
        <f t="shared" si="98"/>
        <v>3.5441341685325352</v>
      </c>
      <c r="AI142" s="40">
        <f t="shared" si="107"/>
        <v>5.1689315736122747</v>
      </c>
      <c r="AJ142" s="39">
        <f t="shared" si="108"/>
        <v>5.0999999999999996</v>
      </c>
      <c r="AK142" s="37">
        <f t="shared" si="99"/>
        <v>10.48896353365711</v>
      </c>
      <c r="AL142" s="37">
        <f t="shared" si="100"/>
        <v>2.2031999999999994</v>
      </c>
      <c r="AM142" s="37">
        <f t="shared" si="101"/>
        <v>9.4760000000000011E-2</v>
      </c>
      <c r="AN142" s="40">
        <f t="shared" si="109"/>
        <v>2.2979599999999993</v>
      </c>
      <c r="AO142" s="39">
        <f t="shared" si="102"/>
        <v>1.0596504815737431</v>
      </c>
      <c r="AP142" s="37">
        <f t="shared" si="103"/>
        <v>0.15292125000000001</v>
      </c>
      <c r="AQ142" s="40">
        <f t="shared" si="104"/>
        <v>1.7099999999999999E-3</v>
      </c>
      <c r="AR142" s="39">
        <f t="shared" si="110"/>
        <v>10.997349221194197</v>
      </c>
      <c r="AS142" s="37">
        <f t="shared" si="111"/>
        <v>73.439999999999984</v>
      </c>
      <c r="AT142" s="40">
        <f t="shared" si="112"/>
        <v>86.975728960432818</v>
      </c>
    </row>
    <row r="143" spans="17:46" x14ac:dyDescent="0.25">
      <c r="Q143">
        <v>136</v>
      </c>
      <c r="R143" s="39">
        <f t="shared" si="88"/>
        <v>16</v>
      </c>
      <c r="S143" s="37">
        <f t="shared" si="89"/>
        <v>4.6239999999999997</v>
      </c>
      <c r="T143" s="37">
        <f t="shared" si="90"/>
        <v>3.8</v>
      </c>
      <c r="U143" s="40">
        <f t="shared" si="91"/>
        <v>21.632748538011693</v>
      </c>
      <c r="V143" s="39">
        <f t="shared" si="92"/>
        <v>2</v>
      </c>
      <c r="W143" s="37">
        <f t="shared" si="93"/>
        <v>0.76249999999999996</v>
      </c>
      <c r="X143" s="40">
        <f t="shared" si="94"/>
        <v>0.23750000000000004</v>
      </c>
      <c r="Y143" s="39">
        <f t="shared" si="95"/>
        <v>5.0391304347826082</v>
      </c>
      <c r="Z143" s="37">
        <f t="shared" si="71"/>
        <v>24.152313755402997</v>
      </c>
      <c r="AA143" s="37">
        <f t="shared" si="72"/>
        <v>21.681602314798518</v>
      </c>
      <c r="AB143" s="37">
        <v>0</v>
      </c>
      <c r="AC143" s="37">
        <f t="shared" si="96"/>
        <v>2.3504593946853825</v>
      </c>
      <c r="AD143" s="40">
        <f t="shared" si="105"/>
        <v>2.3504593946853825</v>
      </c>
      <c r="AE143" s="39">
        <f t="shared" si="113"/>
        <v>16.494970760233915</v>
      </c>
      <c r="AF143" s="37">
        <f t="shared" si="106"/>
        <v>18.932645290331745</v>
      </c>
      <c r="AG143" s="37">
        <f t="shared" si="97"/>
        <v>1.6488472653717956</v>
      </c>
      <c r="AH143" s="37">
        <f t="shared" si="98"/>
        <v>3.5703870142253691</v>
      </c>
      <c r="AI143" s="40">
        <f t="shared" si="107"/>
        <v>5.2192342795971651</v>
      </c>
      <c r="AJ143" s="39">
        <f t="shared" si="108"/>
        <v>5.137777777777778</v>
      </c>
      <c r="AK143" s="37">
        <f t="shared" si="99"/>
        <v>10.566305941413757</v>
      </c>
      <c r="AL143" s="37">
        <f t="shared" si="100"/>
        <v>2.2195199999999997</v>
      </c>
      <c r="AM143" s="37">
        <f t="shared" si="101"/>
        <v>9.4760000000000011E-2</v>
      </c>
      <c r="AN143" s="40">
        <f t="shared" si="109"/>
        <v>2.3142799999999997</v>
      </c>
      <c r="AO143" s="39">
        <f t="shared" si="102"/>
        <v>1.0753351730685625</v>
      </c>
      <c r="AP143" s="37">
        <f t="shared" si="103"/>
        <v>0.15292125000000001</v>
      </c>
      <c r="AQ143" s="40">
        <f t="shared" si="104"/>
        <v>1.7099999999999999E-3</v>
      </c>
      <c r="AR143" s="39">
        <f t="shared" si="110"/>
        <v>11.113940097351108</v>
      </c>
      <c r="AS143" s="37">
        <f t="shared" si="111"/>
        <v>73.983999999999995</v>
      </c>
      <c r="AT143" s="40">
        <f t="shared" si="112"/>
        <v>86.93982476586757</v>
      </c>
    </row>
    <row r="144" spans="17:46" x14ac:dyDescent="0.25">
      <c r="Q144">
        <v>137</v>
      </c>
      <c r="R144" s="39">
        <f t="shared" si="88"/>
        <v>16</v>
      </c>
      <c r="S144" s="37">
        <f t="shared" si="89"/>
        <v>4.6579999999999995</v>
      </c>
      <c r="T144" s="37">
        <f t="shared" si="90"/>
        <v>3.8</v>
      </c>
      <c r="U144" s="40">
        <f t="shared" si="91"/>
        <v>21.791812865497075</v>
      </c>
      <c r="V144" s="39">
        <f t="shared" si="92"/>
        <v>2</v>
      </c>
      <c r="W144" s="37">
        <f t="shared" si="93"/>
        <v>0.76249999999999996</v>
      </c>
      <c r="X144" s="40">
        <f t="shared" si="94"/>
        <v>0.23750000000000004</v>
      </c>
      <c r="Y144" s="39">
        <f t="shared" si="95"/>
        <v>5.0391304347826082</v>
      </c>
      <c r="Z144" s="37">
        <f t="shared" ref="Z144:Z157" si="114">CHOOSE(V144,Y144,U144+(0.5*Y144))</f>
        <v>24.311378082888378</v>
      </c>
      <c r="AA144" s="37">
        <f t="shared" ref="AA144:AA157" si="115">CHOOSE(V144,Z144*SQRT((W144+X144)/3),SQRT((U144^2)+((Y144^2)/12)))</f>
        <v>21.840310840120228</v>
      </c>
      <c r="AB144" s="37">
        <v>0</v>
      </c>
      <c r="AC144" s="37">
        <f t="shared" si="96"/>
        <v>2.3849958879653661</v>
      </c>
      <c r="AD144" s="40">
        <f t="shared" si="105"/>
        <v>2.3849958879653661</v>
      </c>
      <c r="AE144" s="39">
        <f t="shared" si="113"/>
        <v>16.616257309941521</v>
      </c>
      <c r="AF144" s="37">
        <f t="shared" si="106"/>
        <v>19.071231552123692</v>
      </c>
      <c r="AG144" s="37">
        <f t="shared" si="97"/>
        <v>1.6730746154077039</v>
      </c>
      <c r="AH144" s="37">
        <f t="shared" si="98"/>
        <v>3.5966398599182026</v>
      </c>
      <c r="AI144" s="40">
        <f t="shared" si="107"/>
        <v>5.2697144753259062</v>
      </c>
      <c r="AJ144" s="39">
        <f t="shared" si="108"/>
        <v>5.1755555555555564</v>
      </c>
      <c r="AK144" s="37">
        <f t="shared" si="99"/>
        <v>10.643650909267688</v>
      </c>
      <c r="AL144" s="37">
        <f t="shared" si="100"/>
        <v>2.2358399999999996</v>
      </c>
      <c r="AM144" s="37">
        <f t="shared" si="101"/>
        <v>9.4760000000000011E-2</v>
      </c>
      <c r="AN144" s="40">
        <f t="shared" si="109"/>
        <v>2.3305999999999996</v>
      </c>
      <c r="AO144" s="39">
        <f t="shared" si="102"/>
        <v>1.0911356187441548</v>
      </c>
      <c r="AP144" s="37">
        <f t="shared" si="103"/>
        <v>0.15292125000000001</v>
      </c>
      <c r="AQ144" s="40">
        <f t="shared" si="104"/>
        <v>1.7099999999999999E-3</v>
      </c>
      <c r="AR144" s="39">
        <f t="shared" si="110"/>
        <v>11.231077232035426</v>
      </c>
      <c r="AS144" s="37">
        <f t="shared" si="111"/>
        <v>74.527999999999992</v>
      </c>
      <c r="AT144" s="40">
        <f t="shared" si="112"/>
        <v>86.903920151043735</v>
      </c>
    </row>
    <row r="145" spans="17:46" x14ac:dyDescent="0.25">
      <c r="Q145">
        <v>138</v>
      </c>
      <c r="R145" s="39">
        <f t="shared" si="88"/>
        <v>16</v>
      </c>
      <c r="S145" s="37">
        <f t="shared" si="89"/>
        <v>4.6919999999999993</v>
      </c>
      <c r="T145" s="37">
        <f t="shared" si="90"/>
        <v>3.8</v>
      </c>
      <c r="U145" s="40">
        <f t="shared" si="91"/>
        <v>21.950877192982453</v>
      </c>
      <c r="V145" s="39">
        <f t="shared" si="92"/>
        <v>2</v>
      </c>
      <c r="W145" s="37">
        <f t="shared" si="93"/>
        <v>0.76249999999999996</v>
      </c>
      <c r="X145" s="40">
        <f t="shared" si="94"/>
        <v>0.23750000000000004</v>
      </c>
      <c r="Y145" s="39">
        <f t="shared" si="95"/>
        <v>5.0391304347826082</v>
      </c>
      <c r="Z145" s="37">
        <f t="shared" si="114"/>
        <v>24.470442410373757</v>
      </c>
      <c r="AA145" s="37">
        <f t="shared" si="115"/>
        <v>21.999024504955365</v>
      </c>
      <c r="AB145" s="37">
        <v>0</v>
      </c>
      <c r="AC145" s="37">
        <f t="shared" si="96"/>
        <v>2.4197853958481335</v>
      </c>
      <c r="AD145" s="40">
        <f t="shared" si="105"/>
        <v>2.4197853958481335</v>
      </c>
      <c r="AE145" s="39">
        <f t="shared" si="113"/>
        <v>16.737543859649119</v>
      </c>
      <c r="AF145" s="37">
        <f t="shared" si="106"/>
        <v>19.209822301802802</v>
      </c>
      <c r="AG145" s="37">
        <f t="shared" si="97"/>
        <v>1.6974794551874655</v>
      </c>
      <c r="AH145" s="37">
        <f t="shared" si="98"/>
        <v>3.6228927056110365</v>
      </c>
      <c r="AI145" s="40">
        <f t="shared" si="107"/>
        <v>5.3203721607985024</v>
      </c>
      <c r="AJ145" s="39">
        <f t="shared" si="108"/>
        <v>5.2133333333333338</v>
      </c>
      <c r="AK145" s="37">
        <f t="shared" si="99"/>
        <v>10.720998381810638</v>
      </c>
      <c r="AL145" s="37">
        <f t="shared" si="100"/>
        <v>2.2521599999999995</v>
      </c>
      <c r="AM145" s="37">
        <f t="shared" si="101"/>
        <v>9.4760000000000011E-2</v>
      </c>
      <c r="AN145" s="40">
        <f t="shared" si="109"/>
        <v>2.3469199999999995</v>
      </c>
      <c r="AO145" s="39">
        <f t="shared" si="102"/>
        <v>1.1070518186005209</v>
      </c>
      <c r="AP145" s="37">
        <f t="shared" si="103"/>
        <v>0.15292125000000001</v>
      </c>
      <c r="AQ145" s="40">
        <f t="shared" si="104"/>
        <v>1.7099999999999999E-3</v>
      </c>
      <c r="AR145" s="39">
        <f t="shared" si="110"/>
        <v>11.348760625247156</v>
      </c>
      <c r="AS145" s="37">
        <f t="shared" si="111"/>
        <v>75.071999999999989</v>
      </c>
      <c r="AT145" s="40">
        <f t="shared" si="112"/>
        <v>86.868015806456924</v>
      </c>
    </row>
    <row r="146" spans="17:46" x14ac:dyDescent="0.25">
      <c r="Q146">
        <v>139</v>
      </c>
      <c r="R146" s="39">
        <f t="shared" si="88"/>
        <v>16</v>
      </c>
      <c r="S146" s="37">
        <f t="shared" si="89"/>
        <v>4.7259999999999991</v>
      </c>
      <c r="T146" s="37">
        <f t="shared" si="90"/>
        <v>3.8</v>
      </c>
      <c r="U146" s="40">
        <f t="shared" si="91"/>
        <v>22.109941520467832</v>
      </c>
      <c r="V146" s="39">
        <f t="shared" si="92"/>
        <v>2</v>
      </c>
      <c r="W146" s="37">
        <f t="shared" si="93"/>
        <v>0.76249999999999996</v>
      </c>
      <c r="X146" s="40">
        <f t="shared" si="94"/>
        <v>0.23750000000000004</v>
      </c>
      <c r="Y146" s="39">
        <f t="shared" si="95"/>
        <v>5.0391304347826082</v>
      </c>
      <c r="Z146" s="37">
        <f t="shared" si="114"/>
        <v>24.629506737859135</v>
      </c>
      <c r="AA146" s="37">
        <f t="shared" si="115"/>
        <v>22.157743198862484</v>
      </c>
      <c r="AB146" s="37">
        <v>0</v>
      </c>
      <c r="AC146" s="37">
        <f t="shared" si="96"/>
        <v>2.4548279183336836</v>
      </c>
      <c r="AD146" s="40">
        <f t="shared" si="105"/>
        <v>2.4548279183336836</v>
      </c>
      <c r="AE146" s="39">
        <f t="shared" si="113"/>
        <v>16.85883040935672</v>
      </c>
      <c r="AF146" s="37">
        <f t="shared" si="106"/>
        <v>19.348417442930231</v>
      </c>
      <c r="AG146" s="37">
        <f t="shared" si="97"/>
        <v>1.7220617847110793</v>
      </c>
      <c r="AH146" s="37">
        <f t="shared" si="98"/>
        <v>3.6491455513038695</v>
      </c>
      <c r="AI146" s="40">
        <f t="shared" si="107"/>
        <v>5.3712073360149493</v>
      </c>
      <c r="AJ146" s="39">
        <f t="shared" si="108"/>
        <v>5.2511111111111113</v>
      </c>
      <c r="AK146" s="37">
        <f t="shared" si="99"/>
        <v>10.798348305220108</v>
      </c>
      <c r="AL146" s="37">
        <f t="shared" si="100"/>
        <v>2.2684799999999994</v>
      </c>
      <c r="AM146" s="37">
        <f t="shared" si="101"/>
        <v>9.4760000000000011E-2</v>
      </c>
      <c r="AN146" s="40">
        <f t="shared" si="109"/>
        <v>2.3632399999999993</v>
      </c>
      <c r="AO146" s="39">
        <f t="shared" si="102"/>
        <v>1.1230837726376606</v>
      </c>
      <c r="AP146" s="37">
        <f t="shared" si="103"/>
        <v>0.15292125000000001</v>
      </c>
      <c r="AQ146" s="40">
        <f t="shared" si="104"/>
        <v>1.7099999999999999E-3</v>
      </c>
      <c r="AR146" s="39">
        <f t="shared" si="110"/>
        <v>11.466990276986293</v>
      </c>
      <c r="AS146" s="37">
        <f t="shared" si="111"/>
        <v>75.615999999999985</v>
      </c>
      <c r="AT146" s="40">
        <f t="shared" si="112"/>
        <v>86.832112401614765</v>
      </c>
    </row>
    <row r="147" spans="17:46" x14ac:dyDescent="0.25">
      <c r="Q147">
        <v>140</v>
      </c>
      <c r="R147" s="39">
        <f t="shared" si="88"/>
        <v>16</v>
      </c>
      <c r="S147" s="37">
        <f t="shared" si="89"/>
        <v>4.76</v>
      </c>
      <c r="T147" s="37">
        <f t="shared" si="90"/>
        <v>3.8</v>
      </c>
      <c r="U147" s="40">
        <f t="shared" si="91"/>
        <v>22.269005847953217</v>
      </c>
      <c r="V147" s="39">
        <f t="shared" si="92"/>
        <v>2</v>
      </c>
      <c r="W147" s="37">
        <f t="shared" si="93"/>
        <v>0.76249999999999996</v>
      </c>
      <c r="X147" s="40">
        <f t="shared" si="94"/>
        <v>0.23750000000000004</v>
      </c>
      <c r="Y147" s="39">
        <f t="shared" si="95"/>
        <v>5.0391304347826082</v>
      </c>
      <c r="Z147" s="37">
        <f t="shared" si="114"/>
        <v>24.78857106534452</v>
      </c>
      <c r="AA147" s="37">
        <f t="shared" si="115"/>
        <v>22.316466814538629</v>
      </c>
      <c r="AB147" s="37">
        <v>0</v>
      </c>
      <c r="AC147" s="37">
        <f t="shared" si="96"/>
        <v>2.4901234554220197</v>
      </c>
      <c r="AD147" s="40">
        <f t="shared" si="105"/>
        <v>2.4901234554220197</v>
      </c>
      <c r="AE147" s="39">
        <f t="shared" si="113"/>
        <v>16.980116959064325</v>
      </c>
      <c r="AF147" s="37">
        <f t="shared" si="106"/>
        <v>19.487016881807691</v>
      </c>
      <c r="AG147" s="37">
        <f t="shared" si="97"/>
        <v>1.7468216039785465</v>
      </c>
      <c r="AH147" s="37">
        <f t="shared" si="98"/>
        <v>3.6753983969967039</v>
      </c>
      <c r="AI147" s="40">
        <f t="shared" si="107"/>
        <v>5.4222200009752504</v>
      </c>
      <c r="AJ147" s="39">
        <f t="shared" si="108"/>
        <v>5.2888888888888896</v>
      </c>
      <c r="AK147" s="37">
        <f t="shared" si="99"/>
        <v>10.875700627203102</v>
      </c>
      <c r="AL147" s="37">
        <f t="shared" si="100"/>
        <v>2.2847999999999997</v>
      </c>
      <c r="AM147" s="37">
        <f t="shared" si="101"/>
        <v>9.4760000000000011E-2</v>
      </c>
      <c r="AN147" s="40">
        <f t="shared" si="109"/>
        <v>2.3795599999999997</v>
      </c>
      <c r="AO147" s="39">
        <f t="shared" si="102"/>
        <v>1.1392314808555739</v>
      </c>
      <c r="AP147" s="37">
        <f t="shared" si="103"/>
        <v>0.15292125000000001</v>
      </c>
      <c r="AQ147" s="40">
        <f t="shared" si="104"/>
        <v>1.7099999999999999E-3</v>
      </c>
      <c r="AR147" s="39">
        <f t="shared" si="110"/>
        <v>11.585766187252842</v>
      </c>
      <c r="AS147" s="37">
        <f t="shared" si="111"/>
        <v>76.16</v>
      </c>
      <c r="AT147" s="40">
        <f t="shared" si="112"/>
        <v>86.79621058578671</v>
      </c>
    </row>
    <row r="148" spans="17:46" x14ac:dyDescent="0.25">
      <c r="Q148">
        <v>141</v>
      </c>
      <c r="R148" s="39">
        <f t="shared" si="88"/>
        <v>16</v>
      </c>
      <c r="S148" s="37">
        <f t="shared" si="89"/>
        <v>4.7939999999999996</v>
      </c>
      <c r="T148" s="37">
        <f t="shared" si="90"/>
        <v>3.8</v>
      </c>
      <c r="U148" s="40">
        <f t="shared" si="91"/>
        <v>22.428070175438595</v>
      </c>
      <c r="V148" s="39">
        <f t="shared" si="92"/>
        <v>2</v>
      </c>
      <c r="W148" s="37">
        <f t="shared" si="93"/>
        <v>0.76249999999999996</v>
      </c>
      <c r="X148" s="40">
        <f t="shared" si="94"/>
        <v>0.23750000000000004</v>
      </c>
      <c r="Y148" s="39">
        <f t="shared" si="95"/>
        <v>5.0391304347826082</v>
      </c>
      <c r="Z148" s="37">
        <f t="shared" si="114"/>
        <v>24.947635392829898</v>
      </c>
      <c r="AA148" s="37">
        <f t="shared" si="115"/>
        <v>22.475195247708697</v>
      </c>
      <c r="AB148" s="37">
        <v>0</v>
      </c>
      <c r="AC148" s="37">
        <f t="shared" si="96"/>
        <v>2.5256720071131382</v>
      </c>
      <c r="AD148" s="40">
        <f t="shared" si="105"/>
        <v>2.5256720071131382</v>
      </c>
      <c r="AE148" s="39">
        <f t="shared" si="113"/>
        <v>17.101403508771927</v>
      </c>
      <c r="AF148" s="37">
        <f t="shared" si="106"/>
        <v>19.625620527380875</v>
      </c>
      <c r="AG148" s="37">
        <f t="shared" si="97"/>
        <v>1.7717589129898663</v>
      </c>
      <c r="AH148" s="37">
        <f t="shared" si="98"/>
        <v>3.7016512426895369</v>
      </c>
      <c r="AI148" s="40">
        <f t="shared" si="107"/>
        <v>5.473410155679403</v>
      </c>
      <c r="AJ148" s="39">
        <f t="shared" si="108"/>
        <v>5.3266666666666671</v>
      </c>
      <c r="AK148" s="37">
        <f t="shared" si="99"/>
        <v>10.953055296942223</v>
      </c>
      <c r="AL148" s="37">
        <f t="shared" si="100"/>
        <v>2.3011199999999996</v>
      </c>
      <c r="AM148" s="37">
        <f t="shared" si="101"/>
        <v>9.4760000000000011E-2</v>
      </c>
      <c r="AN148" s="40">
        <f t="shared" si="109"/>
        <v>2.3958799999999996</v>
      </c>
      <c r="AO148" s="39">
        <f t="shared" si="102"/>
        <v>1.1554949432542607</v>
      </c>
      <c r="AP148" s="37">
        <f t="shared" si="103"/>
        <v>0.15292125000000001</v>
      </c>
      <c r="AQ148" s="40">
        <f t="shared" si="104"/>
        <v>1.7099999999999999E-3</v>
      </c>
      <c r="AR148" s="39">
        <f t="shared" si="110"/>
        <v>11.705088356046801</v>
      </c>
      <c r="AS148" s="37">
        <f t="shared" si="111"/>
        <v>76.703999999999994</v>
      </c>
      <c r="AT148" s="40">
        <f t="shared" si="112"/>
        <v>86.760310988721756</v>
      </c>
    </row>
    <row r="149" spans="17:46" x14ac:dyDescent="0.25">
      <c r="Q149">
        <v>142</v>
      </c>
      <c r="R149" s="39">
        <f t="shared" si="88"/>
        <v>16</v>
      </c>
      <c r="S149" s="37">
        <f t="shared" si="89"/>
        <v>4.8279999999999994</v>
      </c>
      <c r="T149" s="37">
        <f t="shared" si="90"/>
        <v>3.8</v>
      </c>
      <c r="U149" s="40">
        <f t="shared" si="91"/>
        <v>22.587134502923973</v>
      </c>
      <c r="V149" s="39">
        <f t="shared" si="92"/>
        <v>2</v>
      </c>
      <c r="W149" s="37">
        <f t="shared" si="93"/>
        <v>0.76249999999999996</v>
      </c>
      <c r="X149" s="40">
        <f t="shared" si="94"/>
        <v>0.23750000000000004</v>
      </c>
      <c r="Y149" s="39">
        <f t="shared" si="95"/>
        <v>5.0391304347826082</v>
      </c>
      <c r="Z149" s="37">
        <f t="shared" si="114"/>
        <v>25.106699720315277</v>
      </c>
      <c r="AA149" s="37">
        <f t="shared" si="115"/>
        <v>22.633928397019549</v>
      </c>
      <c r="AB149" s="37">
        <v>0</v>
      </c>
      <c r="AC149" s="37">
        <f t="shared" si="96"/>
        <v>2.5614735734070395</v>
      </c>
      <c r="AD149" s="40">
        <f t="shared" si="105"/>
        <v>2.5614735734070395</v>
      </c>
      <c r="AE149" s="39">
        <f t="shared" si="113"/>
        <v>17.222690058479529</v>
      </c>
      <c r="AF149" s="37">
        <f t="shared" si="106"/>
        <v>19.764228291146949</v>
      </c>
      <c r="AG149" s="37">
        <f t="shared" si="97"/>
        <v>1.796873711745038</v>
      </c>
      <c r="AH149" s="37">
        <f t="shared" si="98"/>
        <v>3.7279040883823704</v>
      </c>
      <c r="AI149" s="40">
        <f t="shared" si="107"/>
        <v>5.5247778001274082</v>
      </c>
      <c r="AJ149" s="39">
        <f t="shared" si="108"/>
        <v>5.3644444444444446</v>
      </c>
      <c r="AK149" s="37">
        <f t="shared" si="99"/>
        <v>11.030412265044058</v>
      </c>
      <c r="AL149" s="37">
        <f t="shared" si="100"/>
        <v>2.3174399999999995</v>
      </c>
      <c r="AM149" s="37">
        <f t="shared" si="101"/>
        <v>9.4760000000000011E-2</v>
      </c>
      <c r="AN149" s="40">
        <f t="shared" si="109"/>
        <v>2.4121999999999995</v>
      </c>
      <c r="AO149" s="39">
        <f t="shared" si="102"/>
        <v>1.1718741598337206</v>
      </c>
      <c r="AP149" s="37">
        <f t="shared" si="103"/>
        <v>0.15292125000000001</v>
      </c>
      <c r="AQ149" s="40">
        <f t="shared" si="104"/>
        <v>1.7099999999999999E-3</v>
      </c>
      <c r="AR149" s="39">
        <f t="shared" si="110"/>
        <v>11.824956783368167</v>
      </c>
      <c r="AS149" s="37">
        <f t="shared" si="111"/>
        <v>77.24799999999999</v>
      </c>
      <c r="AT149" s="40">
        <f t="shared" si="112"/>
        <v>86.724414221336204</v>
      </c>
    </row>
    <row r="150" spans="17:46" x14ac:dyDescent="0.25">
      <c r="Q150">
        <v>143</v>
      </c>
      <c r="R150" s="39">
        <f t="shared" si="88"/>
        <v>16</v>
      </c>
      <c r="S150" s="37">
        <f t="shared" si="89"/>
        <v>4.8619999999999992</v>
      </c>
      <c r="T150" s="37">
        <f t="shared" si="90"/>
        <v>3.8</v>
      </c>
      <c r="U150" s="40">
        <f t="shared" si="91"/>
        <v>22.746198830409355</v>
      </c>
      <c r="V150" s="39">
        <f t="shared" si="92"/>
        <v>2</v>
      </c>
      <c r="W150" s="37">
        <f t="shared" si="93"/>
        <v>0.76249999999999996</v>
      </c>
      <c r="X150" s="40">
        <f t="shared" si="94"/>
        <v>0.23750000000000004</v>
      </c>
      <c r="Y150" s="39">
        <f t="shared" si="95"/>
        <v>5.0391304347826082</v>
      </c>
      <c r="Z150" s="37">
        <f t="shared" si="114"/>
        <v>25.265764047800658</v>
      </c>
      <c r="AA150" s="37">
        <f t="shared" si="115"/>
        <v>22.792666163938463</v>
      </c>
      <c r="AB150" s="37">
        <v>0</v>
      </c>
      <c r="AC150" s="37">
        <f t="shared" si="96"/>
        <v>2.5975281543037267</v>
      </c>
      <c r="AD150" s="40">
        <f t="shared" si="105"/>
        <v>2.5975281543037267</v>
      </c>
      <c r="AE150" s="39">
        <f t="shared" si="113"/>
        <v>17.343976608187134</v>
      </c>
      <c r="AF150" s="37">
        <f t="shared" si="106"/>
        <v>19.902840087065922</v>
      </c>
      <c r="AG150" s="37">
        <f t="shared" si="97"/>
        <v>1.8221660002440638</v>
      </c>
      <c r="AH150" s="37">
        <f t="shared" si="98"/>
        <v>3.7541569340752043</v>
      </c>
      <c r="AI150" s="40">
        <f t="shared" si="107"/>
        <v>5.5763229343192684</v>
      </c>
      <c r="AJ150" s="39">
        <f t="shared" si="108"/>
        <v>5.4022222222222229</v>
      </c>
      <c r="AK150" s="37">
        <f t="shared" si="99"/>
        <v>11.107771483489701</v>
      </c>
      <c r="AL150" s="37">
        <f t="shared" si="100"/>
        <v>2.3337599999999994</v>
      </c>
      <c r="AM150" s="37">
        <f t="shared" si="101"/>
        <v>9.4760000000000011E-2</v>
      </c>
      <c r="AN150" s="40">
        <f t="shared" si="109"/>
        <v>2.4285199999999993</v>
      </c>
      <c r="AO150" s="39">
        <f t="shared" si="102"/>
        <v>1.1883691305939548</v>
      </c>
      <c r="AP150" s="37">
        <f t="shared" si="103"/>
        <v>0.15292125000000001</v>
      </c>
      <c r="AQ150" s="40">
        <f t="shared" si="104"/>
        <v>1.7099999999999999E-3</v>
      </c>
      <c r="AR150" s="39">
        <f t="shared" si="110"/>
        <v>11.945371469216949</v>
      </c>
      <c r="AS150" s="37">
        <f t="shared" si="111"/>
        <v>77.791999999999987</v>
      </c>
      <c r="AT150" s="40">
        <f t="shared" si="112"/>
        <v>86.688520876372408</v>
      </c>
    </row>
    <row r="151" spans="17:46" x14ac:dyDescent="0.25">
      <c r="Q151">
        <v>144</v>
      </c>
      <c r="R151" s="39">
        <f t="shared" si="88"/>
        <v>16</v>
      </c>
      <c r="S151" s="37">
        <f t="shared" si="89"/>
        <v>4.895999999999999</v>
      </c>
      <c r="T151" s="37">
        <f t="shared" si="90"/>
        <v>3.8</v>
      </c>
      <c r="U151" s="40">
        <f t="shared" si="91"/>
        <v>22.905263157894733</v>
      </c>
      <c r="V151" s="39">
        <f t="shared" si="92"/>
        <v>2</v>
      </c>
      <c r="W151" s="37">
        <f t="shared" si="93"/>
        <v>0.76249999999999996</v>
      </c>
      <c r="X151" s="40">
        <f t="shared" si="94"/>
        <v>0.23750000000000004</v>
      </c>
      <c r="Y151" s="39">
        <f t="shared" si="95"/>
        <v>5.0391304347826082</v>
      </c>
      <c r="Z151" s="37">
        <f t="shared" si="114"/>
        <v>25.424828375286037</v>
      </c>
      <c r="AA151" s="37">
        <f t="shared" si="115"/>
        <v>22.95140845265578</v>
      </c>
      <c r="AB151" s="37">
        <v>0</v>
      </c>
      <c r="AC151" s="37">
        <f t="shared" si="96"/>
        <v>2.6338357498031963</v>
      </c>
      <c r="AD151" s="40">
        <f t="shared" si="105"/>
        <v>2.6338357498031963</v>
      </c>
      <c r="AE151" s="39">
        <f t="shared" si="113"/>
        <v>17.465263157894732</v>
      </c>
      <c r="AF151" s="37">
        <f t="shared" si="106"/>
        <v>20.041455831475599</v>
      </c>
      <c r="AG151" s="37">
        <f t="shared" si="97"/>
        <v>1.8476357784869415</v>
      </c>
      <c r="AH151" s="37">
        <f t="shared" si="98"/>
        <v>3.7804097797680378</v>
      </c>
      <c r="AI151" s="40">
        <f t="shared" si="107"/>
        <v>5.6280455582549793</v>
      </c>
      <c r="AJ151" s="39">
        <f t="shared" si="108"/>
        <v>5.44</v>
      </c>
      <c r="AK151" s="37">
        <f t="shared" si="99"/>
        <v>11.185132905587299</v>
      </c>
      <c r="AL151" s="37">
        <f t="shared" si="100"/>
        <v>2.3500799999999993</v>
      </c>
      <c r="AM151" s="37">
        <f t="shared" si="101"/>
        <v>9.4760000000000011E-2</v>
      </c>
      <c r="AN151" s="40">
        <f t="shared" si="109"/>
        <v>2.4448399999999992</v>
      </c>
      <c r="AO151" s="39">
        <f t="shared" si="102"/>
        <v>1.2049798555349618</v>
      </c>
      <c r="AP151" s="37">
        <f t="shared" si="103"/>
        <v>0.15292125000000001</v>
      </c>
      <c r="AQ151" s="40">
        <f t="shared" si="104"/>
        <v>1.7099999999999999E-3</v>
      </c>
      <c r="AR151" s="39">
        <f t="shared" si="110"/>
        <v>12.066332413593136</v>
      </c>
      <c r="AS151" s="37">
        <f t="shared" si="111"/>
        <v>78.335999999999984</v>
      </c>
      <c r="AT151" s="40">
        <f t="shared" si="112"/>
        <v>86.652631529030316</v>
      </c>
    </row>
    <row r="152" spans="17:46" x14ac:dyDescent="0.25">
      <c r="Q152">
        <v>145</v>
      </c>
      <c r="R152" s="39">
        <f t="shared" si="88"/>
        <v>16</v>
      </c>
      <c r="S152" s="37">
        <f t="shared" si="89"/>
        <v>4.93</v>
      </c>
      <c r="T152" s="37">
        <f t="shared" si="90"/>
        <v>3.8</v>
      </c>
      <c r="U152" s="40">
        <f t="shared" si="91"/>
        <v>23.064327485380115</v>
      </c>
      <c r="V152" s="39">
        <f t="shared" si="92"/>
        <v>2</v>
      </c>
      <c r="W152" s="37">
        <f t="shared" si="93"/>
        <v>0.76249999999999996</v>
      </c>
      <c r="X152" s="40">
        <f t="shared" si="94"/>
        <v>0.23750000000000004</v>
      </c>
      <c r="Y152" s="39">
        <f t="shared" si="95"/>
        <v>5.0391304347826082</v>
      </c>
      <c r="Z152" s="37">
        <f t="shared" si="114"/>
        <v>25.583892702771418</v>
      </c>
      <c r="AA152" s="37">
        <f t="shared" si="115"/>
        <v>23.110155169991614</v>
      </c>
      <c r="AB152" s="37">
        <v>0</v>
      </c>
      <c r="AC152" s="37">
        <f t="shared" si="96"/>
        <v>2.670396359905451</v>
      </c>
      <c r="AD152" s="40">
        <f t="shared" si="105"/>
        <v>2.670396359905451</v>
      </c>
      <c r="AE152" s="39">
        <f t="shared" si="113"/>
        <v>17.586549707602337</v>
      </c>
      <c r="AF152" s="37">
        <f t="shared" si="106"/>
        <v>20.180075443010143</v>
      </c>
      <c r="AG152" s="37">
        <f t="shared" si="97"/>
        <v>1.8732830464736725</v>
      </c>
      <c r="AH152" s="37">
        <f t="shared" si="98"/>
        <v>3.8066626254608713</v>
      </c>
      <c r="AI152" s="40">
        <f t="shared" si="107"/>
        <v>5.6799456719345436</v>
      </c>
      <c r="AJ152" s="39">
        <f t="shared" si="108"/>
        <v>5.4777777777777787</v>
      </c>
      <c r="AK152" s="37">
        <f t="shared" si="99"/>
        <v>11.262496485926594</v>
      </c>
      <c r="AL152" s="37">
        <f t="shared" si="100"/>
        <v>2.3663999999999996</v>
      </c>
      <c r="AM152" s="37">
        <f t="shared" si="101"/>
        <v>9.4760000000000011E-2</v>
      </c>
      <c r="AN152" s="40">
        <f t="shared" si="109"/>
        <v>2.4611599999999996</v>
      </c>
      <c r="AO152" s="39">
        <f t="shared" si="102"/>
        <v>1.2217063346567429</v>
      </c>
      <c r="AP152" s="37">
        <f t="shared" si="103"/>
        <v>0.15292125000000001</v>
      </c>
      <c r="AQ152" s="40">
        <f t="shared" si="104"/>
        <v>1.7099999999999999E-3</v>
      </c>
      <c r="AR152" s="39">
        <f t="shared" si="110"/>
        <v>12.187839616496737</v>
      </c>
      <c r="AS152" s="37">
        <f t="shared" si="111"/>
        <v>78.88</v>
      </c>
      <c r="AT152" s="40">
        <f t="shared" si="112"/>
        <v>86.616746737572839</v>
      </c>
    </row>
    <row r="153" spans="17:46" x14ac:dyDescent="0.25">
      <c r="Q153">
        <v>146</v>
      </c>
      <c r="R153" s="39">
        <f t="shared" si="88"/>
        <v>16</v>
      </c>
      <c r="S153" s="37">
        <f t="shared" si="89"/>
        <v>4.9639999999999995</v>
      </c>
      <c r="T153" s="37">
        <f t="shared" si="90"/>
        <v>3.8</v>
      </c>
      <c r="U153" s="40">
        <f t="shared" si="91"/>
        <v>23.223391812865497</v>
      </c>
      <c r="V153" s="39">
        <f t="shared" si="92"/>
        <v>2</v>
      </c>
      <c r="W153" s="37">
        <f t="shared" si="93"/>
        <v>0.76249999999999996</v>
      </c>
      <c r="X153" s="40">
        <f t="shared" si="94"/>
        <v>0.23750000000000004</v>
      </c>
      <c r="Y153" s="39">
        <f t="shared" si="95"/>
        <v>5.0391304347826082</v>
      </c>
      <c r="Z153" s="37">
        <f t="shared" si="114"/>
        <v>25.7429570302568</v>
      </c>
      <c r="AA153" s="37">
        <f t="shared" si="115"/>
        <v>23.268906225306285</v>
      </c>
      <c r="AB153" s="37">
        <v>0</v>
      </c>
      <c r="AC153" s="37">
        <f t="shared" si="96"/>
        <v>2.707209984610488</v>
      </c>
      <c r="AD153" s="40">
        <f t="shared" si="105"/>
        <v>2.707209984610488</v>
      </c>
      <c r="AE153" s="39">
        <f t="shared" si="113"/>
        <v>17.707836257309939</v>
      </c>
      <c r="AF153" s="37">
        <f t="shared" si="106"/>
        <v>20.318698842521862</v>
      </c>
      <c r="AG153" s="37">
        <f t="shared" si="97"/>
        <v>1.8991078042042566</v>
      </c>
      <c r="AH153" s="37">
        <f t="shared" si="98"/>
        <v>3.8329154711537057</v>
      </c>
      <c r="AI153" s="40">
        <f t="shared" si="107"/>
        <v>5.7320232753579621</v>
      </c>
      <c r="AJ153" s="39">
        <f t="shared" si="108"/>
        <v>5.5155555555555562</v>
      </c>
      <c r="AK153" s="37">
        <f t="shared" si="99"/>
        <v>11.339862180335269</v>
      </c>
      <c r="AL153" s="37">
        <f t="shared" si="100"/>
        <v>2.3827199999999995</v>
      </c>
      <c r="AM153" s="37">
        <f t="shared" si="101"/>
        <v>9.4760000000000011E-2</v>
      </c>
      <c r="AN153" s="40">
        <f t="shared" si="109"/>
        <v>2.4774799999999995</v>
      </c>
      <c r="AO153" s="39">
        <f t="shared" si="102"/>
        <v>1.2385485679592978</v>
      </c>
      <c r="AP153" s="37">
        <f t="shared" si="103"/>
        <v>0.15292125000000001</v>
      </c>
      <c r="AQ153" s="40">
        <f t="shared" si="104"/>
        <v>1.7099999999999999E-3</v>
      </c>
      <c r="AR153" s="39">
        <f t="shared" si="110"/>
        <v>12.309893077927747</v>
      </c>
      <c r="AS153" s="37">
        <f t="shared" si="111"/>
        <v>79.423999999999992</v>
      </c>
      <c r="AT153" s="40">
        <f t="shared" si="112"/>
        <v>86.580867043906522</v>
      </c>
    </row>
    <row r="154" spans="17:46" x14ac:dyDescent="0.25">
      <c r="Q154">
        <v>147</v>
      </c>
      <c r="R154" s="39">
        <f t="shared" si="88"/>
        <v>16</v>
      </c>
      <c r="S154" s="37">
        <f t="shared" si="89"/>
        <v>4.9979999999999993</v>
      </c>
      <c r="T154" s="37">
        <f t="shared" si="90"/>
        <v>3.8</v>
      </c>
      <c r="U154" s="40">
        <f t="shared" si="91"/>
        <v>23.382456140350875</v>
      </c>
      <c r="V154" s="39">
        <f t="shared" si="92"/>
        <v>2</v>
      </c>
      <c r="W154" s="37">
        <f t="shared" si="93"/>
        <v>0.76249999999999996</v>
      </c>
      <c r="X154" s="40">
        <f t="shared" si="94"/>
        <v>0.23750000000000004</v>
      </c>
      <c r="Y154" s="39">
        <f t="shared" si="95"/>
        <v>5.0391304347826082</v>
      </c>
      <c r="Z154" s="37">
        <f t="shared" si="114"/>
        <v>25.902021357742179</v>
      </c>
      <c r="AA154" s="37">
        <f t="shared" si="115"/>
        <v>23.427661530414465</v>
      </c>
      <c r="AB154" s="37">
        <v>0</v>
      </c>
      <c r="AC154" s="37">
        <f t="shared" si="96"/>
        <v>2.7442766239183092</v>
      </c>
      <c r="AD154" s="40">
        <f t="shared" si="105"/>
        <v>2.7442766239183092</v>
      </c>
      <c r="AE154" s="39">
        <f t="shared" si="113"/>
        <v>17.829122807017541</v>
      </c>
      <c r="AF154" s="37">
        <f t="shared" si="106"/>
        <v>20.457325953006222</v>
      </c>
      <c r="AG154" s="37">
        <f t="shared" si="97"/>
        <v>1.9251100516786928</v>
      </c>
      <c r="AH154" s="37">
        <f t="shared" si="98"/>
        <v>3.8591683168465387</v>
      </c>
      <c r="AI154" s="40">
        <f t="shared" si="107"/>
        <v>5.7842783685252313</v>
      </c>
      <c r="AJ154" s="39">
        <f t="shared" si="108"/>
        <v>5.5533333333333337</v>
      </c>
      <c r="AK154" s="37">
        <f t="shared" si="99"/>
        <v>11.417229945837111</v>
      </c>
      <c r="AL154" s="37">
        <f t="shared" si="100"/>
        <v>2.3990399999999994</v>
      </c>
      <c r="AM154" s="37">
        <f t="shared" si="101"/>
        <v>9.4760000000000011E-2</v>
      </c>
      <c r="AN154" s="40">
        <f t="shared" si="109"/>
        <v>2.4937999999999994</v>
      </c>
      <c r="AO154" s="39">
        <f t="shared" si="102"/>
        <v>1.2555065554426259</v>
      </c>
      <c r="AP154" s="37">
        <f t="shared" si="103"/>
        <v>0.15292125000000001</v>
      </c>
      <c r="AQ154" s="40">
        <f t="shared" si="104"/>
        <v>1.7099999999999999E-3</v>
      </c>
      <c r="AR154" s="39">
        <f t="shared" si="110"/>
        <v>12.432492797886164</v>
      </c>
      <c r="AS154" s="37">
        <f t="shared" si="111"/>
        <v>79.967999999999989</v>
      </c>
      <c r="AT154" s="40">
        <f t="shared" si="112"/>
        <v>86.544992974138566</v>
      </c>
    </row>
    <row r="155" spans="17:46" x14ac:dyDescent="0.25">
      <c r="Q155">
        <v>148</v>
      </c>
      <c r="R155" s="39">
        <f t="shared" si="88"/>
        <v>16</v>
      </c>
      <c r="S155" s="37">
        <f t="shared" si="89"/>
        <v>5.0319999999999991</v>
      </c>
      <c r="T155" s="37">
        <f t="shared" si="90"/>
        <v>3.8</v>
      </c>
      <c r="U155" s="40">
        <f t="shared" si="91"/>
        <v>23.541520467836254</v>
      </c>
      <c r="V155" s="39">
        <f t="shared" si="92"/>
        <v>2</v>
      </c>
      <c r="W155" s="37">
        <f t="shared" si="93"/>
        <v>0.76249999999999996</v>
      </c>
      <c r="X155" s="40">
        <f t="shared" si="94"/>
        <v>0.23750000000000004</v>
      </c>
      <c r="Y155" s="39">
        <f t="shared" si="95"/>
        <v>5.0391304347826082</v>
      </c>
      <c r="Z155" s="37">
        <f t="shared" si="114"/>
        <v>26.061085685227557</v>
      </c>
      <c r="AA155" s="37">
        <f t="shared" si="115"/>
        <v>23.586420999502714</v>
      </c>
      <c r="AB155" s="37">
        <v>0</v>
      </c>
      <c r="AC155" s="37">
        <f t="shared" si="96"/>
        <v>2.7815962778289127</v>
      </c>
      <c r="AD155" s="40">
        <f t="shared" si="105"/>
        <v>2.7815962778289127</v>
      </c>
      <c r="AE155" s="39">
        <f t="shared" si="113"/>
        <v>17.950409356725142</v>
      </c>
      <c r="AF155" s="37">
        <f t="shared" si="106"/>
        <v>20.595956699529864</v>
      </c>
      <c r="AG155" s="37">
        <f t="shared" si="97"/>
        <v>1.9512897888969818</v>
      </c>
      <c r="AH155" s="37">
        <f t="shared" si="98"/>
        <v>3.8854211625393722</v>
      </c>
      <c r="AI155" s="40">
        <f t="shared" si="107"/>
        <v>5.8367109514363538</v>
      </c>
      <c r="AJ155" s="39">
        <f t="shared" si="108"/>
        <v>5.5911111111111111</v>
      </c>
      <c r="AK155" s="37">
        <f t="shared" si="99"/>
        <v>11.494599740611822</v>
      </c>
      <c r="AL155" s="37">
        <f t="shared" si="100"/>
        <v>2.4153599999999993</v>
      </c>
      <c r="AM155" s="37">
        <f t="shared" si="101"/>
        <v>9.4760000000000011E-2</v>
      </c>
      <c r="AN155" s="40">
        <f t="shared" si="109"/>
        <v>2.5101199999999992</v>
      </c>
      <c r="AO155" s="39">
        <f t="shared" si="102"/>
        <v>1.2725802971067273</v>
      </c>
      <c r="AP155" s="37">
        <f t="shared" si="103"/>
        <v>0.15292125000000001</v>
      </c>
      <c r="AQ155" s="40">
        <f t="shared" si="104"/>
        <v>1.7099999999999999E-3</v>
      </c>
      <c r="AR155" s="39">
        <f t="shared" si="110"/>
        <v>12.555638776371993</v>
      </c>
      <c r="AS155" s="37">
        <f t="shared" si="111"/>
        <v>80.511999999999986</v>
      </c>
      <c r="AT155" s="40">
        <f t="shared" si="112"/>
        <v>86.509125039111211</v>
      </c>
    </row>
    <row r="156" spans="17:46" x14ac:dyDescent="0.25">
      <c r="Q156">
        <v>149</v>
      </c>
      <c r="R156" s="39">
        <f t="shared" si="88"/>
        <v>16</v>
      </c>
      <c r="S156" s="37">
        <f t="shared" si="89"/>
        <v>5.0659999999999989</v>
      </c>
      <c r="T156" s="37">
        <f t="shared" si="90"/>
        <v>3.8</v>
      </c>
      <c r="U156" s="40">
        <f t="shared" si="91"/>
        <v>23.700584795321632</v>
      </c>
      <c r="V156" s="39">
        <f t="shared" si="92"/>
        <v>2</v>
      </c>
      <c r="W156" s="37">
        <f t="shared" si="93"/>
        <v>0.76249999999999996</v>
      </c>
      <c r="X156" s="40">
        <f t="shared" si="94"/>
        <v>0.23750000000000004</v>
      </c>
      <c r="Y156" s="39">
        <f t="shared" si="95"/>
        <v>5.0391304347826082</v>
      </c>
      <c r="Z156" s="37">
        <f t="shared" si="114"/>
        <v>26.220150012712935</v>
      </c>
      <c r="AA156" s="37">
        <f t="shared" si="115"/>
        <v>23.745184549050368</v>
      </c>
      <c r="AB156" s="37">
        <v>0</v>
      </c>
      <c r="AC156" s="37">
        <f t="shared" si="96"/>
        <v>2.8191689463423018</v>
      </c>
      <c r="AD156" s="40">
        <f t="shared" si="105"/>
        <v>2.8191689463423018</v>
      </c>
      <c r="AE156" s="39">
        <f t="shared" si="113"/>
        <v>18.071695906432744</v>
      </c>
      <c r="AF156" s="37">
        <f t="shared" si="106"/>
        <v>20.734591009161498</v>
      </c>
      <c r="AG156" s="37">
        <f t="shared" si="97"/>
        <v>1.9776470158591239</v>
      </c>
      <c r="AH156" s="37">
        <f t="shared" si="98"/>
        <v>3.9116740082322052</v>
      </c>
      <c r="AI156" s="40">
        <f t="shared" si="107"/>
        <v>5.8893210240913287</v>
      </c>
      <c r="AJ156" s="39">
        <f t="shared" si="108"/>
        <v>5.6288888888888886</v>
      </c>
      <c r="AK156" s="37">
        <f t="shared" si="99"/>
        <v>11.571971523956465</v>
      </c>
      <c r="AL156" s="37">
        <f t="shared" si="100"/>
        <v>2.4316799999999996</v>
      </c>
      <c r="AM156" s="37">
        <f t="shared" si="101"/>
        <v>9.4760000000000011E-2</v>
      </c>
      <c r="AN156" s="40">
        <f t="shared" si="109"/>
        <v>2.5264399999999996</v>
      </c>
      <c r="AO156" s="39">
        <f t="shared" si="102"/>
        <v>1.2897697929516025</v>
      </c>
      <c r="AP156" s="37">
        <f t="shared" si="103"/>
        <v>0.15292125000000001</v>
      </c>
      <c r="AQ156" s="40">
        <f t="shared" si="104"/>
        <v>1.7099999999999999E-3</v>
      </c>
      <c r="AR156" s="39">
        <f t="shared" si="110"/>
        <v>12.679331013385232</v>
      </c>
      <c r="AS156" s="37">
        <f t="shared" si="111"/>
        <v>81.055999999999983</v>
      </c>
      <c r="AT156" s="40">
        <f t="shared" si="112"/>
        <v>86.473263734914795</v>
      </c>
    </row>
    <row r="157" spans="17:46" ht="15.75" thickBot="1" x14ac:dyDescent="0.3">
      <c r="Q157">
        <v>150</v>
      </c>
      <c r="R157" s="41">
        <f t="shared" si="88"/>
        <v>16</v>
      </c>
      <c r="S157" s="42">
        <f t="shared" si="89"/>
        <v>5.0999999999999996</v>
      </c>
      <c r="T157" s="42">
        <f t="shared" si="90"/>
        <v>3.8</v>
      </c>
      <c r="U157" s="43">
        <f t="shared" si="91"/>
        <v>23.859649122807017</v>
      </c>
      <c r="V157" s="41">
        <f t="shared" si="92"/>
        <v>2</v>
      </c>
      <c r="W157" s="42">
        <f t="shared" si="93"/>
        <v>0.76249999999999996</v>
      </c>
      <c r="X157" s="43">
        <f t="shared" si="94"/>
        <v>0.23750000000000004</v>
      </c>
      <c r="Y157" s="41">
        <f t="shared" si="95"/>
        <v>5.0391304347826082</v>
      </c>
      <c r="Z157" s="42">
        <f t="shared" si="114"/>
        <v>26.37921434019832</v>
      </c>
      <c r="AA157" s="42">
        <f t="shared" si="115"/>
        <v>23.903952097753525</v>
      </c>
      <c r="AB157" s="42">
        <v>0</v>
      </c>
      <c r="AC157" s="42">
        <f t="shared" si="96"/>
        <v>2.8569946294584758</v>
      </c>
      <c r="AD157" s="43">
        <f t="shared" si="105"/>
        <v>2.8569946294584758</v>
      </c>
      <c r="AE157" s="41">
        <f t="shared" si="113"/>
        <v>18.192982456140349</v>
      </c>
      <c r="AF157" s="37">
        <f t="shared" si="106"/>
        <v>20.873228810905548</v>
      </c>
      <c r="AG157" s="42">
        <f t="shared" si="97"/>
        <v>2.0041817325651201</v>
      </c>
      <c r="AH157" s="42">
        <f t="shared" si="98"/>
        <v>3.9379268539250396</v>
      </c>
      <c r="AI157" s="43">
        <f t="shared" si="107"/>
        <v>5.9421085864901597</v>
      </c>
      <c r="AJ157" s="41">
        <f>X157*U157</f>
        <v>5.6666666666666679</v>
      </c>
      <c r="AK157" s="42">
        <f t="shared" si="99"/>
        <v>11.64934525624842</v>
      </c>
      <c r="AL157" s="42">
        <f t="shared" si="100"/>
        <v>2.448</v>
      </c>
      <c r="AM157" s="42">
        <f t="shared" si="101"/>
        <v>9.4760000000000011E-2</v>
      </c>
      <c r="AN157" s="43">
        <f t="shared" si="109"/>
        <v>2.5427599999999999</v>
      </c>
      <c r="AO157" s="41">
        <f t="shared" si="102"/>
        <v>1.3070750429772524</v>
      </c>
      <c r="AP157" s="42">
        <f t="shared" si="103"/>
        <v>0.15292125000000001</v>
      </c>
      <c r="AQ157" s="43">
        <f t="shared" si="104"/>
        <v>1.7099999999999999E-3</v>
      </c>
      <c r="AR157" s="41">
        <f t="shared" si="110"/>
        <v>12.803569508925888</v>
      </c>
      <c r="AS157" s="42">
        <f t="shared" si="111"/>
        <v>81.599999999999994</v>
      </c>
      <c r="AT157" s="43">
        <f>(AS157/(AS157+AR157))*100</f>
        <v>86.43740954338034</v>
      </c>
    </row>
  </sheetData>
  <mergeCells count="7">
    <mergeCell ref="AO5:AQ5"/>
    <mergeCell ref="A1:M1"/>
    <mergeCell ref="R5:U5"/>
    <mergeCell ref="V5:X5"/>
    <mergeCell ref="Y5:AD5"/>
    <mergeCell ref="AE5:AI5"/>
    <mergeCell ref="AJ5:AN5"/>
  </mergeCells>
  <pageMargins left="0.7" right="0.7" top="0.75" bottom="0.75" header="0.3" footer="0.3"/>
  <pageSetup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AY708"/>
  <sheetViews>
    <sheetView topLeftCell="R1" zoomScale="80" zoomScaleNormal="80" workbookViewId="0">
      <selection activeCell="AY19" sqref="AY19:AY559"/>
    </sheetView>
  </sheetViews>
  <sheetFormatPr defaultColWidth="9.140625" defaultRowHeight="15" x14ac:dyDescent="0.25"/>
  <cols>
    <col min="1" max="1" width="13.140625" style="98" customWidth="1"/>
    <col min="2" max="2" width="25" style="98" customWidth="1"/>
    <col min="3" max="7" width="9.140625" style="98"/>
    <col min="8" max="10" width="8.85546875" style="98"/>
    <col min="11" max="11" width="12" style="98" bestFit="1" customWidth="1"/>
    <col min="12" max="14" width="9.140625" style="98"/>
    <col min="15" max="15" width="16.7109375" style="199" bestFit="1" customWidth="1"/>
    <col min="16" max="16" width="16.7109375" style="98" customWidth="1"/>
    <col min="17" max="25" width="9.140625" style="98"/>
    <col min="26" max="26" width="8.42578125" style="98" customWidth="1"/>
    <col min="27" max="28" width="9.140625" style="98"/>
    <col min="29" max="29" width="8.85546875" style="98"/>
    <col min="30" max="32" width="9.140625" style="98"/>
    <col min="33" max="33" width="10.140625" style="98" customWidth="1"/>
    <col min="34" max="34" width="12" style="98" bestFit="1" customWidth="1"/>
    <col min="35" max="41" width="9.140625" style="98"/>
    <col min="42" max="42" width="8.85546875" style="98"/>
    <col min="43" max="44" width="9.140625" style="98"/>
    <col min="45" max="45" width="8.85546875" style="98" customWidth="1"/>
    <col min="46" max="47" width="9.140625" style="98"/>
    <col min="48" max="48" width="11.85546875" style="98" bestFit="1" customWidth="1"/>
    <col min="49" max="16384" width="9.140625" style="98"/>
  </cols>
  <sheetData>
    <row r="1" spans="1:51" ht="27.75" x14ac:dyDescent="0.4">
      <c r="A1" s="244" t="s">
        <v>15</v>
      </c>
      <c r="B1" s="244"/>
      <c r="C1" s="244"/>
      <c r="D1" s="244"/>
      <c r="E1" s="244"/>
      <c r="F1" s="244"/>
      <c r="G1" s="244"/>
      <c r="H1" s="244"/>
      <c r="I1" s="244"/>
      <c r="J1" s="244"/>
      <c r="K1" s="244"/>
      <c r="L1" s="244"/>
      <c r="M1" s="244"/>
      <c r="N1" s="244" t="s">
        <v>229</v>
      </c>
      <c r="O1" s="244"/>
      <c r="P1" s="244"/>
      <c r="Q1" s="244"/>
      <c r="R1" s="244"/>
      <c r="S1" s="244"/>
      <c r="T1" s="244"/>
      <c r="U1" s="244"/>
      <c r="V1" s="244"/>
      <c r="W1" s="244"/>
      <c r="X1" s="244"/>
    </row>
    <row r="2" spans="1:51" x14ac:dyDescent="0.25">
      <c r="A2" s="158"/>
      <c r="B2" s="158" t="s">
        <v>16</v>
      </c>
      <c r="C2" s="159"/>
      <c r="D2" s="160"/>
      <c r="E2" s="158"/>
      <c r="F2" s="158"/>
      <c r="G2" s="158"/>
      <c r="H2" s="158"/>
      <c r="I2" s="158"/>
      <c r="J2" s="158"/>
      <c r="K2" s="158"/>
      <c r="L2" s="158"/>
      <c r="M2" s="158"/>
      <c r="O2" s="98"/>
    </row>
    <row r="3" spans="1:51" ht="15.75" thickBot="1" x14ac:dyDescent="0.3">
      <c r="A3" s="158"/>
      <c r="B3" s="158" t="s">
        <v>17</v>
      </c>
      <c r="C3" s="161"/>
      <c r="D3" s="160"/>
      <c r="E3" s="158"/>
      <c r="F3" s="162"/>
      <c r="G3" s="163"/>
      <c r="H3" s="163"/>
      <c r="I3" s="163"/>
      <c r="J3" s="163"/>
      <c r="K3" s="164"/>
      <c r="L3" s="158"/>
      <c r="M3" s="158"/>
      <c r="O3" s="98"/>
    </row>
    <row r="4" spans="1:51" ht="15.75" thickBot="1" x14ac:dyDescent="0.3">
      <c r="A4" s="158"/>
      <c r="B4" s="158" t="s">
        <v>18</v>
      </c>
      <c r="C4" s="165"/>
      <c r="D4" s="160"/>
      <c r="E4" s="158"/>
      <c r="F4" s="162"/>
      <c r="G4" s="163"/>
      <c r="H4" s="163"/>
      <c r="I4" s="163"/>
      <c r="J4" s="163"/>
      <c r="K4" s="164"/>
      <c r="L4" s="158"/>
      <c r="M4" s="158"/>
      <c r="N4" s="166"/>
      <c r="O4" s="167"/>
      <c r="P4" s="241" t="s">
        <v>260</v>
      </c>
      <c r="Q4" s="241"/>
      <c r="R4" s="241"/>
      <c r="S4" s="241"/>
      <c r="T4" s="241"/>
      <c r="U4" s="241"/>
      <c r="V4" s="241"/>
      <c r="W4" s="241"/>
      <c r="X4" s="241"/>
      <c r="Y4" s="241"/>
      <c r="Z4" s="241"/>
      <c r="AA4" s="241"/>
      <c r="AB4" s="241"/>
      <c r="AC4" s="241"/>
      <c r="AD4" s="241"/>
      <c r="AE4" s="242"/>
      <c r="AF4" s="240" t="s">
        <v>261</v>
      </c>
      <c r="AG4" s="241"/>
      <c r="AH4" s="241"/>
      <c r="AI4" s="241"/>
      <c r="AJ4" s="241"/>
      <c r="AK4" s="241"/>
      <c r="AL4" s="241"/>
      <c r="AM4" s="241"/>
      <c r="AN4" s="241"/>
      <c r="AO4" s="241"/>
      <c r="AP4" s="241"/>
      <c r="AQ4" s="241"/>
      <c r="AR4" s="242"/>
      <c r="AS4" s="240" t="s">
        <v>272</v>
      </c>
      <c r="AT4" s="241"/>
      <c r="AU4" s="242"/>
    </row>
    <row r="5" spans="1:51" x14ac:dyDescent="0.25">
      <c r="A5" s="158"/>
      <c r="D5" s="160"/>
      <c r="E5" s="158"/>
      <c r="F5" s="158"/>
      <c r="G5" s="158"/>
      <c r="H5" s="158"/>
      <c r="I5" s="158"/>
      <c r="J5" s="158"/>
      <c r="K5" s="158"/>
      <c r="L5" s="158"/>
      <c r="M5" s="158"/>
      <c r="N5" s="168"/>
      <c r="O5" s="169"/>
      <c r="Q5" s="243" t="s">
        <v>252</v>
      </c>
      <c r="R5" s="243"/>
      <c r="S5" s="243"/>
      <c r="T5" s="238" t="s">
        <v>254</v>
      </c>
      <c r="U5" s="238"/>
      <c r="V5" s="238"/>
      <c r="W5" s="238" t="s">
        <v>253</v>
      </c>
      <c r="X5" s="238"/>
      <c r="Y5" s="238"/>
      <c r="Z5" s="238" t="s">
        <v>257</v>
      </c>
      <c r="AA5" s="238"/>
      <c r="AB5" s="238"/>
      <c r="AC5" s="237" t="s">
        <v>259</v>
      </c>
      <c r="AD5" s="238"/>
      <c r="AE5" s="239"/>
      <c r="AG5" s="238" t="s">
        <v>268</v>
      </c>
      <c r="AH5" s="238"/>
      <c r="AI5" s="238"/>
      <c r="AJ5" s="238" t="s">
        <v>269</v>
      </c>
      <c r="AK5" s="238"/>
      <c r="AL5" s="238"/>
      <c r="AM5" s="238" t="s">
        <v>263</v>
      </c>
      <c r="AN5" s="238"/>
      <c r="AO5" s="238"/>
      <c r="AP5" s="237" t="s">
        <v>259</v>
      </c>
      <c r="AQ5" s="238"/>
      <c r="AR5" s="239"/>
      <c r="AS5" s="237" t="s">
        <v>259</v>
      </c>
      <c r="AT5" s="238"/>
      <c r="AU5" s="239"/>
      <c r="AV5" s="223"/>
    </row>
    <row r="6" spans="1:51" ht="15.75" thickBot="1" x14ac:dyDescent="0.3">
      <c r="A6" s="170" t="s">
        <v>19</v>
      </c>
      <c r="B6" s="170" t="s">
        <v>20</v>
      </c>
      <c r="C6" s="170" t="s">
        <v>21</v>
      </c>
      <c r="D6" s="160"/>
      <c r="E6" s="245" t="s">
        <v>22</v>
      </c>
      <c r="F6" s="245"/>
      <c r="G6" s="245"/>
      <c r="H6" s="245"/>
      <c r="I6" s="245"/>
      <c r="J6" s="245"/>
      <c r="K6" s="245"/>
      <c r="L6" s="158"/>
      <c r="M6" s="170"/>
      <c r="N6" s="168"/>
      <c r="O6" s="169"/>
      <c r="P6" s="160" t="s">
        <v>235</v>
      </c>
      <c r="Q6" s="98" t="s">
        <v>258</v>
      </c>
      <c r="R6" s="160" t="s">
        <v>255</v>
      </c>
      <c r="S6" s="160" t="s">
        <v>256</v>
      </c>
      <c r="T6" s="160" t="s">
        <v>258</v>
      </c>
      <c r="U6" s="160" t="s">
        <v>255</v>
      </c>
      <c r="V6" s="160" t="s">
        <v>256</v>
      </c>
      <c r="W6" s="160" t="s">
        <v>258</v>
      </c>
      <c r="X6" s="160" t="s">
        <v>255</v>
      </c>
      <c r="Y6" s="160" t="s">
        <v>256</v>
      </c>
      <c r="Z6" s="160" t="s">
        <v>258</v>
      </c>
      <c r="AA6" s="160" t="s">
        <v>255</v>
      </c>
      <c r="AB6" s="160" t="s">
        <v>256</v>
      </c>
      <c r="AC6" s="171" t="s">
        <v>273</v>
      </c>
      <c r="AD6" s="160" t="s">
        <v>255</v>
      </c>
      <c r="AE6" s="172" t="s">
        <v>256</v>
      </c>
      <c r="AF6" s="160" t="s">
        <v>270</v>
      </c>
      <c r="AG6" s="160" t="s">
        <v>258</v>
      </c>
      <c r="AH6" s="160" t="s">
        <v>271</v>
      </c>
      <c r="AI6" s="160" t="s">
        <v>256</v>
      </c>
      <c r="AJ6" s="160" t="s">
        <v>258</v>
      </c>
      <c r="AK6" s="160" t="s">
        <v>271</v>
      </c>
      <c r="AL6" s="160" t="s">
        <v>256</v>
      </c>
      <c r="AM6" s="160" t="s">
        <v>258</v>
      </c>
      <c r="AN6" s="160" t="s">
        <v>271</v>
      </c>
      <c r="AO6" s="160" t="s">
        <v>256</v>
      </c>
      <c r="AP6" s="171" t="s">
        <v>273</v>
      </c>
      <c r="AQ6" s="160" t="s">
        <v>255</v>
      </c>
      <c r="AR6" s="172" t="s">
        <v>256</v>
      </c>
      <c r="AS6" s="171" t="s">
        <v>273</v>
      </c>
      <c r="AT6" s="160" t="s">
        <v>255</v>
      </c>
      <c r="AU6" s="172" t="s">
        <v>256</v>
      </c>
      <c r="AV6" s="224"/>
    </row>
    <row r="7" spans="1:51" ht="15.75" thickBot="1" x14ac:dyDescent="0.3">
      <c r="A7" s="170"/>
      <c r="B7" s="170"/>
      <c r="C7" s="170"/>
      <c r="D7" s="160"/>
      <c r="E7" s="158"/>
      <c r="F7" s="158"/>
      <c r="G7" s="158"/>
      <c r="H7" s="158"/>
      <c r="I7" s="158"/>
      <c r="J7" s="158"/>
      <c r="K7" s="158"/>
      <c r="L7" s="158"/>
      <c r="M7" s="170"/>
      <c r="N7" s="98" t="s">
        <v>469</v>
      </c>
      <c r="O7" s="167">
        <f>fcross</f>
        <v>3500</v>
      </c>
      <c r="P7" s="173" t="str">
        <f>COMPLEX(ADC_VINmin,0)</f>
        <v>16.5849673202614</v>
      </c>
      <c r="Q7" s="174" t="str">
        <f>IMSUM(COMPLEX(1,0),IMDIV(COMPLEX(0,2*PI()*O7),COMPLEX(wp_lf_VINmin,0)))</f>
        <v>1+6.89918386670701i</v>
      </c>
      <c r="R7" s="174">
        <f t="shared" ref="R7:R13" si="0">IMABS(Q7)</f>
        <v>6.9712795114405148</v>
      </c>
      <c r="S7" s="174">
        <f t="shared" ref="S7:S13" si="1">IMARGUMENT(Q7)</f>
        <v>1.4268540860499552</v>
      </c>
      <c r="T7" s="174" t="str">
        <f>IMSUM(COMPLEX(1,0),IMDIV(COMPLEX(0,2*PI()*O7),COMPLEX(wz_esr_VINmin,0)))</f>
        <v>1+0.00879645943005144i</v>
      </c>
      <c r="U7" s="174">
        <f t="shared" ref="U7:U13" si="2">IMABS(T7)</f>
        <v>1.0000386881008678</v>
      </c>
      <c r="V7" s="174">
        <f t="shared" ref="V7:V13" si="3">IMARGUMENT(T7)</f>
        <v>8.7962325573223855E-3</v>
      </c>
      <c r="W7" s="175" t="str">
        <f>IMSUB(COMPLEX(1,0),IMDIV(COMPLEX(0,2*PI()*O7),COMPLEX(wz_RHP_VINmin,0)))</f>
        <v>1-0.146487977447387i</v>
      </c>
      <c r="X7" s="174">
        <f t="shared" ref="X7:X13" si="4">IMABS(W7)</f>
        <v>1.0106724135626866</v>
      </c>
      <c r="Y7" s="174">
        <f t="shared" ref="Y7:Y13" si="5">IMARGUMENT(W7)</f>
        <v>-0.14545344972566829</v>
      </c>
      <c r="Z7" s="175" t="str">
        <f t="shared" ref="Z7:Z13" si="6">IF(Dc_Mode_Loop="CCM",IMSUM(COMPLEX(1,0),IMDIV(COMPLEX(0,2*PI()*O7),COMPLEX(Q*(wsl/2),0)),IMDIV(IMPOWER(COMPLEX(0,2*PI()*O7),2),IMPOWER(COMPLEX(wsl/2,0),2))),COMPLEX(1,0))</f>
        <v>0.99985179584121+0.0371453207685168i</v>
      </c>
      <c r="AA7" s="174">
        <f t="shared" ref="AA7:AA13" si="7">IMABS(Z7)</f>
        <v>1.0005415476140351</v>
      </c>
      <c r="AB7" s="174">
        <f t="shared" ref="AB7:AB13" si="8">IMARGUMENT(Z7)</f>
        <v>3.7133749157475762E-2</v>
      </c>
      <c r="AC7" s="176" t="str">
        <f t="shared" ref="AC7:AC13" si="9">(IMDIV(IMPRODUCT(P7,T7,W7),IMPRODUCT(Q7,Z7)))</f>
        <v>-0.0717225154224057-2.40215327306899i</v>
      </c>
      <c r="AD7" s="177">
        <f t="shared" ref="AD7:AD13" si="10">20*LOG(IMABS(AC7))</f>
        <v>7.6158842013436709</v>
      </c>
      <c r="AE7" s="167">
        <f t="shared" ref="AE7:AE13" si="11">(180/PI())*IMARGUMENT(AC7)</f>
        <v>-91.710205999628585</v>
      </c>
      <c r="AF7" s="175" t="str">
        <f t="shared" ref="AF7:AF13" si="12">COMPLEX(Adc_ea,0)</f>
        <v>-0.0000816326530612245</v>
      </c>
      <c r="AG7" s="175" t="str">
        <f t="shared" ref="AG7:AG13" si="13">COMPLEX(0,2*PI()*O7*wp0_ea)</f>
        <v>0.000516791991515521i</v>
      </c>
      <c r="AH7" s="175">
        <f t="shared" ref="AH7:AH13" si="14">IMABS(AG7)</f>
        <v>5.1679199151552101E-4</v>
      </c>
      <c r="AI7" s="175">
        <f t="shared" ref="AI7:AI13" si="15">IMARGUMENT(AG7)</f>
        <v>1.5707963267948966</v>
      </c>
      <c r="AJ7" s="175" t="str">
        <f t="shared" ref="AJ7:AJ13" si="16">IMSUM(COMPLEX(1,0),IMDIV(COMPLEX(0,2*PI()*O7),COMPLEX(wp1_ea,0)))</f>
        <v>1+0.157494055540176i</v>
      </c>
      <c r="AK7" s="175">
        <f t="shared" ref="AK7:AK13" si="17">IMABS(AJ7)</f>
        <v>1.0123262209043546</v>
      </c>
      <c r="AL7" s="175">
        <f t="shared" ref="AL7:AL13" si="18">IMARGUMENT(AJ7)</f>
        <v>0.15621091786937441</v>
      </c>
      <c r="AM7" s="175" t="str">
        <f t="shared" ref="AM7:AM13" si="19">IMSUM(COMPLEX(1,0),IMDIV(COMPLEX(0,2*PI()*O7),COMPLEX(wz_ea,0)))</f>
        <v>1+2.46740687012943i</v>
      </c>
      <c r="AN7" s="175">
        <f t="shared" ref="AN7:AN13" si="20">IMABS(AM7)</f>
        <v>2.662347960496882</v>
      </c>
      <c r="AO7" s="175">
        <f t="shared" ref="AO7:AO13" si="21">IMARGUMENT(AM7)</f>
        <v>1.1857432764330791</v>
      </c>
      <c r="AP7" s="166" t="str">
        <f t="shared" ref="AP7:AP13" si="22">IMPRODUCT(AF7,IMDIV(AM7,IMPRODUCT(AG7,AJ7)))</f>
        <v>-0.356043246694129+0.214035062679879i</v>
      </c>
      <c r="AQ7" s="175">
        <f t="shared" ref="AQ7:AQ13" si="23">20*LOG(IMABS(AP7))</f>
        <v>-7.6301506768460872</v>
      </c>
      <c r="AR7" s="167">
        <f t="shared" ref="AR7:AR13" si="24">(180/PI())*IMARGUMENT(AP7)</f>
        <v>148.98785901784967</v>
      </c>
      <c r="AS7" s="166" t="str">
        <f t="shared" ref="AS7:AS13" si="25">IMPRODUCT(AC7,AP7)</f>
        <v>0.539681343620061+0.839919317316419i</v>
      </c>
      <c r="AT7" s="177">
        <f t="shared" ref="AT7:AT13" si="26">20*LOG(IMABS(AS7))</f>
        <v>-1.4266475502412172E-2</v>
      </c>
      <c r="AU7" s="167">
        <f t="shared" ref="AU7:AU13" si="27">(180/PI())*IMARGUMENT(AS7)</f>
        <v>57.277653018221095</v>
      </c>
      <c r="AV7" s="225"/>
    </row>
    <row r="8" spans="1:51" ht="15.75" thickBot="1" x14ac:dyDescent="0.3">
      <c r="A8" s="170"/>
      <c r="B8" s="170"/>
      <c r="C8" s="170"/>
      <c r="D8" s="160"/>
      <c r="E8" s="158"/>
      <c r="F8" s="158"/>
      <c r="G8" s="158"/>
      <c r="H8" s="158"/>
      <c r="I8" s="158"/>
      <c r="J8" s="158"/>
      <c r="K8" s="158"/>
      <c r="L8" s="158"/>
      <c r="M8" s="170"/>
      <c r="N8" s="166" t="s">
        <v>302</v>
      </c>
      <c r="O8" s="167">
        <f>fcross</f>
        <v>3500</v>
      </c>
      <c r="P8" s="173" t="str">
        <f t="shared" ref="P8:P13" si="28">COMPLEX(Adc,0)</f>
        <v>18.0065359477124</v>
      </c>
      <c r="Q8" s="174" t="str">
        <f t="shared" ref="Q8:Q13" si="29">IMSUM(COMPLEX(1,0),IMDIV(COMPLEX(0,2*PI()*O8),COMPLEX(wp_lf,0)))</f>
        <v>1+6.89918386670701i</v>
      </c>
      <c r="R8" s="174">
        <f t="shared" si="0"/>
        <v>6.9712795114405148</v>
      </c>
      <c r="S8" s="174">
        <f t="shared" si="1"/>
        <v>1.4268540860499552</v>
      </c>
      <c r="T8" s="174" t="str">
        <f t="shared" ref="T8:T13" si="30">IMSUM(COMPLEX(1,0),IMDIV(COMPLEX(0,2*PI()*O8),COMPLEX(wz_esr,0)))</f>
        <v>1+0.00879645943005144i</v>
      </c>
      <c r="U8" s="174">
        <f t="shared" si="2"/>
        <v>1.0000386881008678</v>
      </c>
      <c r="V8" s="174">
        <f t="shared" si="3"/>
        <v>8.7962325573223855E-3</v>
      </c>
      <c r="W8" s="175" t="str">
        <f t="shared" ref="W8:W13" si="31">IMSUB(COMPLEX(1,0),IMDIV(COMPLEX(0,2*PI()*O8),COMPLEX(wz_rhp,0)))</f>
        <v>1-0.124271310507652i</v>
      </c>
      <c r="X8" s="174">
        <f t="shared" si="4"/>
        <v>1.007692095143794</v>
      </c>
      <c r="Y8" s="174">
        <f t="shared" si="5"/>
        <v>-0.12363745143236951</v>
      </c>
      <c r="Z8" s="175" t="str">
        <f t="shared" si="6"/>
        <v>0.99985179584121+0.0371453207685168i</v>
      </c>
      <c r="AA8" s="174">
        <f t="shared" si="7"/>
        <v>1.0005415476140351</v>
      </c>
      <c r="AB8" s="174">
        <f t="shared" si="8"/>
        <v>3.7133749157475762E-2</v>
      </c>
      <c r="AC8" s="176" t="str">
        <f t="shared" si="9"/>
        <v>-0.0208970775652255-2.60143626889032i</v>
      </c>
      <c r="AD8" s="177">
        <f t="shared" si="10"/>
        <v>8.3045440468289975</v>
      </c>
      <c r="AE8" s="167">
        <f t="shared" si="11"/>
        <v>-90.46024137155797</v>
      </c>
      <c r="AF8" s="175" t="str">
        <f t="shared" si="12"/>
        <v>-0.0000816326530612245</v>
      </c>
      <c r="AG8" s="175" t="str">
        <f t="shared" si="13"/>
        <v>0.000516791991515521i</v>
      </c>
      <c r="AH8" s="175">
        <f t="shared" si="14"/>
        <v>5.1679199151552101E-4</v>
      </c>
      <c r="AI8" s="175">
        <f t="shared" si="15"/>
        <v>1.5707963267948966</v>
      </c>
      <c r="AJ8" s="175" t="str">
        <f t="shared" si="16"/>
        <v>1+0.157494055540176i</v>
      </c>
      <c r="AK8" s="175">
        <f t="shared" si="17"/>
        <v>1.0123262209043546</v>
      </c>
      <c r="AL8" s="175">
        <f t="shared" si="18"/>
        <v>0.15621091786937441</v>
      </c>
      <c r="AM8" s="175" t="str">
        <f t="shared" si="19"/>
        <v>1+2.46740687012943i</v>
      </c>
      <c r="AN8" s="175">
        <f t="shared" si="20"/>
        <v>2.662347960496882</v>
      </c>
      <c r="AO8" s="175">
        <f t="shared" si="21"/>
        <v>1.1857432764330791</v>
      </c>
      <c r="AP8" s="166" t="str">
        <f t="shared" si="22"/>
        <v>-0.356043246694129+0.214035062679879i</v>
      </c>
      <c r="AQ8" s="175">
        <f t="shared" si="23"/>
        <v>-7.6301506768460872</v>
      </c>
      <c r="AR8" s="167">
        <f t="shared" si="24"/>
        <v>148.98785901784967</v>
      </c>
      <c r="AS8" s="166" t="str">
        <f t="shared" si="25"/>
        <v>0.564238838212392+0.921751107937071i</v>
      </c>
      <c r="AT8" s="177">
        <f t="shared" si="26"/>
        <v>0.67439336998290811</v>
      </c>
      <c r="AU8" s="167">
        <f t="shared" si="27"/>
        <v>58.527617646291716</v>
      </c>
      <c r="AV8" s="225"/>
    </row>
    <row r="9" spans="1:51" x14ac:dyDescent="0.25">
      <c r="A9" s="178" t="s">
        <v>205</v>
      </c>
      <c r="B9" s="170"/>
      <c r="C9" s="170"/>
      <c r="D9" s="160"/>
      <c r="E9" s="158"/>
      <c r="F9" s="158"/>
      <c r="G9" s="158"/>
      <c r="H9" s="158"/>
      <c r="I9" s="158"/>
      <c r="J9" s="158"/>
      <c r="K9" s="158"/>
      <c r="L9" s="158"/>
      <c r="M9" s="170"/>
      <c r="N9" s="179" t="s">
        <v>303</v>
      </c>
      <c r="O9" s="180">
        <f>wz_rhp/(2*PI())</f>
        <v>28164.183556948148</v>
      </c>
      <c r="P9" s="181" t="str">
        <f t="shared" si="28"/>
        <v>18.0065359477124</v>
      </c>
      <c r="Q9" s="182" t="str">
        <f t="shared" si="29"/>
        <v>1+55.5171088043062i</v>
      </c>
      <c r="R9" s="182">
        <f t="shared" si="0"/>
        <v>55.526114306596064</v>
      </c>
      <c r="S9" s="182">
        <f t="shared" si="1"/>
        <v>1.5527858090833782</v>
      </c>
      <c r="T9" s="182" t="str">
        <f t="shared" si="30"/>
        <v>1+0.0707843137254904i</v>
      </c>
      <c r="U9" s="182">
        <f t="shared" si="2"/>
        <v>1.0025020793342967</v>
      </c>
      <c r="V9" s="182">
        <f t="shared" si="3"/>
        <v>7.0666448164849099E-2</v>
      </c>
      <c r="W9" s="183" t="str">
        <f t="shared" si="31"/>
        <v>1-i</v>
      </c>
      <c r="X9" s="182">
        <f t="shared" si="4"/>
        <v>1.4142135623730951</v>
      </c>
      <c r="Y9" s="182">
        <f t="shared" si="5"/>
        <v>-0.78539816339744828</v>
      </c>
      <c r="Z9" s="183" t="str">
        <f t="shared" si="6"/>
        <v>0.990403372577035+0.29890503783035i</v>
      </c>
      <c r="AA9" s="182">
        <f t="shared" si="7"/>
        <v>1.0345255250849679</v>
      </c>
      <c r="AB9" s="182">
        <f t="shared" si="8"/>
        <v>0.29310855442648742</v>
      </c>
      <c r="AC9" s="184" t="str">
        <f t="shared" si="9"/>
        <v>-0.371503745673518-0.243911080507981i</v>
      </c>
      <c r="AD9" s="185">
        <f t="shared" si="10"/>
        <v>-7.0441608218504967</v>
      </c>
      <c r="AE9" s="186">
        <f t="shared" si="11"/>
        <v>-146.71306722307682</v>
      </c>
      <c r="AF9" s="183" t="str">
        <f t="shared" si="12"/>
        <v>-0.0000816326530612245</v>
      </c>
      <c r="AG9" s="183" t="str">
        <f t="shared" si="13"/>
        <v>0.00415857843137255i</v>
      </c>
      <c r="AH9" s="183">
        <f t="shared" si="14"/>
        <v>4.1585784313725501E-3</v>
      </c>
      <c r="AI9" s="183">
        <f t="shared" si="15"/>
        <v>1.5707963267948966</v>
      </c>
      <c r="AJ9" s="183" t="str">
        <f t="shared" si="16"/>
        <v>1+1.26734042553191i</v>
      </c>
      <c r="AK9" s="183">
        <f t="shared" si="17"/>
        <v>1.6143580006266898</v>
      </c>
      <c r="AL9" s="183">
        <f t="shared" si="18"/>
        <v>0.90276551902655477</v>
      </c>
      <c r="AM9" s="183" t="str">
        <f t="shared" si="19"/>
        <v>1+19.8550000000001i</v>
      </c>
      <c r="AN9" s="183">
        <f t="shared" si="20"/>
        <v>19.880166624050311</v>
      </c>
      <c r="AO9" s="183">
        <f t="shared" si="21"/>
        <v>1.5204737009961193</v>
      </c>
      <c r="AP9" s="179" t="str">
        <f t="shared" si="22"/>
        <v>-0.140005154042184+0.197064133416541i</v>
      </c>
      <c r="AQ9" s="183">
        <f t="shared" si="23"/>
        <v>-12.333216314834139</v>
      </c>
      <c r="AR9" s="186">
        <f t="shared" si="24"/>
        <v>125.39207179755532</v>
      </c>
      <c r="AS9" s="179" t="str">
        <f t="shared" si="25"/>
        <v>0.100078564851267-0.0390612553030354i</v>
      </c>
      <c r="AT9" s="185">
        <f t="shared" si="26"/>
        <v>-19.377377136684615</v>
      </c>
      <c r="AU9" s="186">
        <f t="shared" si="27"/>
        <v>-21.320995425521421</v>
      </c>
      <c r="AV9" s="225"/>
    </row>
    <row r="10" spans="1:51" x14ac:dyDescent="0.25">
      <c r="A10" s="98" t="s">
        <v>25</v>
      </c>
      <c r="B10" s="187">
        <f>VIN_min</f>
        <v>3.5</v>
      </c>
      <c r="C10" s="98" t="s">
        <v>10</v>
      </c>
      <c r="E10" s="98" t="s">
        <v>28</v>
      </c>
      <c r="N10" s="168" t="s">
        <v>254</v>
      </c>
      <c r="O10" s="188">
        <f>wz_esr/(2*PI())</f>
        <v>397887.35772973835</v>
      </c>
      <c r="P10" s="189" t="str">
        <f t="shared" si="28"/>
        <v>18.0065359477124</v>
      </c>
      <c r="Q10" s="160" t="str">
        <f t="shared" si="29"/>
        <v>1+784.313725490196i</v>
      </c>
      <c r="R10" s="160">
        <f t="shared" si="0"/>
        <v>784.31436298993685</v>
      </c>
      <c r="S10" s="160">
        <f t="shared" si="1"/>
        <v>1.5695213274857867</v>
      </c>
      <c r="T10" s="160" t="str">
        <f t="shared" si="30"/>
        <v>1+i</v>
      </c>
      <c r="U10" s="160">
        <f t="shared" si="2"/>
        <v>1.4142135623730951</v>
      </c>
      <c r="V10" s="160">
        <f t="shared" si="3"/>
        <v>0.78539816339744828</v>
      </c>
      <c r="W10" s="98" t="str">
        <f t="shared" si="31"/>
        <v>1-14.1274238227146i</v>
      </c>
      <c r="X10" s="160">
        <f t="shared" si="4"/>
        <v>14.162771757908269</v>
      </c>
      <c r="Y10" s="160">
        <f t="shared" si="5"/>
        <v>-1.5001298786300474</v>
      </c>
      <c r="Z10" s="98" t="str">
        <f t="shared" si="6"/>
        <v>-0.91533428435421+4.22275815217391i</v>
      </c>
      <c r="AA10" s="160">
        <f t="shared" si="7"/>
        <v>4.3208243731798968</v>
      </c>
      <c r="AB10" s="160">
        <f t="shared" si="8"/>
        <v>1.7842562026111304</v>
      </c>
      <c r="AC10" s="171" t="str">
        <f t="shared" si="9"/>
        <v>-0.0638861997707744+0.0851144419475016i</v>
      </c>
      <c r="AD10" s="190">
        <f t="shared" si="10"/>
        <v>-19.45926711656821</v>
      </c>
      <c r="AE10" s="169">
        <f t="shared" si="11"/>
        <v>126.891591332663</v>
      </c>
      <c r="AF10" s="98" t="str">
        <f t="shared" si="12"/>
        <v>-0.0000816326530612245</v>
      </c>
      <c r="AG10" s="98" t="str">
        <f t="shared" si="13"/>
        <v>0.05875i</v>
      </c>
      <c r="AH10" s="98">
        <f t="shared" si="14"/>
        <v>5.8749999999999997E-2</v>
      </c>
      <c r="AI10" s="98">
        <f t="shared" si="15"/>
        <v>1.5707963267948966</v>
      </c>
      <c r="AJ10" s="98" t="str">
        <f t="shared" si="16"/>
        <v>1+17.9042553191489i</v>
      </c>
      <c r="AK10" s="98">
        <f t="shared" si="17"/>
        <v>17.932159895931992</v>
      </c>
      <c r="AL10" s="98">
        <f t="shared" si="18"/>
        <v>1.5150016520172311</v>
      </c>
      <c r="AM10" s="98" t="str">
        <f t="shared" si="19"/>
        <v>1+280.5i</v>
      </c>
      <c r="AN10" s="98">
        <f t="shared" si="20"/>
        <v>280.50178252553053</v>
      </c>
      <c r="AO10" s="98">
        <f t="shared" si="21"/>
        <v>1.5672312795097783</v>
      </c>
      <c r="AP10" s="168" t="str">
        <f t="shared" si="22"/>
        <v>-0.00113469337476749+0.0217053318577833i</v>
      </c>
      <c r="AQ10" s="98">
        <f t="shared" si="23"/>
        <v>-33.256818737808615</v>
      </c>
      <c r="AR10" s="169">
        <f t="shared" si="24"/>
        <v>92.992537220863412</v>
      </c>
      <c r="AS10" s="168" t="str">
        <f t="shared" si="25"/>
        <v>-0.00177494596074158-0.00148324996053216i</v>
      </c>
      <c r="AT10" s="190">
        <f t="shared" si="26"/>
        <v>-52.716085854376836</v>
      </c>
      <c r="AU10" s="169">
        <f t="shared" si="27"/>
        <v>-140.11587144647351</v>
      </c>
      <c r="AV10" s="225"/>
    </row>
    <row r="11" spans="1:51" ht="15.75" thickBot="1" x14ac:dyDescent="0.3">
      <c r="A11" s="98" t="s">
        <v>26</v>
      </c>
      <c r="B11" s="187">
        <f>VIN_nom</f>
        <v>3.8</v>
      </c>
      <c r="C11" s="98" t="s">
        <v>10</v>
      </c>
      <c r="E11" s="98" t="s">
        <v>29</v>
      </c>
      <c r="N11" s="191" t="s">
        <v>252</v>
      </c>
      <c r="O11" s="192">
        <f>wp_lf/(2*PI())</f>
        <v>507.30638110541639</v>
      </c>
      <c r="P11" s="193" t="str">
        <f t="shared" si="28"/>
        <v>18.0065359477124</v>
      </c>
      <c r="Q11" s="194" t="str">
        <f t="shared" si="29"/>
        <v>1+i</v>
      </c>
      <c r="R11" s="194">
        <f t="shared" si="0"/>
        <v>1.4142135623730951</v>
      </c>
      <c r="S11" s="194">
        <f t="shared" si="1"/>
        <v>0.78539816339744828</v>
      </c>
      <c r="T11" s="194" t="str">
        <f t="shared" si="30"/>
        <v>1+0.001275i</v>
      </c>
      <c r="U11" s="194">
        <f t="shared" si="2"/>
        <v>1.0000008128121696</v>
      </c>
      <c r="V11" s="194">
        <f t="shared" si="3"/>
        <v>1.2749993091100489E-3</v>
      </c>
      <c r="W11" s="195" t="str">
        <f t="shared" si="31"/>
        <v>1-0.0180124653739612i</v>
      </c>
      <c r="X11" s="194">
        <f t="shared" si="4"/>
        <v>1.0001622112981714</v>
      </c>
      <c r="Y11" s="194">
        <f t="shared" si="5"/>
        <v>-1.8010517711518566E-2</v>
      </c>
      <c r="Z11" s="195" t="str">
        <f t="shared" si="6"/>
        <v>0.999996886384704+0.00538401664402173i</v>
      </c>
      <c r="AA11" s="194">
        <f t="shared" si="7"/>
        <v>1.0000113801424091</v>
      </c>
      <c r="AB11" s="194">
        <f t="shared" si="8"/>
        <v>5.3839813849458689E-3</v>
      </c>
      <c r="AC11" s="196" t="str">
        <f t="shared" si="9"/>
        <v>8.80326874029245-9.20159222355104i</v>
      </c>
      <c r="AD11" s="197">
        <f t="shared" si="10"/>
        <v>22.099620539832159</v>
      </c>
      <c r="AE11" s="198">
        <f t="shared" si="11"/>
        <v>-46.267353982756084</v>
      </c>
      <c r="AF11" s="195" t="str">
        <f t="shared" si="12"/>
        <v>-0.0000816326530612245</v>
      </c>
      <c r="AG11" s="195" t="str">
        <f t="shared" si="13"/>
        <v>0.00007490625i</v>
      </c>
      <c r="AH11" s="195">
        <f t="shared" si="14"/>
        <v>7.4906249999999995E-5</v>
      </c>
      <c r="AI11" s="195">
        <f t="shared" si="15"/>
        <v>1.5707963267948966</v>
      </c>
      <c r="AJ11" s="195" t="str">
        <f t="shared" si="16"/>
        <v>1+0.0228279255319148i</v>
      </c>
      <c r="AK11" s="195">
        <f t="shared" si="17"/>
        <v>1.0002605231558879</v>
      </c>
      <c r="AL11" s="195">
        <f t="shared" si="18"/>
        <v>2.2823961452687735E-2</v>
      </c>
      <c r="AM11" s="195" t="str">
        <f t="shared" si="19"/>
        <v>1+0.3576375i</v>
      </c>
      <c r="AN11" s="195">
        <f t="shared" si="20"/>
        <v>1.0620285219363226</v>
      </c>
      <c r="AO11" s="195">
        <f t="shared" si="21"/>
        <v>0.34346255945508636</v>
      </c>
      <c r="AP11" s="191" t="str">
        <f t="shared" si="22"/>
        <v>-0.364684635466051+1.09812261487718i</v>
      </c>
      <c r="AQ11" s="195">
        <f t="shared" si="23"/>
        <v>1.2673781381461215</v>
      </c>
      <c r="AR11" s="198">
        <f t="shared" si="24"/>
        <v>108.37123841452933</v>
      </c>
      <c r="AS11" s="191" t="str">
        <f t="shared" si="25"/>
        <v>6.89405966209616+13.0227477943094i</v>
      </c>
      <c r="AT11" s="197">
        <f t="shared" si="26"/>
        <v>23.366998677978259</v>
      </c>
      <c r="AU11" s="198">
        <f t="shared" si="27"/>
        <v>62.103884431773182</v>
      </c>
      <c r="AV11" s="225"/>
      <c r="AX11" s="213" t="s">
        <v>537</v>
      </c>
      <c r="AY11" s="213"/>
    </row>
    <row r="12" spans="1:51" x14ac:dyDescent="0.25">
      <c r="A12" s="98" t="s">
        <v>27</v>
      </c>
      <c r="B12" s="187">
        <f>VIN_max</f>
        <v>4.2</v>
      </c>
      <c r="C12" s="98" t="s">
        <v>10</v>
      </c>
      <c r="E12" s="98" t="s">
        <v>30</v>
      </c>
      <c r="N12" s="179" t="s">
        <v>263</v>
      </c>
      <c r="O12" s="186">
        <f>wz_ea/(2*PI())</f>
        <v>1418.4932539384611</v>
      </c>
      <c r="P12" s="181" t="str">
        <f t="shared" si="28"/>
        <v>18.0065359477124</v>
      </c>
      <c r="Q12" s="182" t="str">
        <f t="shared" si="29"/>
        <v>1+2.79612736360141i</v>
      </c>
      <c r="R12" s="182">
        <f t="shared" si="0"/>
        <v>2.9695670111113128</v>
      </c>
      <c r="S12" s="182">
        <f t="shared" si="1"/>
        <v>1.2273337673398099</v>
      </c>
      <c r="T12" s="182" t="str">
        <f t="shared" si="30"/>
        <v>1+0.0035650623885918i</v>
      </c>
      <c r="U12" s="182">
        <f t="shared" si="2"/>
        <v>1.0000063548147256</v>
      </c>
      <c r="V12" s="182">
        <f t="shared" si="3"/>
        <v>3.565047285118343E-3</v>
      </c>
      <c r="W12" s="183" t="str">
        <f t="shared" si="31"/>
        <v>1-0.0503651473180558i</v>
      </c>
      <c r="X12" s="182">
        <f t="shared" si="4"/>
        <v>1.001267520727787</v>
      </c>
      <c r="Y12" s="182">
        <f t="shared" si="5"/>
        <v>-5.0322625798777443E-2</v>
      </c>
      <c r="Z12" s="183" t="str">
        <f t="shared" si="6"/>
        <v>0.999975656733623+0.0150543962644346i</v>
      </c>
      <c r="AA12" s="182">
        <f t="shared" si="7"/>
        <v>1.0000889704954892</v>
      </c>
      <c r="AB12" s="182">
        <f t="shared" si="8"/>
        <v>1.5053625534519938E-2</v>
      </c>
      <c r="AC12" s="184" t="str">
        <f t="shared" si="9"/>
        <v>1.68735306185231-5.83166899993258i</v>
      </c>
      <c r="AD12" s="185">
        <f t="shared" si="10"/>
        <v>15.665025864696737</v>
      </c>
      <c r="AE12" s="186">
        <f t="shared" si="11"/>
        <v>-73.862566041045014</v>
      </c>
      <c r="AF12" s="183" t="str">
        <f t="shared" si="12"/>
        <v>-0.0000816326530612245</v>
      </c>
      <c r="AG12" s="183" t="str">
        <f t="shared" si="13"/>
        <v>0.000209447415329768i</v>
      </c>
      <c r="AH12" s="183">
        <f t="shared" si="14"/>
        <v>2.09447415329768E-4</v>
      </c>
      <c r="AI12" s="183">
        <f t="shared" si="15"/>
        <v>1.5707963267948966</v>
      </c>
      <c r="AJ12" s="183" t="str">
        <f t="shared" si="16"/>
        <v>1+0.0638297872340423i</v>
      </c>
      <c r="AK12" s="183">
        <f t="shared" si="17"/>
        <v>1.0020350501546056</v>
      </c>
      <c r="AL12" s="183">
        <f t="shared" si="18"/>
        <v>6.3743312532686822E-2</v>
      </c>
      <c r="AM12" s="183" t="str">
        <f t="shared" si="19"/>
        <v>1+i</v>
      </c>
      <c r="AN12" s="183">
        <f t="shared" si="20"/>
        <v>1.4142135623730951</v>
      </c>
      <c r="AO12" s="183">
        <f t="shared" si="21"/>
        <v>0.78539816339744828</v>
      </c>
      <c r="AP12" s="179" t="str">
        <f t="shared" si="22"/>
        <v>-0.363394122301762+0.412947866252002i</v>
      </c>
      <c r="AQ12" s="183">
        <f t="shared" si="23"/>
        <v>-5.1915801838201316</v>
      </c>
      <c r="AR12" s="186">
        <f t="shared" si="24"/>
        <v>131.34777721969368</v>
      </c>
      <c r="AS12" s="179" t="str">
        <f t="shared" si="25"/>
        <v>1.79500108528509+2.81598308429059i</v>
      </c>
      <c r="AT12" s="185">
        <f t="shared" si="26"/>
        <v>10.473445680876605</v>
      </c>
      <c r="AU12" s="186">
        <f t="shared" si="27"/>
        <v>57.485211178648761</v>
      </c>
      <c r="AV12" s="225"/>
      <c r="AX12" t="s">
        <v>538</v>
      </c>
      <c r="AY12">
        <f>SUM(AX19:AX559)/1000</f>
        <v>3.7153522909717238</v>
      </c>
    </row>
    <row r="13" spans="1:51" ht="15.75" thickBot="1" x14ac:dyDescent="0.3">
      <c r="A13" s="98" t="s">
        <v>68</v>
      </c>
      <c r="B13" s="187">
        <f>Fsw</f>
        <v>575000</v>
      </c>
      <c r="C13" s="98" t="s">
        <v>69</v>
      </c>
      <c r="E13" s="98" t="s">
        <v>70</v>
      </c>
      <c r="N13" s="191" t="s">
        <v>269</v>
      </c>
      <c r="O13" s="198">
        <f>wp1_ea/(2*PI())</f>
        <v>22223.060978369227</v>
      </c>
      <c r="P13" s="193" t="str">
        <f t="shared" si="28"/>
        <v>18.0065359477124</v>
      </c>
      <c r="Q13" s="194" t="str">
        <f t="shared" si="29"/>
        <v>1+43.8059953630889i</v>
      </c>
      <c r="R13" s="194">
        <f t="shared" si="0"/>
        <v>43.8174078392477</v>
      </c>
      <c r="S13" s="194">
        <f t="shared" si="1"/>
        <v>1.5479723653422088</v>
      </c>
      <c r="T13" s="194" t="str">
        <f t="shared" si="30"/>
        <v>1+0.0558526440879384i</v>
      </c>
      <c r="U13" s="194">
        <f t="shared" si="2"/>
        <v>1.0015585443954906</v>
      </c>
      <c r="V13" s="194">
        <f t="shared" si="3"/>
        <v>5.5794674777665525E-2</v>
      </c>
      <c r="W13" s="195" t="str">
        <f t="shared" si="31"/>
        <v>1-0.789053974649543i</v>
      </c>
      <c r="X13" s="194">
        <f t="shared" si="4"/>
        <v>1.2738155969017815</v>
      </c>
      <c r="Y13" s="194">
        <f t="shared" si="5"/>
        <v>-0.66803080776834034</v>
      </c>
      <c r="Z13" s="195" t="str">
        <f t="shared" si="6"/>
        <v>0.994025080508149+0.23585220814281i</v>
      </c>
      <c r="AA13" s="194">
        <f t="shared" si="7"/>
        <v>1.0216223004442844</v>
      </c>
      <c r="AB13" s="194">
        <f t="shared" si="8"/>
        <v>0.23296195325183491</v>
      </c>
      <c r="AC13" s="196" t="str">
        <f t="shared" si="9"/>
        <v>-0.376045005563929-0.34921557014035i</v>
      </c>
      <c r="AD13" s="197">
        <f t="shared" si="10"/>
        <v>-5.7944794271000326</v>
      </c>
      <c r="AE13" s="198">
        <f t="shared" si="11"/>
        <v>-137.11856653122166</v>
      </c>
      <c r="AF13" s="195" t="str">
        <f t="shared" si="12"/>
        <v>-0.0000816326530612245</v>
      </c>
      <c r="AG13" s="195" t="str">
        <f t="shared" si="13"/>
        <v>0.00328134284016637i</v>
      </c>
      <c r="AH13" s="195">
        <f t="shared" si="14"/>
        <v>3.2813428401663701E-3</v>
      </c>
      <c r="AI13" s="195">
        <f t="shared" si="15"/>
        <v>1.5707963267948966</v>
      </c>
      <c r="AJ13" s="195" t="str">
        <f t="shared" si="16"/>
        <v>1+i</v>
      </c>
      <c r="AK13" s="195">
        <f t="shared" si="17"/>
        <v>1.4142135623730951</v>
      </c>
      <c r="AL13" s="195">
        <f t="shared" si="18"/>
        <v>0.78539816339744828</v>
      </c>
      <c r="AM13" s="195" t="str">
        <f t="shared" si="19"/>
        <v>1+15.6666666666667i</v>
      </c>
      <c r="AN13" s="195">
        <f t="shared" si="20"/>
        <v>15.698549119088854</v>
      </c>
      <c r="AO13" s="195">
        <f t="shared" si="21"/>
        <v>1.5070530142622096</v>
      </c>
      <c r="AP13" s="191" t="str">
        <f t="shared" si="22"/>
        <v>-0.182437338901156+0.207315157842223i</v>
      </c>
      <c r="AQ13" s="195">
        <f t="shared" si="23"/>
        <v>-11.176863578265628</v>
      </c>
      <c r="AR13" s="198">
        <f t="shared" si="24"/>
        <v>131.34777721969363</v>
      </c>
      <c r="AS13" s="191" t="str">
        <f t="shared" si="25"/>
        <v>0.141002331166762-0.0142498703650101i</v>
      </c>
      <c r="AT13" s="197">
        <f t="shared" si="26"/>
        <v>-16.971343005365675</v>
      </c>
      <c r="AU13" s="198">
        <f t="shared" si="27"/>
        <v>-5.770789311528036</v>
      </c>
      <c r="AV13" s="225"/>
      <c r="AX13"/>
      <c r="AY13"/>
    </row>
    <row r="14" spans="1:51" x14ac:dyDescent="0.25">
      <c r="A14" s="98" t="s">
        <v>563</v>
      </c>
      <c r="B14" s="98" t="s">
        <v>495</v>
      </c>
      <c r="E14" s="98" t="s">
        <v>564</v>
      </c>
      <c r="AX14" t="s">
        <v>539</v>
      </c>
      <c r="AY14" s="23">
        <f>SUM(AY19:AY559)</f>
        <v>58.149240306580936</v>
      </c>
    </row>
    <row r="15" spans="1:51" ht="15.75" thickBot="1" x14ac:dyDescent="0.3">
      <c r="O15" s="199" t="s">
        <v>231</v>
      </c>
      <c r="P15" s="98">
        <f>B17</f>
        <v>3.8</v>
      </c>
      <c r="Q15" s="98" t="s">
        <v>10</v>
      </c>
    </row>
    <row r="16" spans="1:51" ht="15.75" thickBot="1" x14ac:dyDescent="0.3">
      <c r="A16" s="200" t="s">
        <v>262</v>
      </c>
      <c r="O16" s="201"/>
      <c r="P16" s="241" t="s">
        <v>260</v>
      </c>
      <c r="Q16" s="241"/>
      <c r="R16" s="241"/>
      <c r="S16" s="241"/>
      <c r="T16" s="241"/>
      <c r="U16" s="241"/>
      <c r="V16" s="241"/>
      <c r="W16" s="241"/>
      <c r="X16" s="241"/>
      <c r="Y16" s="241"/>
      <c r="Z16" s="241"/>
      <c r="AA16" s="241"/>
      <c r="AB16" s="241"/>
      <c r="AC16" s="241"/>
      <c r="AD16" s="241"/>
      <c r="AE16" s="242"/>
      <c r="AF16" s="240" t="s">
        <v>261</v>
      </c>
      <c r="AG16" s="241"/>
      <c r="AH16" s="241"/>
      <c r="AI16" s="241"/>
      <c r="AJ16" s="241"/>
      <c r="AK16" s="241"/>
      <c r="AL16" s="241"/>
      <c r="AM16" s="241"/>
      <c r="AN16" s="241"/>
      <c r="AO16" s="241"/>
      <c r="AP16" s="241"/>
      <c r="AQ16" s="241"/>
      <c r="AR16" s="242"/>
      <c r="AS16" s="240" t="s">
        <v>272</v>
      </c>
      <c r="AT16" s="241"/>
      <c r="AU16" s="242"/>
    </row>
    <row r="17" spans="1:51" x14ac:dyDescent="0.25">
      <c r="A17" s="98" t="s">
        <v>233</v>
      </c>
      <c r="B17" s="98">
        <f>VIN_var</f>
        <v>3.8</v>
      </c>
      <c r="C17" s="98" t="s">
        <v>10</v>
      </c>
      <c r="E17" s="98" t="s">
        <v>234</v>
      </c>
      <c r="O17" s="202"/>
      <c r="Q17" s="243" t="s">
        <v>252</v>
      </c>
      <c r="R17" s="243"/>
      <c r="S17" s="243"/>
      <c r="T17" s="238" t="s">
        <v>254</v>
      </c>
      <c r="U17" s="238"/>
      <c r="V17" s="238"/>
      <c r="W17" s="238" t="s">
        <v>253</v>
      </c>
      <c r="X17" s="238"/>
      <c r="Y17" s="238"/>
      <c r="Z17" s="238" t="s">
        <v>257</v>
      </c>
      <c r="AA17" s="238"/>
      <c r="AB17" s="238"/>
      <c r="AC17" s="237" t="s">
        <v>259</v>
      </c>
      <c r="AD17" s="238"/>
      <c r="AE17" s="239"/>
      <c r="AG17" s="238" t="s">
        <v>268</v>
      </c>
      <c r="AH17" s="238"/>
      <c r="AI17" s="238"/>
      <c r="AJ17" s="238" t="s">
        <v>269</v>
      </c>
      <c r="AK17" s="238"/>
      <c r="AL17" s="238"/>
      <c r="AM17" s="238" t="s">
        <v>263</v>
      </c>
      <c r="AN17" s="238"/>
      <c r="AO17" s="238"/>
      <c r="AP17" s="237" t="s">
        <v>259</v>
      </c>
      <c r="AQ17" s="238"/>
      <c r="AR17" s="239"/>
      <c r="AS17" s="237" t="s">
        <v>259</v>
      </c>
      <c r="AT17" s="238"/>
      <c r="AU17" s="239"/>
      <c r="AV17" s="223"/>
    </row>
    <row r="18" spans="1:51" ht="15.75" thickBot="1" x14ac:dyDescent="0.3">
      <c r="A18" s="98" t="s">
        <v>450</v>
      </c>
      <c r="C18" s="98" t="s">
        <v>11</v>
      </c>
      <c r="E18" s="98" t="s">
        <v>451</v>
      </c>
      <c r="N18" s="170"/>
      <c r="O18" s="203" t="s">
        <v>230</v>
      </c>
      <c r="P18" s="194" t="s">
        <v>235</v>
      </c>
      <c r="Q18" s="195" t="s">
        <v>258</v>
      </c>
      <c r="R18" s="194" t="s">
        <v>255</v>
      </c>
      <c r="S18" s="194" t="s">
        <v>256</v>
      </c>
      <c r="T18" s="194" t="s">
        <v>258</v>
      </c>
      <c r="U18" s="194" t="s">
        <v>255</v>
      </c>
      <c r="V18" s="194" t="s">
        <v>256</v>
      </c>
      <c r="W18" s="194" t="s">
        <v>258</v>
      </c>
      <c r="X18" s="194" t="s">
        <v>255</v>
      </c>
      <c r="Y18" s="194" t="s">
        <v>256</v>
      </c>
      <c r="Z18" s="194" t="s">
        <v>258</v>
      </c>
      <c r="AA18" s="194" t="s">
        <v>255</v>
      </c>
      <c r="AB18" s="194" t="s">
        <v>256</v>
      </c>
      <c r="AC18" s="196" t="s">
        <v>273</v>
      </c>
      <c r="AD18" s="194" t="s">
        <v>255</v>
      </c>
      <c r="AE18" s="204" t="s">
        <v>256</v>
      </c>
      <c r="AF18" s="194" t="s">
        <v>270</v>
      </c>
      <c r="AG18" s="194" t="s">
        <v>258</v>
      </c>
      <c r="AH18" s="194" t="s">
        <v>271</v>
      </c>
      <c r="AI18" s="194" t="s">
        <v>256</v>
      </c>
      <c r="AJ18" s="194" t="s">
        <v>258</v>
      </c>
      <c r="AK18" s="194" t="s">
        <v>271</v>
      </c>
      <c r="AL18" s="194" t="s">
        <v>256</v>
      </c>
      <c r="AM18" s="194" t="s">
        <v>258</v>
      </c>
      <c r="AN18" s="194" t="s">
        <v>271</v>
      </c>
      <c r="AO18" s="194" t="s">
        <v>256</v>
      </c>
      <c r="AP18" s="196" t="s">
        <v>273</v>
      </c>
      <c r="AQ18" s="194" t="s">
        <v>255</v>
      </c>
      <c r="AR18" s="204" t="s">
        <v>256</v>
      </c>
      <c r="AS18" s="196" t="s">
        <v>273</v>
      </c>
      <c r="AT18" s="194" t="s">
        <v>255</v>
      </c>
      <c r="AU18" s="204" t="s">
        <v>256</v>
      </c>
      <c r="AV18" s="225"/>
      <c r="AX18" s="98" t="s">
        <v>535</v>
      </c>
      <c r="AY18" s="98" t="s">
        <v>536</v>
      </c>
    </row>
    <row r="19" spans="1:51" x14ac:dyDescent="0.25">
      <c r="N19" s="170">
        <v>1</v>
      </c>
      <c r="O19" s="199">
        <f>10^(1+(N19/100))</f>
        <v>10.232929922807543</v>
      </c>
      <c r="P19" s="189" t="str">
        <f t="shared" ref="P19:P82" si="32">COMPLEX(Adc,0)</f>
        <v>18.0065359477124</v>
      </c>
      <c r="Q19" s="160" t="str">
        <f t="shared" ref="Q19:Q82" si="33">IMSUM(COMPLEX(1,0),IMDIV(COMPLEX(0,2*PI()*O19),COMPLEX(wp_lf,0)))</f>
        <v>1+0.020171104295022i</v>
      </c>
      <c r="R19" s="160">
        <f>IMABS(Q19)</f>
        <v>1.0002034160351987</v>
      </c>
      <c r="S19" s="160">
        <f>IMARGUMENT(Q19)</f>
        <v>2.0168369267089047E-2</v>
      </c>
      <c r="T19" s="160" t="str">
        <f t="shared" ref="T19:T82" si="34">IMSUM(COMPLEX(1,0),IMDIV(COMPLEX(0,2*PI()*O19),COMPLEX(wz_esr,0)))</f>
        <v>1+0.0000257181579761531i</v>
      </c>
      <c r="U19" s="160">
        <f>IMABS(T19)</f>
        <v>1.0000000003307117</v>
      </c>
      <c r="V19" s="160">
        <f>IMARGUMENT(T19)</f>
        <v>2.5718157970482903E-5</v>
      </c>
      <c r="W19" s="98" t="str">
        <f t="shared" ref="W19:W82" si="35">IMSUB(COMPLEX(1,0),IMDIV(COMPLEX(0,2*PI()*O19),COMPLEX(wz_rhp,0)))</f>
        <v>1-0.000363331317668644i</v>
      </c>
      <c r="X19" s="160">
        <f>IMABS(W19)</f>
        <v>1.0000000660048209</v>
      </c>
      <c r="Y19" s="160">
        <f>IMARGUMENT(W19)</f>
        <v>-3.6333130168089901E-4</v>
      </c>
      <c r="Z19" s="98" t="str">
        <f t="shared" ref="Z19:Z82" si="36">IF(Dc_Mode_Loop="CCM",IMSUM(COMPLEX(1,0),IMDIV(COMPLEX(0,2*PI()*O19),COMPLEX(Q*(wsl/2),0)),IMDIV(IMPOWER(COMPLEX(0,2*PI()*O19),2),IMPOWER(COMPLEX(wsl/2,0),2))),COMPLEX(1,0))</f>
        <v>0.999999998733153+0.000108601561252697i</v>
      </c>
      <c r="AA19" s="160">
        <f>IMABS(Z19)</f>
        <v>1.0000000046303024</v>
      </c>
      <c r="AB19" s="160">
        <f>IMARGUMENT(Z19)</f>
        <v>1.0860156096331879E-4</v>
      </c>
      <c r="AC19" s="171" t="str">
        <f>(IMDIV(IMPRODUCT(P19,T19,W19),IMPRODUCT(Q19,Z19)))</f>
        <v>17.9990498602924-0.371095493292522i</v>
      </c>
      <c r="AD19" s="190">
        <f>20*LOG(IMABS(AC19))</f>
        <v>25.106837313814907</v>
      </c>
      <c r="AE19" s="169">
        <f>(180/PI())*IMARGUMENT(AC19)</f>
        <v>-1.1811286580000424</v>
      </c>
      <c r="AF19" s="98" t="str">
        <f t="shared" ref="AF19:AF82" si="37">COMPLEX(Adc_ea,0)</f>
        <v>-0.0000816326530612245</v>
      </c>
      <c r="AG19" s="98" t="str">
        <f t="shared" ref="AG19:AG82" si="38">COMPLEX(0,2*PI()*O19*wp0_ea)</f>
        <v>1.51094178109899E-06i</v>
      </c>
      <c r="AH19" s="98">
        <f>IMABS(AG19)</f>
        <v>1.51094178109899E-6</v>
      </c>
      <c r="AI19" s="98">
        <f>IMARGUMENT(AG19)</f>
        <v>1.5707963267948966</v>
      </c>
      <c r="AJ19" s="98" t="str">
        <f t="shared" ref="AJ19:AJ82" si="39">IMSUM(COMPLEX(1,0),IMDIV(COMPLEX(0,2*PI()*O19),COMPLEX(wp1_ea,0)))</f>
        <v>1+0.00046046446674325i</v>
      </c>
      <c r="AK19" s="98">
        <f>IMABS(AJ19)</f>
        <v>1.0000001060137569</v>
      </c>
      <c r="AL19" s="98">
        <f>IMARGUMENT(AJ19)</f>
        <v>4.6046443419954036E-4</v>
      </c>
      <c r="AM19" s="98" t="str">
        <f t="shared" ref="AM19:AM82" si="40">IMSUM(COMPLEX(1,0),IMDIV(COMPLEX(0,2*PI()*O19),COMPLEX(wz_ea,0)))</f>
        <v>1+0.00721394331231094i</v>
      </c>
      <c r="AN19" s="98">
        <f>IMABS(AM19)</f>
        <v>1.0000260201505324</v>
      </c>
      <c r="AO19" s="98">
        <f>IMARGUMENT(AM19)</f>
        <v>7.2138181759962379E-3</v>
      </c>
      <c r="AP19" s="168" t="str">
        <f>IMPRODUCT(AF19,IMDIV(AM19,IMPRODUCT(AG19,AJ19)))</f>
        <v>-0.364874600438854+54.0278308128319i</v>
      </c>
      <c r="AQ19" s="98">
        <f>20*LOG(IMABS(AP19))</f>
        <v>34.652548697783779</v>
      </c>
      <c r="AR19" s="169">
        <f>(180/PI())*IMARGUMENT(AP19)</f>
        <v>90.386938666963829</v>
      </c>
      <c r="AS19" s="168" t="str">
        <f>IMPRODUCT(AC19,AP19)</f>
        <v>13.4820884009596+972.585023963443i</v>
      </c>
      <c r="AT19" s="190">
        <f>20*LOG(IMABS(AS19))</f>
        <v>59.759386011598686</v>
      </c>
      <c r="AU19" s="169">
        <f>(180/PI())*IMARGUMENT(AS19)</f>
        <v>89.205810008963795</v>
      </c>
      <c r="AV19" s="225"/>
      <c r="AX19">
        <f>SUM((AT20&lt;0)*(AT19&gt;0))*O19</f>
        <v>0</v>
      </c>
      <c r="AY19">
        <f>IF(AX19&gt;0,AU19,0)</f>
        <v>0</v>
      </c>
    </row>
    <row r="20" spans="1:51" x14ac:dyDescent="0.25">
      <c r="A20" s="98" t="s">
        <v>31</v>
      </c>
      <c r="B20" s="205">
        <f>VOUT</f>
        <v>16</v>
      </c>
      <c r="C20" s="98" t="s">
        <v>10</v>
      </c>
      <c r="E20" s="98" t="s">
        <v>206</v>
      </c>
      <c r="N20" s="170">
        <v>2</v>
      </c>
      <c r="O20" s="199">
        <f t="shared" ref="O20:O83" si="41">10^(1+(N20/100))</f>
        <v>10.471285480509</v>
      </c>
      <c r="P20" s="189" t="str">
        <f t="shared" si="32"/>
        <v>18.0065359477124</v>
      </c>
      <c r="Q20" s="160" t="str">
        <f t="shared" si="33"/>
        <v>1+0.0206409496716603i</v>
      </c>
      <c r="R20" s="160">
        <f t="shared" ref="R20:R83" si="42">IMABS(Q20)</f>
        <v>1.0002130017168083</v>
      </c>
      <c r="S20" s="160">
        <f t="shared" ref="S20:S83" si="43">IMARGUMENT(Q20)</f>
        <v>2.0638019070135533E-2</v>
      </c>
      <c r="T20" s="160" t="str">
        <f t="shared" si="34"/>
        <v>1+0.0000263172108313668i</v>
      </c>
      <c r="U20" s="160">
        <f t="shared" ref="U20:U83" si="44">IMABS(T20)</f>
        <v>1.0000000003462977</v>
      </c>
      <c r="V20" s="160">
        <f t="shared" ref="V20:V83" si="45">IMARGUMENT(T20)</f>
        <v>2.6317210825291072E-5</v>
      </c>
      <c r="W20" s="98" t="str">
        <f t="shared" si="35"/>
        <v>1-0.000371794391246456i</v>
      </c>
      <c r="X20" s="160">
        <f t="shared" ref="X20:X83" si="46">IMABS(W20)</f>
        <v>1.0000000691155322</v>
      </c>
      <c r="Y20" s="160">
        <f t="shared" ref="Y20:Y83" si="47">IMARGUMENT(W20)</f>
        <v>-3.7179437411527868E-4</v>
      </c>
      <c r="Z20" s="98" t="str">
        <f t="shared" si="36"/>
        <v>0.999999998673448+0.000111131216580634i</v>
      </c>
      <c r="AA20" s="160">
        <f t="shared" ref="AA20:AA83" si="48">IMABS(Z20)</f>
        <v>1.0000000048485216</v>
      </c>
      <c r="AB20" s="160">
        <f t="shared" ref="AB20:AB83" si="49">IMARGUMENT(Z20)</f>
        <v>1.1113121627055972E-4</v>
      </c>
      <c r="AC20" s="171" t="str">
        <f t="shared" ref="AC20:AC83" si="50">(IMDIV(IMPRODUCT(P20,T20,W20),IMPRODUCT(Q20,Z20)))</f>
        <v>17.9986972021114-0.379732138550363i</v>
      </c>
      <c r="AD20" s="190">
        <f t="shared" ref="AD20:AD83" si="51">20*LOG(IMABS(AC20))</f>
        <v>25.106754096233498</v>
      </c>
      <c r="AE20" s="169">
        <f t="shared" ref="AE20:AE83" si="52">(180/PI())*IMARGUMENT(AC20)</f>
        <v>-1.2086331232683962</v>
      </c>
      <c r="AF20" s="98" t="str">
        <f t="shared" si="37"/>
        <v>-0.0000816326530612245</v>
      </c>
      <c r="AG20" s="98" t="str">
        <f t="shared" si="38"/>
        <v>0.0000015461361363428i</v>
      </c>
      <c r="AH20" s="98">
        <f t="shared" ref="AH20:AH83" si="53">IMABS(AG20)</f>
        <v>1.5461361363428001E-6</v>
      </c>
      <c r="AI20" s="98">
        <f t="shared" ref="AI20:AI83" si="54">IMARGUMENT(AG20)</f>
        <v>1.5707963267948966</v>
      </c>
      <c r="AJ20" s="98" t="str">
        <f t="shared" si="39"/>
        <v>1+0.000471190062012662i</v>
      </c>
      <c r="AK20" s="98">
        <f t="shared" ref="AK20:AK83" si="55">IMABS(AJ20)</f>
        <v>1.0000001110100312</v>
      </c>
      <c r="AL20" s="98">
        <f t="shared" ref="AL20:AL83" si="56">IMARGUMENT(AJ20)</f>
        <v>4.711900271414491E-4</v>
      </c>
      <c r="AM20" s="98" t="str">
        <f t="shared" si="40"/>
        <v>1+0.0073819776381984i</v>
      </c>
      <c r="AN20" s="98">
        <f t="shared" ref="AN20:AN83" si="57">IMABS(AM20)</f>
        <v>1.0000272464257416</v>
      </c>
      <c r="AO20" s="98">
        <f t="shared" ref="AO20:AO83" si="58">IMARGUMENT(AM20)</f>
        <v>7.3818435524187183E-3</v>
      </c>
      <c r="AP20" s="168" t="str">
        <f t="shared" ref="AP20:AP83" si="59">IMPRODUCT(AF20,IMDIV(AM20,IMPRODUCT(AG20,AJ20)))</f>
        <v>-0.364874596792827+52.7980149757133i</v>
      </c>
      <c r="AQ20" s="98">
        <f t="shared" ref="AQ20:AQ83" si="60">20*LOG(IMABS(AP20))</f>
        <v>34.452559305394146</v>
      </c>
      <c r="AR20" s="169">
        <f t="shared" ref="AR20:AR83" si="61">(180/PI())*IMARGUMENT(AP20)</f>
        <v>90.39595128067559</v>
      </c>
      <c r="AS20" s="168" t="str">
        <f t="shared" ref="AS20:AS83" si="62">IMPRODUCT(AC20,AP20)</f>
        <v>13.4818357535251+950.43403903135i</v>
      </c>
      <c r="AT20" s="190">
        <f t="shared" ref="AT20:AT83" si="63">20*LOG(IMABS(AS20))</f>
        <v>59.559313401627641</v>
      </c>
      <c r="AU20" s="169">
        <f t="shared" ref="AU20:AU83" si="64">(180/PI())*IMARGUMENT(AS20)</f>
        <v>89.187318157407191</v>
      </c>
      <c r="AV20" s="225"/>
      <c r="AX20">
        <f t="shared" ref="AX20:AX83" si="65">SUM((AT21&lt;0)*(AT20&gt;0))*O20</f>
        <v>0</v>
      </c>
      <c r="AY20">
        <f t="shared" ref="AY20:AY83" si="66">IF(AX20&gt;0,AU20,0)</f>
        <v>0</v>
      </c>
    </row>
    <row r="21" spans="1:51" x14ac:dyDescent="0.25">
      <c r="A21" s="98" t="s">
        <v>33</v>
      </c>
      <c r="B21" s="205">
        <f>IOUT</f>
        <v>5.0999999999999996</v>
      </c>
      <c r="C21" s="98" t="s">
        <v>11</v>
      </c>
      <c r="E21" s="98" t="s">
        <v>34</v>
      </c>
      <c r="N21" s="170">
        <v>3</v>
      </c>
      <c r="O21" s="199">
        <f t="shared" si="41"/>
        <v>10.715193052376069</v>
      </c>
      <c r="P21" s="189" t="str">
        <f t="shared" si="32"/>
        <v>18.0065359477124</v>
      </c>
      <c r="Q21" s="160" t="str">
        <f t="shared" si="33"/>
        <v>1+0.0211217391530297i</v>
      </c>
      <c r="R21" s="160">
        <f t="shared" si="42"/>
        <v>1.0002230390592133</v>
      </c>
      <c r="S21" s="160">
        <f t="shared" si="43"/>
        <v>2.1118598994737378E-2</v>
      </c>
      <c r="T21" s="160" t="str">
        <f t="shared" si="34"/>
        <v>1+0.0000269302174201128i</v>
      </c>
      <c r="U21" s="160">
        <f t="shared" si="44"/>
        <v>1.0000000003626182</v>
      </c>
      <c r="V21" s="160">
        <f t="shared" si="45"/>
        <v>2.6930217413602537E-5</v>
      </c>
      <c r="W21" s="98" t="str">
        <f t="shared" si="35"/>
        <v>1-0.000380454595131787i</v>
      </c>
      <c r="X21" s="160">
        <f t="shared" si="46"/>
        <v>1.0000000723728468</v>
      </c>
      <c r="Y21" s="160">
        <f t="shared" si="47"/>
        <v>-3.8045457677539986E-4</v>
      </c>
      <c r="Z21" s="98" t="str">
        <f t="shared" si="36"/>
        <v>0.999999998610929+0.000113719795150597i</v>
      </c>
      <c r="AA21" s="160">
        <f t="shared" si="48"/>
        <v>1.0000000050770248</v>
      </c>
      <c r="AB21" s="160">
        <f t="shared" si="49"/>
        <v>1.1371979481834647E-4</v>
      </c>
      <c r="AC21" s="171" t="str">
        <f t="shared" si="50"/>
        <v>17.9983279381517-0.388569436822037i</v>
      </c>
      <c r="AD21" s="190">
        <f t="shared" si="51"/>
        <v>25.106666958438364</v>
      </c>
      <c r="AE21" s="169">
        <f t="shared" si="52"/>
        <v>-1.2367777096643544</v>
      </c>
      <c r="AF21" s="98" t="str">
        <f t="shared" si="37"/>
        <v>-0.0000816326530612245</v>
      </c>
      <c r="AG21" s="98" t="str">
        <f t="shared" si="38"/>
        <v>1.58215027343163E-06i</v>
      </c>
      <c r="AH21" s="98">
        <f t="shared" si="53"/>
        <v>1.58215027343163E-6</v>
      </c>
      <c r="AI21" s="98">
        <f t="shared" si="54"/>
        <v>1.5707963267948966</v>
      </c>
      <c r="AJ21" s="98" t="str">
        <f t="shared" si="39"/>
        <v>1+0.000482165488489891i</v>
      </c>
      <c r="AK21" s="98">
        <f t="shared" si="55"/>
        <v>1.0000001162417724</v>
      </c>
      <c r="AL21" s="98">
        <f t="shared" si="56"/>
        <v>4.8216545112471338E-4</v>
      </c>
      <c r="AM21" s="98" t="str">
        <f t="shared" si="40"/>
        <v>1+0.00755392598634165i</v>
      </c>
      <c r="AN21" s="98">
        <f t="shared" si="57"/>
        <v>1.000028530491909</v>
      </c>
      <c r="AO21" s="98">
        <f t="shared" si="58"/>
        <v>7.5537823110615456E-3</v>
      </c>
      <c r="AP21" s="168" t="str">
        <f t="shared" si="59"/>
        <v>-0.364874592974967+51.596193344999i</v>
      </c>
      <c r="AQ21" s="98">
        <f t="shared" si="60"/>
        <v>34.252570412897796</v>
      </c>
      <c r="AR21" s="169">
        <f t="shared" si="61"/>
        <v>90.405173800407937</v>
      </c>
      <c r="AS21" s="168" t="str">
        <f t="shared" si="62"/>
        <v>13.4815712095641+928.786987298675i</v>
      </c>
      <c r="AT21" s="190">
        <f t="shared" si="63"/>
        <v>59.35923737133615</v>
      </c>
      <c r="AU21" s="169">
        <f t="shared" si="64"/>
        <v>89.168396090743585</v>
      </c>
      <c r="AV21" s="225"/>
      <c r="AX21">
        <f t="shared" si="65"/>
        <v>0</v>
      </c>
      <c r="AY21">
        <f t="shared" si="66"/>
        <v>0</v>
      </c>
    </row>
    <row r="22" spans="1:51" x14ac:dyDescent="0.25">
      <c r="N22" s="170">
        <v>4</v>
      </c>
      <c r="O22" s="199">
        <f t="shared" si="41"/>
        <v>10.964781961431854</v>
      </c>
      <c r="P22" s="189" t="str">
        <f t="shared" si="32"/>
        <v>18.0065359477124</v>
      </c>
      <c r="Q22" s="160" t="str">
        <f t="shared" si="33"/>
        <v>1+0.0216137276600773i</v>
      </c>
      <c r="R22" s="160">
        <f t="shared" si="42"/>
        <v>1.0002335493390351</v>
      </c>
      <c r="S22" s="160">
        <f t="shared" si="43"/>
        <v>2.1610362962276176E-2</v>
      </c>
      <c r="T22" s="160" t="str">
        <f t="shared" si="34"/>
        <v>1+0.0000275575027665986i</v>
      </c>
      <c r="U22" s="160">
        <f t="shared" si="44"/>
        <v>1.0000000003797078</v>
      </c>
      <c r="V22" s="160">
        <f t="shared" si="45"/>
        <v>2.7557502759622732E-5</v>
      </c>
      <c r="W22" s="98" t="str">
        <f t="shared" si="35"/>
        <v>1-0.000389316521079369i</v>
      </c>
      <c r="X22" s="160">
        <f t="shared" si="46"/>
        <v>1.000000075783674</v>
      </c>
      <c r="Y22" s="160">
        <f t="shared" si="47"/>
        <v>-3.8931650141014584E-4</v>
      </c>
      <c r="Z22" s="98" t="str">
        <f t="shared" si="36"/>
        <v>0.999999998545465+0.000116368669461209i</v>
      </c>
      <c r="AA22" s="160">
        <f t="shared" si="48"/>
        <v>1.0000000053162985</v>
      </c>
      <c r="AB22" s="160">
        <f t="shared" si="49"/>
        <v>1.1636866910519605E-4</v>
      </c>
      <c r="AC22" s="171" t="str">
        <f t="shared" si="50"/>
        <v>17.997941287204-0.397612024742654i</v>
      </c>
      <c r="AD22" s="190">
        <f t="shared" si="51"/>
        <v>25.106575715840439</v>
      </c>
      <c r="AE22" s="169">
        <f t="shared" si="52"/>
        <v>-1.2655772889150976</v>
      </c>
      <c r="AF22" s="98" t="str">
        <f t="shared" si="37"/>
        <v>-0.0000816326530612245</v>
      </c>
      <c r="AG22" s="98" t="str">
        <f t="shared" si="38"/>
        <v>1.61900328753767E-06i</v>
      </c>
      <c r="AH22" s="98">
        <f t="shared" si="53"/>
        <v>1.6190032875376701E-6</v>
      </c>
      <c r="AI22" s="98">
        <f t="shared" si="54"/>
        <v>1.5707963267948966</v>
      </c>
      <c r="AJ22" s="98" t="str">
        <f t="shared" si="39"/>
        <v>1+0.000493396565491332i</v>
      </c>
      <c r="AK22" s="98">
        <f t="shared" si="55"/>
        <v>1.000000121720078</v>
      </c>
      <c r="AL22" s="98">
        <f t="shared" si="56"/>
        <v>4.9339652545382314E-4</v>
      </c>
      <c r="AM22" s="98" t="str">
        <f t="shared" si="40"/>
        <v>1+0.0077298795260309i</v>
      </c>
      <c r="AN22" s="98">
        <f t="shared" si="57"/>
        <v>1.0000298750724834</v>
      </c>
      <c r="AO22" s="98">
        <f t="shared" si="58"/>
        <v>7.7297255754429769E-3</v>
      </c>
      <c r="AP22" s="168" t="str">
        <f t="shared" si="59"/>
        <v>-0.364874588977179+50.4217286989523i</v>
      </c>
      <c r="AQ22" s="98">
        <f t="shared" si="60"/>
        <v>34.052582043851245</v>
      </c>
      <c r="AR22" s="169">
        <f t="shared" si="61"/>
        <v>90.414611113732292</v>
      </c>
      <c r="AS22" s="168" t="str">
        <f t="shared" si="62"/>
        <v>13.4812942094112+907.632391247173i</v>
      </c>
      <c r="AT22" s="190">
        <f t="shared" si="63"/>
        <v>59.159157759691681</v>
      </c>
      <c r="AU22" s="169">
        <f t="shared" si="64"/>
        <v>89.149033824817195</v>
      </c>
      <c r="AV22" s="225"/>
      <c r="AX22">
        <f t="shared" si="65"/>
        <v>0</v>
      </c>
      <c r="AY22">
        <f t="shared" si="66"/>
        <v>0</v>
      </c>
    </row>
    <row r="23" spans="1:51" x14ac:dyDescent="0.25">
      <c r="A23" s="98" t="s">
        <v>207</v>
      </c>
      <c r="N23" s="170">
        <v>5</v>
      </c>
      <c r="O23" s="199">
        <f t="shared" si="41"/>
        <v>11.220184543019636</v>
      </c>
      <c r="P23" s="189" t="str">
        <f t="shared" si="32"/>
        <v>18.0065359477124</v>
      </c>
      <c r="Q23" s="160" t="str">
        <f t="shared" si="33"/>
        <v>1+0.0221171760516218i</v>
      </c>
      <c r="R23" s="160">
        <f t="shared" si="42"/>
        <v>1.0002445548347156</v>
      </c>
      <c r="S23" s="160">
        <f t="shared" si="43"/>
        <v>2.2113570760578058E-2</v>
      </c>
      <c r="T23" s="160" t="str">
        <f t="shared" si="34"/>
        <v>1+0.0000281993994658178i</v>
      </c>
      <c r="U23" s="160">
        <f t="shared" si="44"/>
        <v>1.0000000003976031</v>
      </c>
      <c r="V23" s="160">
        <f t="shared" si="45"/>
        <v>2.8199399458343023E-5</v>
      </c>
      <c r="W23" s="98" t="str">
        <f t="shared" si="35"/>
        <v>1-0.000398384867799641i</v>
      </c>
      <c r="X23" s="160">
        <f t="shared" si="46"/>
        <v>1.0000000793552484</v>
      </c>
      <c r="Y23" s="160">
        <f t="shared" si="47"/>
        <v>-3.9838484672368878E-4</v>
      </c>
      <c r="Z23" s="98" t="str">
        <f t="shared" si="36"/>
        <v>0.999999998476914+0.000119079243980691i</v>
      </c>
      <c r="AA23" s="160">
        <f t="shared" si="48"/>
        <v>1.000000005566847</v>
      </c>
      <c r="AB23" s="160">
        <f t="shared" si="49"/>
        <v>1.1907924359921634E-4</v>
      </c>
      <c r="AC23" s="171" t="str">
        <f t="shared" si="50"/>
        <v>17.9975364313765-0.406864644294317i</v>
      </c>
      <c r="AD23" s="190">
        <f t="shared" si="51"/>
        <v>25.106480175167185</v>
      </c>
      <c r="AE23" s="169">
        <f t="shared" si="52"/>
        <v>-1.2950470763963331</v>
      </c>
      <c r="AF23" s="98" t="str">
        <f t="shared" si="37"/>
        <v>-0.0000816326530612245</v>
      </c>
      <c r="AG23" s="98" t="str">
        <f t="shared" si="38"/>
        <v>0.0000016567147186168i</v>
      </c>
      <c r="AH23" s="98">
        <f t="shared" si="53"/>
        <v>1.6567147186168001E-6</v>
      </c>
      <c r="AI23" s="98">
        <f t="shared" si="54"/>
        <v>1.5707963267948966</v>
      </c>
      <c r="AJ23" s="98" t="str">
        <f t="shared" si="39"/>
        <v>1+0.000504889247882672i</v>
      </c>
      <c r="AK23" s="98">
        <f t="shared" si="55"/>
        <v>1.0000001274565682</v>
      </c>
      <c r="AL23" s="98">
        <f t="shared" si="56"/>
        <v>5.0488920498170859E-4</v>
      </c>
      <c r="AM23" s="98" t="str">
        <f t="shared" si="40"/>
        <v>1+0.00790993155016189i</v>
      </c>
      <c r="AN23" s="98">
        <f t="shared" si="57"/>
        <v>1.0000312830192504</v>
      </c>
      <c r="AO23" s="98">
        <f t="shared" si="58"/>
        <v>7.9097665894135791E-3</v>
      </c>
      <c r="AP23" s="168" t="str">
        <f t="shared" si="59"/>
        <v>-0.36487458479098+49.2739983208723i</v>
      </c>
      <c r="AQ23" s="98">
        <f t="shared" si="60"/>
        <v>33.852594222921027</v>
      </c>
      <c r="AR23" s="169">
        <f t="shared" si="61"/>
        <v>90.424268221939812</v>
      </c>
      <c r="AS23" s="168" t="str">
        <f t="shared" si="62"/>
        <v>13.4810041671214+886.959034467637i</v>
      </c>
      <c r="AT23" s="190">
        <f t="shared" si="63"/>
        <v>58.959074398088219</v>
      </c>
      <c r="AU23" s="169">
        <f t="shared" si="64"/>
        <v>89.129221145543497</v>
      </c>
      <c r="AV23" s="225"/>
      <c r="AX23">
        <f t="shared" si="65"/>
        <v>0</v>
      </c>
      <c r="AY23">
        <f t="shared" si="66"/>
        <v>0</v>
      </c>
    </row>
    <row r="24" spans="1:51" x14ac:dyDescent="0.25">
      <c r="A24" s="98" t="s">
        <v>208</v>
      </c>
      <c r="B24" s="205">
        <f>Lm</f>
        <v>9.9999999999999995E-7</v>
      </c>
      <c r="C24" s="98" t="s">
        <v>98</v>
      </c>
      <c r="E24" s="98" t="s">
        <v>209</v>
      </c>
      <c r="N24" s="170">
        <v>6</v>
      </c>
      <c r="O24" s="199">
        <f t="shared" si="41"/>
        <v>11.481536214968834</v>
      </c>
      <c r="P24" s="189" t="str">
        <f t="shared" si="32"/>
        <v>18.0065359477124</v>
      </c>
      <c r="Q24" s="160" t="str">
        <f t="shared" si="33"/>
        <v>1+0.0226323512626643i</v>
      </c>
      <c r="R24" s="160">
        <f t="shared" si="42"/>
        <v>1.0002560788736437</v>
      </c>
      <c r="S24" s="160">
        <f t="shared" si="43"/>
        <v>2.262848817712353E-2</v>
      </c>
      <c r="T24" s="160" t="str">
        <f t="shared" si="34"/>
        <v>1+0.000028856247859897i</v>
      </c>
      <c r="U24" s="160">
        <f t="shared" si="44"/>
        <v>1.0000000004163414</v>
      </c>
      <c r="V24" s="160">
        <f t="shared" si="45"/>
        <v>2.885624785188763E-5</v>
      </c>
      <c r="W24" s="98" t="str">
        <f t="shared" si="35"/>
        <v>1-0.000407664443450067i</v>
      </c>
      <c r="X24" s="160">
        <f t="shared" si="46"/>
        <v>1.0000000830951457</v>
      </c>
      <c r="Y24" s="160">
        <f t="shared" si="47"/>
        <v>-4.0766442086677743E-4</v>
      </c>
      <c r="Z24" s="98" t="str">
        <f t="shared" si="36"/>
        <v>0.999999998405134+0.000121852955891531i</v>
      </c>
      <c r="AA24" s="160">
        <f t="shared" si="48"/>
        <v>1.0000000058292053</v>
      </c>
      <c r="AB24" s="160">
        <f t="shared" si="49"/>
        <v>1.2185295548277343E-4</v>
      </c>
      <c r="AC24" s="171" t="str">
        <f t="shared" si="50"/>
        <v>17.9971125143787-0.416332145070718i</v>
      </c>
      <c r="AD24" s="190">
        <f t="shared" si="51"/>
        <v>25.106380134054742</v>
      </c>
      <c r="AE24" s="169">
        <f t="shared" si="52"/>
        <v>-1.3252026389400311</v>
      </c>
      <c r="AF24" s="98" t="str">
        <f t="shared" si="37"/>
        <v>-0.0000816326530612245</v>
      </c>
      <c r="AG24" s="98" t="str">
        <f t="shared" si="38"/>
        <v>1.69530456176895E-06i</v>
      </c>
      <c r="AH24" s="98">
        <f t="shared" si="53"/>
        <v>1.6953045617689501E-6</v>
      </c>
      <c r="AI24" s="98">
        <f t="shared" si="54"/>
        <v>1.5707963267948966</v>
      </c>
      <c r="AJ24" s="98" t="str">
        <f t="shared" si="39"/>
        <v>1+0.000516649629236239i</v>
      </c>
      <c r="AK24" s="98">
        <f t="shared" si="55"/>
        <v>1.0000001334634108</v>
      </c>
      <c r="AL24" s="98">
        <f t="shared" si="56"/>
        <v>5.1664958326702874E-4</v>
      </c>
      <c r="AM24" s="98" t="str">
        <f t="shared" si="40"/>
        <v>1+0.00809417752470111i</v>
      </c>
      <c r="AN24" s="98">
        <f t="shared" si="57"/>
        <v>1.0000327573183796</v>
      </c>
      <c r="AO24" s="98">
        <f t="shared" si="58"/>
        <v>8.0940007663873968E-3</v>
      </c>
      <c r="AP24" s="168" t="str">
        <f t="shared" si="59"/>
        <v>-0.364874580407493+48.1523936689203i</v>
      </c>
      <c r="AQ24" s="98">
        <f t="shared" si="60"/>
        <v>33.652606975935782</v>
      </c>
      <c r="AR24" s="169">
        <f t="shared" si="61"/>
        <v>90.434150242681255</v>
      </c>
      <c r="AS24" s="168" t="str">
        <f t="shared" si="62"/>
        <v>13.4807004692409+866.755955712958i</v>
      </c>
      <c r="AT24" s="190">
        <f t="shared" si="63"/>
        <v>58.758987109990521</v>
      </c>
      <c r="AU24" s="169">
        <f t="shared" si="64"/>
        <v>89.108947603741228</v>
      </c>
      <c r="AV24" s="225"/>
      <c r="AX24">
        <f t="shared" si="65"/>
        <v>0</v>
      </c>
      <c r="AY24">
        <f t="shared" si="66"/>
        <v>0</v>
      </c>
    </row>
    <row r="25" spans="1:51" x14ac:dyDescent="0.25">
      <c r="N25" s="170">
        <v>7</v>
      </c>
      <c r="O25" s="199">
        <f t="shared" si="41"/>
        <v>11.748975549395301</v>
      </c>
      <c r="P25" s="189" t="str">
        <f t="shared" si="32"/>
        <v>18.0065359477124</v>
      </c>
      <c r="Q25" s="160" t="str">
        <f t="shared" si="33"/>
        <v>1+0.0231595264459209i</v>
      </c>
      <c r="R25" s="160">
        <f t="shared" si="42"/>
        <v>1.0002681458814928</v>
      </c>
      <c r="S25" s="160">
        <f t="shared" si="43"/>
        <v>2.315538713511521E-2</v>
      </c>
      <c r="T25" s="160" t="str">
        <f t="shared" si="34"/>
        <v>1+0.0000295283962185491i</v>
      </c>
      <c r="U25" s="160">
        <f t="shared" si="44"/>
        <v>1.000000000435963</v>
      </c>
      <c r="V25" s="160">
        <f t="shared" si="45"/>
        <v>2.9528396209966904E-5</v>
      </c>
      <c r="W25" s="98" t="str">
        <f t="shared" si="35"/>
        <v>1-0.000417160168184488i</v>
      </c>
      <c r="X25" s="160">
        <f t="shared" si="46"/>
        <v>1.0000000870112991</v>
      </c>
      <c r="Y25" s="160">
        <f t="shared" si="47"/>
        <v>-4.1716014398605737E-4</v>
      </c>
      <c r="Z25" s="98" t="str">
        <f t="shared" si="36"/>
        <v>0.99999999832997+0.0001246912758525i</v>
      </c>
      <c r="AA25" s="160">
        <f t="shared" si="48"/>
        <v>1.0000000061039269</v>
      </c>
      <c r="AB25" s="160">
        <f t="shared" si="49"/>
        <v>1.2469127541450844E-4</v>
      </c>
      <c r="AC25" s="171" t="str">
        <f t="shared" si="50"/>
        <v>17.9966686397263-0.426019486580983i</v>
      </c>
      <c r="AD25" s="190">
        <f t="shared" si="51"/>
        <v>25.106275380621277</v>
      </c>
      <c r="AE25" s="169">
        <f t="shared" si="52"/>
        <v>-1.3560599028098317</v>
      </c>
      <c r="AF25" s="98" t="str">
        <f t="shared" si="37"/>
        <v>-0.0000816326530612245</v>
      </c>
      <c r="AG25" s="98" t="str">
        <f t="shared" si="38"/>
        <v>1.73479327783976E-06i</v>
      </c>
      <c r="AH25" s="98">
        <f t="shared" si="53"/>
        <v>1.7347932778397601E-6</v>
      </c>
      <c r="AI25" s="98">
        <f t="shared" si="54"/>
        <v>1.5707963267948966</v>
      </c>
      <c r="AJ25" s="98" t="str">
        <f t="shared" si="39"/>
        <v>1+0.000528683945061893i</v>
      </c>
      <c r="AK25" s="98">
        <f t="shared" si="55"/>
        <v>1.0000001397533471</v>
      </c>
      <c r="AL25" s="98">
        <f t="shared" si="56"/>
        <v>5.2868389580499719E-4</v>
      </c>
      <c r="AM25" s="98" t="str">
        <f t="shared" si="40"/>
        <v>1+0.00828271513930303i</v>
      </c>
      <c r="AN25" s="98">
        <f t="shared" si="57"/>
        <v>1.0000343010967567</v>
      </c>
      <c r="AO25" s="98">
        <f t="shared" si="58"/>
        <v>8.2825257397083872E-3</v>
      </c>
      <c r="AP25" s="168" t="str">
        <f t="shared" si="59"/>
        <v>-0.364874575817418+47.0563200534636i</v>
      </c>
      <c r="AQ25" s="98">
        <f t="shared" si="60"/>
        <v>33.452620329941126</v>
      </c>
      <c r="AR25" s="169">
        <f t="shared" si="61"/>
        <v>90.444262412667598</v>
      </c>
      <c r="AS25" s="168" t="str">
        <f t="shared" si="62"/>
        <v>13.4803824735202+847.012443086548i</v>
      </c>
      <c r="AT25" s="190">
        <f t="shared" si="63"/>
        <v>58.558895710562396</v>
      </c>
      <c r="AU25" s="169">
        <f t="shared" si="64"/>
        <v>89.088202509857766</v>
      </c>
      <c r="AV25" s="225"/>
      <c r="AX25">
        <f t="shared" si="65"/>
        <v>0</v>
      </c>
      <c r="AY25">
        <f t="shared" si="66"/>
        <v>0</v>
      </c>
    </row>
    <row r="26" spans="1:51" x14ac:dyDescent="0.25">
      <c r="A26" s="98" t="s">
        <v>160</v>
      </c>
      <c r="B26" s="205">
        <f>R_cs</f>
        <v>3.0000000000000001E-3</v>
      </c>
      <c r="C26" s="206" t="s">
        <v>36</v>
      </c>
      <c r="E26" s="98" t="s">
        <v>210</v>
      </c>
      <c r="N26" s="170">
        <v>8</v>
      </c>
      <c r="O26" s="199">
        <f t="shared" si="41"/>
        <v>12.022644346174133</v>
      </c>
      <c r="P26" s="189" t="str">
        <f t="shared" si="32"/>
        <v>18.0065359477124</v>
      </c>
      <c r="Q26" s="160" t="str">
        <f t="shared" si="33"/>
        <v>1+0.0236989811166516i</v>
      </c>
      <c r="R26" s="160">
        <f t="shared" si="42"/>
        <v>1.000280781433877</v>
      </c>
      <c r="S26" s="160">
        <f t="shared" si="43"/>
        <v>2.3694545832452025E-2</v>
      </c>
      <c r="T26" s="160" t="str">
        <f t="shared" si="34"/>
        <v>1+0.0000302162009237308i</v>
      </c>
      <c r="U26" s="160">
        <f t="shared" si="44"/>
        <v>1.0000000004565093</v>
      </c>
      <c r="V26" s="160">
        <f t="shared" si="45"/>
        <v>3.0216200914534813E-5</v>
      </c>
      <c r="W26" s="98" t="str">
        <f t="shared" si="35"/>
        <v>1-0.000426877076761847i</v>
      </c>
      <c r="X26" s="160">
        <f t="shared" si="46"/>
        <v>1.0000000911120153</v>
      </c>
      <c r="Y26" s="160">
        <f t="shared" si="47"/>
        <v>-4.2687705083276149E-4</v>
      </c>
      <c r="Z26" s="98" t="str">
        <f t="shared" si="36"/>
        <v>0.999999998251264+0.000127595708778409i</v>
      </c>
      <c r="AA26" s="160">
        <f t="shared" si="48"/>
        <v>1.0000000063915964</v>
      </c>
      <c r="AB26" s="160">
        <f t="shared" si="49"/>
        <v>1.2759570830909257E-4</v>
      </c>
      <c r="AC26" s="171" t="str">
        <f t="shared" si="50"/>
        <v>17.9962038688626-0.43593174059278i</v>
      </c>
      <c r="AD26" s="190">
        <f t="shared" si="51"/>
        <v>25.106165693020333</v>
      </c>
      <c r="AE26" s="169">
        <f t="shared" si="52"/>
        <v>-1.3876351618472726</v>
      </c>
      <c r="AF26" s="98" t="str">
        <f t="shared" si="37"/>
        <v>-0.0000816326530612245</v>
      </c>
      <c r="AG26" s="98" t="str">
        <f t="shared" si="38"/>
        <v>1.77520180426919E-06i</v>
      </c>
      <c r="AH26" s="98">
        <f t="shared" si="53"/>
        <v>1.77520180426919E-6</v>
      </c>
      <c r="AI26" s="98">
        <f t="shared" si="54"/>
        <v>1.5707963267948966</v>
      </c>
      <c r="AJ26" s="98" t="str">
        <f t="shared" si="39"/>
        <v>1+0.000540998576113178i</v>
      </c>
      <c r="AK26" s="98">
        <f t="shared" si="55"/>
        <v>1.000000146339719</v>
      </c>
      <c r="AL26" s="98">
        <f t="shared" si="56"/>
        <v>5.409985233334637E-4</v>
      </c>
      <c r="AM26" s="98" t="str">
        <f t="shared" si="40"/>
        <v>1+0.00847564435910649i</v>
      </c>
      <c r="AN26" s="98">
        <f t="shared" si="57"/>
        <v>1.0000359176286131</v>
      </c>
      <c r="AO26" s="98">
        <f t="shared" si="58"/>
        <v>8.4754414141780966E-3</v>
      </c>
      <c r="AP26" s="168" t="str">
        <f t="shared" si="59"/>
        <v>-0.364874571011019+45.9851963217629i</v>
      </c>
      <c r="AQ26" s="98">
        <f t="shared" si="60"/>
        <v>33.252634313256962</v>
      </c>
      <c r="AR26" s="169">
        <f t="shared" si="61"/>
        <v>90.454610090432979</v>
      </c>
      <c r="AS26" s="168" t="str">
        <f t="shared" si="62"/>
        <v>13.4800495075687+827.718028362955i</v>
      </c>
      <c r="AT26" s="190">
        <f t="shared" si="63"/>
        <v>58.358800006277306</v>
      </c>
      <c r="AU26" s="169">
        <f t="shared" si="64"/>
        <v>89.066974928585708</v>
      </c>
      <c r="AV26" s="225"/>
      <c r="AX26">
        <f t="shared" si="65"/>
        <v>0</v>
      </c>
      <c r="AY26">
        <f t="shared" si="66"/>
        <v>0</v>
      </c>
    </row>
    <row r="27" spans="1:51" x14ac:dyDescent="0.25">
      <c r="A27" s="98" t="s">
        <v>161</v>
      </c>
      <c r="B27" s="205">
        <f>R_sl</f>
        <v>2100</v>
      </c>
      <c r="C27" s="206" t="s">
        <v>36</v>
      </c>
      <c r="E27" s="98" t="s">
        <v>211</v>
      </c>
      <c r="N27" s="170">
        <v>9</v>
      </c>
      <c r="O27" s="199">
        <f t="shared" si="41"/>
        <v>12.302687708123818</v>
      </c>
      <c r="P27" s="189" t="str">
        <f t="shared" si="32"/>
        <v>18.0065359477124</v>
      </c>
      <c r="Q27" s="160" t="str">
        <f t="shared" si="33"/>
        <v>1+0.0242510013008635i</v>
      </c>
      <c r="R27" s="160">
        <f t="shared" si="42"/>
        <v>1.0002940123104278</v>
      </c>
      <c r="S27" s="160">
        <f t="shared" si="43"/>
        <v>2.4246248883660167E-2</v>
      </c>
      <c r="T27" s="160" t="str">
        <f t="shared" si="34"/>
        <v>1+0.000030920026658601i</v>
      </c>
      <c r="U27" s="160">
        <f t="shared" si="44"/>
        <v>1.0000000004780241</v>
      </c>
      <c r="V27" s="160">
        <f t="shared" si="45"/>
        <v>3.0920026648747325E-5</v>
      </c>
      <c r="W27" s="98" t="str">
        <f t="shared" si="35"/>
        <v>1-0.000436820321215692i</v>
      </c>
      <c r="X27" s="160">
        <f t="shared" si="46"/>
        <v>1.000000095405992</v>
      </c>
      <c r="Y27" s="160">
        <f t="shared" si="47"/>
        <v>-4.3682029343217649E-4</v>
      </c>
      <c r="Z27" s="98" t="str">
        <f t="shared" si="36"/>
        <v>0.999999998168848+0.000130567794638042i</v>
      </c>
      <c r="AA27" s="160">
        <f t="shared" si="48"/>
        <v>1.0000000066928223</v>
      </c>
      <c r="AB27" s="160">
        <f t="shared" si="49"/>
        <v>1.3056779413516046E-4</v>
      </c>
      <c r="AC27" s="171" t="str">
        <f t="shared" si="50"/>
        <v>17.9957172191922-0.446074093514562i</v>
      </c>
      <c r="AD27" s="190">
        <f t="shared" si="51"/>
        <v>25.106050838972948</v>
      </c>
      <c r="AE27" s="169">
        <f t="shared" si="52"/>
        <v>-1.4199450857917162</v>
      </c>
      <c r="AF27" s="98" t="str">
        <f t="shared" si="37"/>
        <v>-0.0000816326530612245</v>
      </c>
      <c r="AG27" s="98" t="str">
        <f t="shared" si="38"/>
        <v>1.81655156619281E-06i</v>
      </c>
      <c r="AH27" s="98">
        <f t="shared" si="53"/>
        <v>1.8165515661928101E-6</v>
      </c>
      <c r="AI27" s="98">
        <f t="shared" si="54"/>
        <v>1.5707963267948966</v>
      </c>
      <c r="AJ27" s="98" t="str">
        <f t="shared" si="39"/>
        <v>1+0.000553600051770482i</v>
      </c>
      <c r="AK27" s="98">
        <f t="shared" si="55"/>
        <v>1.000000153236497</v>
      </c>
      <c r="AL27" s="98">
        <f t="shared" si="56"/>
        <v>5.5359999521599967E-4</v>
      </c>
      <c r="AM27" s="98" t="str">
        <f t="shared" si="40"/>
        <v>1+0.00867306747773758i</v>
      </c>
      <c r="AN27" s="98">
        <f t="shared" si="57"/>
        <v>1.0000376103424677</v>
      </c>
      <c r="AO27" s="98">
        <f t="shared" si="58"/>
        <v>8.6728500187706111E-3</v>
      </c>
      <c r="AP27" s="168" t="str">
        <f t="shared" si="59"/>
        <v>-0.364874565978102+44.938454549838i</v>
      </c>
      <c r="AQ27" s="98">
        <f t="shared" si="60"/>
        <v>33.052648955537556</v>
      </c>
      <c r="AR27" s="169">
        <f t="shared" si="61"/>
        <v>90.465198759161169</v>
      </c>
      <c r="AS27" s="168" t="str">
        <f t="shared" si="62"/>
        <v>13.4797008674469+808.862481437671i</v>
      </c>
      <c r="AT27" s="190">
        <f t="shared" si="63"/>
        <v>58.158699794510504</v>
      </c>
      <c r="AU27" s="169">
        <f t="shared" si="64"/>
        <v>89.045253673369459</v>
      </c>
      <c r="AV27" s="225"/>
      <c r="AX27">
        <f t="shared" si="65"/>
        <v>0</v>
      </c>
      <c r="AY27">
        <f t="shared" si="66"/>
        <v>0</v>
      </c>
    </row>
    <row r="28" spans="1:51" x14ac:dyDescent="0.25">
      <c r="A28" s="98" t="s">
        <v>146</v>
      </c>
      <c r="B28" s="207">
        <f>Rsl_int</f>
        <v>1333</v>
      </c>
      <c r="C28" s="206" t="s">
        <v>36</v>
      </c>
      <c r="E28" s="98" t="s">
        <v>212</v>
      </c>
      <c r="N28" s="170">
        <v>10</v>
      </c>
      <c r="O28" s="199">
        <f t="shared" si="41"/>
        <v>12.58925411794168</v>
      </c>
      <c r="P28" s="189" t="str">
        <f t="shared" si="32"/>
        <v>18.0065359477124</v>
      </c>
      <c r="Q28" s="160" t="str">
        <f t="shared" si="33"/>
        <v>1+0.0248158796869651i</v>
      </c>
      <c r="R28" s="160">
        <f t="shared" si="42"/>
        <v>1.0003078665514122</v>
      </c>
      <c r="S28" s="160">
        <f t="shared" si="43"/>
        <v>2.4810787464827795E-2</v>
      </c>
      <c r="T28" s="160" t="str">
        <f t="shared" si="34"/>
        <v>1+0.0000316402466008805i</v>
      </c>
      <c r="U28" s="160">
        <f t="shared" si="44"/>
        <v>1.0000000005005525</v>
      </c>
      <c r="V28" s="160">
        <f t="shared" si="45"/>
        <v>3.1640246590322091E-5</v>
      </c>
      <c r="W28" s="98" t="str">
        <f t="shared" si="35"/>
        <v>1-0.000446995173585845i</v>
      </c>
      <c r="X28" s="160">
        <f t="shared" si="46"/>
        <v>1.0000000999023377</v>
      </c>
      <c r="Y28" s="160">
        <f t="shared" si="47"/>
        <v>-4.4699514381527192E-4</v>
      </c>
      <c r="Z28" s="98" t="str">
        <f t="shared" si="36"/>
        <v>0.999999998082549+0.000133609109270661i</v>
      </c>
      <c r="AA28" s="160">
        <f t="shared" si="48"/>
        <v>1.000000007008246</v>
      </c>
      <c r="AB28" s="160">
        <f t="shared" si="49"/>
        <v>1.3360910873181362E-4</v>
      </c>
      <c r="AC28" s="171" t="str">
        <f t="shared" si="50"/>
        <v>17.9952076620249-0.456451848816734i</v>
      </c>
      <c r="AD28" s="190">
        <f t="shared" si="51"/>
        <v>25.105930575278506</v>
      </c>
      <c r="AE28" s="169">
        <f t="shared" si="52"/>
        <v>-1.4530067287766391</v>
      </c>
      <c r="AF28" s="98" t="str">
        <f t="shared" si="37"/>
        <v>-0.0000816326530612245</v>
      </c>
      <c r="AG28" s="98" t="str">
        <f t="shared" si="38"/>
        <v>1.85886448780173E-06i</v>
      </c>
      <c r="AH28" s="98">
        <f t="shared" si="53"/>
        <v>1.85886448780173E-6</v>
      </c>
      <c r="AI28" s="98">
        <f t="shared" si="54"/>
        <v>1.5707963267948966</v>
      </c>
      <c r="AJ28" s="98" t="str">
        <f t="shared" si="39"/>
        <v>1+0.000566495053502997i</v>
      </c>
      <c r="AK28" s="98">
        <f t="shared" si="55"/>
        <v>1.00000016045831</v>
      </c>
      <c r="AL28" s="98">
        <f t="shared" si="56"/>
        <v>5.6649499290377793E-4</v>
      </c>
      <c r="AM28" s="98" t="str">
        <f t="shared" si="40"/>
        <v>1+0.00887508917154699i</v>
      </c>
      <c r="AN28" s="98">
        <f t="shared" si="57"/>
        <v>1.0000393828283978</v>
      </c>
      <c r="AO28" s="98">
        <f t="shared" si="58"/>
        <v>8.874856160561384E-3</v>
      </c>
      <c r="AP28" s="168" t="str">
        <f t="shared" si="59"/>
        <v>-0.364874560707992+43.9155397413459i</v>
      </c>
      <c r="AQ28" s="98">
        <f t="shared" si="60"/>
        <v>32.85266428783423</v>
      </c>
      <c r="AR28" s="169">
        <f t="shared" si="61"/>
        <v>90.476034029577164</v>
      </c>
      <c r="AS28" s="168" t="str">
        <f t="shared" si="62"/>
        <v>13.4793358161917+790.435804903248i</v>
      </c>
      <c r="AT28" s="190">
        <f t="shared" si="63"/>
        <v>57.958594863112729</v>
      </c>
      <c r="AU28" s="169">
        <f t="shared" si="64"/>
        <v>89.023027300800521</v>
      </c>
      <c r="AV28" s="225"/>
      <c r="AX28">
        <f t="shared" si="65"/>
        <v>0</v>
      </c>
      <c r="AY28">
        <f t="shared" si="66"/>
        <v>0</v>
      </c>
    </row>
    <row r="29" spans="1:51" x14ac:dyDescent="0.25">
      <c r="A29" s="98" t="s">
        <v>144</v>
      </c>
      <c r="B29" s="207">
        <f>Isl</f>
        <v>2.9999999999999997E-5</v>
      </c>
      <c r="C29" s="206" t="s">
        <v>11</v>
      </c>
      <c r="E29" s="98" t="s">
        <v>213</v>
      </c>
      <c r="N29" s="170">
        <v>11</v>
      </c>
      <c r="O29" s="199">
        <f t="shared" si="41"/>
        <v>12.882495516931346</v>
      </c>
      <c r="P29" s="189" t="str">
        <f t="shared" si="32"/>
        <v>18.0065359477124</v>
      </c>
      <c r="Q29" s="160" t="str">
        <f t="shared" si="33"/>
        <v>1+0.0253939157809537i</v>
      </c>
      <c r="R29" s="160">
        <f t="shared" si="42"/>
        <v>1.0003223735170028</v>
      </c>
      <c r="S29" s="160">
        <f t="shared" si="43"/>
        <v>2.5388459461593748E-2</v>
      </c>
      <c r="T29" s="160" t="str">
        <f t="shared" si="34"/>
        <v>1+0.000032377242620716i</v>
      </c>
      <c r="U29" s="160">
        <f t="shared" si="44"/>
        <v>1.000000000524143</v>
      </c>
      <c r="V29" s="160">
        <f t="shared" si="45"/>
        <v>3.2377242609402462E-5</v>
      </c>
      <c r="W29" s="98" t="str">
        <f t="shared" si="35"/>
        <v>1-0.000457407028713714i</v>
      </c>
      <c r="X29" s="160">
        <f t="shared" si="46"/>
        <v>1.0000001046105895</v>
      </c>
      <c r="Y29" s="160">
        <f t="shared" si="47"/>
        <v>-4.5740699681397039E-4</v>
      </c>
      <c r="Z29" s="98" t="str">
        <f t="shared" si="36"/>
        <v>0.999999997992182+0.000136721265221541i</v>
      </c>
      <c r="AA29" s="160">
        <f t="shared" si="48"/>
        <v>1.000000007338534</v>
      </c>
      <c r="AB29" s="160">
        <f t="shared" si="49"/>
        <v>1.3672126464415571E-4</v>
      </c>
      <c r="AC29" s="171" t="str">
        <f t="shared" si="50"/>
        <v>17.9946741204235-0.467070429491535i</v>
      </c>
      <c r="AD29" s="190">
        <f t="shared" si="51"/>
        <v>25.105804647302282</v>
      </c>
      <c r="AE29" s="169">
        <f t="shared" si="52"/>
        <v>-1.486837538005515</v>
      </c>
      <c r="AF29" s="98" t="str">
        <f t="shared" si="37"/>
        <v>-0.0000816326530612245</v>
      </c>
      <c r="AG29" s="98" t="str">
        <f t="shared" si="38"/>
        <v>1.90216300396706E-06i</v>
      </c>
      <c r="AH29" s="98">
        <f t="shared" si="53"/>
        <v>1.90216300396706E-6</v>
      </c>
      <c r="AI29" s="98">
        <f t="shared" si="54"/>
        <v>1.5707963267948966</v>
      </c>
      <c r="AJ29" s="98" t="str">
        <f t="shared" si="39"/>
        <v>1+0.000579690418411327i</v>
      </c>
      <c r="AK29" s="98">
        <f t="shared" si="55"/>
        <v>1.0000001680204764</v>
      </c>
      <c r="AL29" s="98">
        <f t="shared" si="56"/>
        <v>5.7969035347809434E-4</v>
      </c>
      <c r="AM29" s="98" t="str">
        <f t="shared" si="40"/>
        <v>1+0.00908181655511083i</v>
      </c>
      <c r="AN29" s="98">
        <f t="shared" si="57"/>
        <v>1.0000412388456492</v>
      </c>
      <c r="AO29" s="98">
        <f t="shared" si="58"/>
        <v>9.0815668798974892E-3</v>
      </c>
      <c r="AP29" s="168" t="str">
        <f t="shared" si="59"/>
        <v>-0.364874555189509+42.9159095333153i</v>
      </c>
      <c r="AQ29" s="98">
        <f t="shared" si="60"/>
        <v>32.652680342661291</v>
      </c>
      <c r="AR29" s="169">
        <f t="shared" si="61"/>
        <v>90.487121642905166</v>
      </c>
      <c r="AS29" s="168" t="str">
        <f t="shared" si="62"/>
        <v>13.4789535822757+772.428228748788i</v>
      </c>
      <c r="AT29" s="190">
        <f t="shared" si="63"/>
        <v>57.758484989963577</v>
      </c>
      <c r="AU29" s="169">
        <f t="shared" si="64"/>
        <v>89.000284104899663</v>
      </c>
      <c r="AV29" s="225"/>
      <c r="AX29">
        <f t="shared" si="65"/>
        <v>0</v>
      </c>
      <c r="AY29">
        <f t="shared" si="66"/>
        <v>0</v>
      </c>
    </row>
    <row r="30" spans="1:51" x14ac:dyDescent="0.25">
      <c r="C30" s="206"/>
      <c r="N30" s="170">
        <v>12</v>
      </c>
      <c r="O30" s="199">
        <f t="shared" si="41"/>
        <v>13.182567385564075</v>
      </c>
      <c r="P30" s="189" t="str">
        <f t="shared" si="32"/>
        <v>18.0065359477124</v>
      </c>
      <c r="Q30" s="160" t="str">
        <f t="shared" si="33"/>
        <v>1+0.0259854160652176i</v>
      </c>
      <c r="R30" s="160">
        <f t="shared" si="42"/>
        <v>1.0003375639493313</v>
      </c>
      <c r="S30" s="160">
        <f t="shared" si="43"/>
        <v>2.5979569620237768E-2</v>
      </c>
      <c r="T30" s="160" t="str">
        <f t="shared" si="34"/>
        <v>1+0.0000331314054831524i</v>
      </c>
      <c r="U30" s="160">
        <f t="shared" si="44"/>
        <v>1.000000000548845</v>
      </c>
      <c r="V30" s="160">
        <f t="shared" si="45"/>
        <v>3.3131405471029729E-5</v>
      </c>
      <c r="W30" s="98" t="str">
        <f t="shared" si="35"/>
        <v>1-0.000468061407102706i</v>
      </c>
      <c r="X30" s="160">
        <f t="shared" si="46"/>
        <v>1.0000001095407343</v>
      </c>
      <c r="Y30" s="160">
        <f t="shared" si="47"/>
        <v>-4.680613729215151E-4</v>
      </c>
      <c r="Z30" s="98" t="str">
        <f t="shared" si="36"/>
        <v>0.999999997897557+0.000139905912596961i</v>
      </c>
      <c r="AA30" s="160">
        <f t="shared" si="48"/>
        <v>1.0000000076843891</v>
      </c>
      <c r="AB30" s="160">
        <f t="shared" si="49"/>
        <v>1.3990591197828142E-4</v>
      </c>
      <c r="AC30" s="171" t="str">
        <f t="shared" si="50"/>
        <v>17.9941154669525-0.477935380551226i</v>
      </c>
      <c r="AD30" s="190">
        <f t="shared" si="51"/>
        <v>25.105672788439222</v>
      </c>
      <c r="AE30" s="169">
        <f t="shared" si="52"/>
        <v>-1.5214553626098746</v>
      </c>
      <c r="AF30" s="98" t="str">
        <f t="shared" si="37"/>
        <v>-0.0000816326530612245</v>
      </c>
      <c r="AG30" s="98" t="str">
        <f t="shared" si="38"/>
        <v>0.0000019464700721352i</v>
      </c>
      <c r="AH30" s="98">
        <f t="shared" si="53"/>
        <v>1.9464700721352002E-6</v>
      </c>
      <c r="AI30" s="98">
        <f t="shared" si="54"/>
        <v>1.5707963267948966</v>
      </c>
      <c r="AJ30" s="98" t="str">
        <f t="shared" si="39"/>
        <v>1+0.00059319314285261i</v>
      </c>
      <c r="AK30" s="98">
        <f t="shared" si="55"/>
        <v>1.0000001759390369</v>
      </c>
      <c r="AL30" s="98">
        <f t="shared" si="56"/>
        <v>5.9319307327539833E-4</v>
      </c>
      <c r="AM30" s="98" t="str">
        <f t="shared" si="40"/>
        <v>1+0.00929335923802425i</v>
      </c>
      <c r="AN30" s="98">
        <f t="shared" si="57"/>
        <v>1.0000431823306066</v>
      </c>
      <c r="AO30" s="98">
        <f t="shared" si="58"/>
        <v>9.2930917068370315E-3</v>
      </c>
      <c r="AP30" s="168" t="str">
        <f t="shared" si="59"/>
        <v>-0.364874549410947+41.939033908578i</v>
      </c>
      <c r="AQ30" s="98">
        <f t="shared" si="60"/>
        <v>32.452697154064879</v>
      </c>
      <c r="AR30" s="169">
        <f t="shared" si="61"/>
        <v>90.498467473894706</v>
      </c>
      <c r="AS30" s="168" t="str">
        <f t="shared" si="62"/>
        <v>13.4785533579941+754.830205180015i</v>
      </c>
      <c r="AT30" s="190">
        <f t="shared" si="63"/>
        <v>57.5583699425041</v>
      </c>
      <c r="AU30" s="169">
        <f t="shared" si="64"/>
        <v>88.97701211128485</v>
      </c>
      <c r="AV30" s="225"/>
      <c r="AX30">
        <f t="shared" si="65"/>
        <v>0</v>
      </c>
      <c r="AY30">
        <f t="shared" si="66"/>
        <v>0</v>
      </c>
    </row>
    <row r="31" spans="1:51" x14ac:dyDescent="0.25">
      <c r="A31" s="98" t="s">
        <v>236</v>
      </c>
      <c r="B31" s="207">
        <f>Gcomp</f>
        <v>0.14499999999999999</v>
      </c>
      <c r="C31" s="206"/>
      <c r="E31" s="98" t="s">
        <v>237</v>
      </c>
      <c r="N31" s="170">
        <v>13</v>
      </c>
      <c r="O31" s="199">
        <f t="shared" si="41"/>
        <v>13.489628825916535</v>
      </c>
      <c r="P31" s="189" t="str">
        <f t="shared" si="32"/>
        <v>18.0065359477124</v>
      </c>
      <c r="Q31" s="160" t="str">
        <f t="shared" si="33"/>
        <v>1+0.0265906941610369i</v>
      </c>
      <c r="R31" s="160">
        <f t="shared" si="42"/>
        <v>1.0003534700374492</v>
      </c>
      <c r="S31" s="160">
        <f t="shared" si="43"/>
        <v>2.6584429701919647E-2</v>
      </c>
      <c r="T31" s="160" t="str">
        <f t="shared" si="34"/>
        <v>1+0.000033903135055322i</v>
      </c>
      <c r="U31" s="160">
        <f t="shared" si="44"/>
        <v>1.0000000005747112</v>
      </c>
      <c r="V31" s="160">
        <f t="shared" si="45"/>
        <v>3.3903135042332321E-5</v>
      </c>
      <c r="W31" s="98" t="str">
        <f t="shared" si="35"/>
        <v>1-0.000478963957845268i</v>
      </c>
      <c r="X31" s="160">
        <f t="shared" si="46"/>
        <v>1.0000001147032298</v>
      </c>
      <c r="Y31" s="160">
        <f t="shared" si="47"/>
        <v>-4.7896392121946231E-4</v>
      </c>
      <c r="Z31" s="98" t="str">
        <f t="shared" si="36"/>
        <v>0.999999997798472+0.000143164739939114i</v>
      </c>
      <c r="AA31" s="160">
        <f t="shared" si="48"/>
        <v>1.0000000080465432</v>
      </c>
      <c r="AB31" s="160">
        <f t="shared" si="49"/>
        <v>1.4316473927618688E-4</v>
      </c>
      <c r="AC31" s="171" t="str">
        <f t="shared" si="50"/>
        <v>17.993530521323-0.48905237156419i</v>
      </c>
      <c r="AD31" s="190">
        <f t="shared" si="51"/>
        <v>25.105534719552804</v>
      </c>
      <c r="AE31" s="169">
        <f t="shared" si="52"/>
        <v>-1.5568784626925705</v>
      </c>
      <c r="AF31" s="98" t="str">
        <f t="shared" si="37"/>
        <v>-0.0000816326530612245</v>
      </c>
      <c r="AG31" s="98" t="str">
        <f t="shared" si="38"/>
        <v>1.99180918450017E-06i</v>
      </c>
      <c r="AH31" s="98">
        <f t="shared" si="53"/>
        <v>1.99180918450017E-6</v>
      </c>
      <c r="AI31" s="98">
        <f t="shared" si="54"/>
        <v>1.5707963267948966</v>
      </c>
      <c r="AJ31" s="98" t="str">
        <f t="shared" si="39"/>
        <v>1+0.000607010386150072i</v>
      </c>
      <c r="AK31" s="98">
        <f t="shared" si="55"/>
        <v>1.0000001842307875</v>
      </c>
      <c r="AL31" s="98">
        <f t="shared" si="56"/>
        <v>6.0701031159674738E-4</v>
      </c>
      <c r="AM31" s="98" t="str">
        <f t="shared" si="40"/>
        <v>1+0.00950982938301782i</v>
      </c>
      <c r="AN31" s="98">
        <f t="shared" si="57"/>
        <v>1.0000452174051402</v>
      </c>
      <c r="AO31" s="98">
        <f t="shared" si="58"/>
        <v>9.5095427188860004E-3</v>
      </c>
      <c r="AP31" s="168" t="str">
        <f t="shared" si="59"/>
        <v>-0.36487454336005+40.9843949147474i</v>
      </c>
      <c r="AQ31" s="98">
        <f t="shared" si="60"/>
        <v>32.25271475769518</v>
      </c>
      <c r="AR31" s="169">
        <f t="shared" si="61"/>
        <v>90.510077533916103</v>
      </c>
      <c r="AS31" s="168" t="str">
        <f t="shared" si="62"/>
        <v>13.4781342977777+737.632403557216i</v>
      </c>
      <c r="AT31" s="190">
        <f t="shared" si="63"/>
        <v>57.358249477247981</v>
      </c>
      <c r="AU31" s="169">
        <f t="shared" si="64"/>
        <v>88.953199071223551</v>
      </c>
      <c r="AV31" s="225"/>
      <c r="AX31">
        <f t="shared" si="65"/>
        <v>0</v>
      </c>
      <c r="AY31">
        <f t="shared" si="66"/>
        <v>0</v>
      </c>
    </row>
    <row r="32" spans="1:51" x14ac:dyDescent="0.25">
      <c r="N32" s="170">
        <v>14</v>
      </c>
      <c r="O32" s="199">
        <f t="shared" si="41"/>
        <v>13.803842646028857</v>
      </c>
      <c r="P32" s="189" t="str">
        <f t="shared" si="32"/>
        <v>18.0065359477124</v>
      </c>
      <c r="Q32" s="160" t="str">
        <f t="shared" si="33"/>
        <v>1+0.0272100709948698i</v>
      </c>
      <c r="R32" s="160">
        <f t="shared" si="42"/>
        <v>1.0003701254853354</v>
      </c>
      <c r="S32" s="160">
        <f t="shared" si="43"/>
        <v>2.7203358640114975E-2</v>
      </c>
      <c r="T32" s="160" t="str">
        <f t="shared" si="34"/>
        <v>1+0.000034692840518459i</v>
      </c>
      <c r="U32" s="160">
        <f t="shared" si="44"/>
        <v>1.0000000006017966</v>
      </c>
      <c r="V32" s="160">
        <f t="shared" si="45"/>
        <v>3.4692840504540308E-5</v>
      </c>
      <c r="W32" s="98" t="str">
        <f t="shared" si="35"/>
        <v>1-0.000490120461618117i</v>
      </c>
      <c r="X32" s="160">
        <f t="shared" si="46"/>
        <v>1.0000001201090263</v>
      </c>
      <c r="Y32" s="160">
        <f t="shared" si="47"/>
        <v>-4.9012042237285937E-4</v>
      </c>
      <c r="Z32" s="98" t="str">
        <f t="shared" si="36"/>
        <v>0.999999997694717+0.000146499475121392i</v>
      </c>
      <c r="AA32" s="160">
        <f t="shared" si="48"/>
        <v>1.000000008425765</v>
      </c>
      <c r="AB32" s="160">
        <f t="shared" si="49"/>
        <v>1.4649947441105281E-4</v>
      </c>
      <c r="AC32" s="171" t="str">
        <f t="shared" si="50"/>
        <v>17.9929180479286-0.500427199228321i</v>
      </c>
      <c r="AD32" s="190">
        <f t="shared" si="51"/>
        <v>25.105390148387521</v>
      </c>
      <c r="AE32" s="169">
        <f t="shared" si="52"/>
        <v>-1.5931255185588742</v>
      </c>
      <c r="AF32" s="98" t="str">
        <f t="shared" si="37"/>
        <v>-0.0000816326530612245</v>
      </c>
      <c r="AG32" s="98" t="str">
        <f t="shared" si="38"/>
        <v>2.03820438045947E-06i</v>
      </c>
      <c r="AH32" s="98">
        <f t="shared" si="53"/>
        <v>2.0382043804594701E-6</v>
      </c>
      <c r="AI32" s="98">
        <f t="shared" si="54"/>
        <v>1.5707963267948966</v>
      </c>
      <c r="AJ32" s="98" t="str">
        <f t="shared" si="39"/>
        <v>1+0.000621149474389003i</v>
      </c>
      <c r="AK32" s="98">
        <f t="shared" si="55"/>
        <v>1.0000001929133162</v>
      </c>
      <c r="AL32" s="98">
        <f t="shared" si="56"/>
        <v>6.2114939450367722E-4</v>
      </c>
      <c r="AM32" s="98" t="str">
        <f t="shared" si="40"/>
        <v>1+0.00973134176542775i</v>
      </c>
      <c r="AN32" s="98">
        <f t="shared" si="57"/>
        <v>1.0000473483853429</v>
      </c>
      <c r="AO32" s="98">
        <f t="shared" si="58"/>
        <v>9.73103460006184E-3</v>
      </c>
      <c r="AP32" s="168" t="str">
        <f t="shared" si="59"/>
        <v>-0.364874537023984+40.051486389593i</v>
      </c>
      <c r="AQ32" s="98">
        <f t="shared" si="60"/>
        <v>32.052733190881945</v>
      </c>
      <c r="AR32" s="169">
        <f t="shared" si="61"/>
        <v>90.521957974127147</v>
      </c>
      <c r="AS32" s="168" t="str">
        <f t="shared" si="62"/>
        <v>13.4776955164268+720.825705448307i</v>
      </c>
      <c r="AT32" s="190">
        <f t="shared" si="63"/>
        <v>57.158123339269466</v>
      </c>
      <c r="AU32" s="169">
        <f t="shared" si="64"/>
        <v>88.928832455568283</v>
      </c>
      <c r="AV32" s="225"/>
      <c r="AX32">
        <f t="shared" si="65"/>
        <v>0</v>
      </c>
      <c r="AY32">
        <f t="shared" si="66"/>
        <v>0</v>
      </c>
    </row>
    <row r="33" spans="1:51" x14ac:dyDescent="0.25">
      <c r="N33" s="170">
        <v>15</v>
      </c>
      <c r="O33" s="199">
        <f t="shared" si="41"/>
        <v>14.125375446227544</v>
      </c>
      <c r="P33" s="189" t="str">
        <f t="shared" si="32"/>
        <v>18.0065359477124</v>
      </c>
      <c r="Q33" s="160" t="str">
        <f t="shared" si="33"/>
        <v>1+0.0278438749685121i</v>
      </c>
      <c r="R33" s="160">
        <f t="shared" si="42"/>
        <v>1.0003875655830905</v>
      </c>
      <c r="S33" s="160">
        <f t="shared" si="43"/>
        <v>2.7836682701293428E-2</v>
      </c>
      <c r="T33" s="160" t="str">
        <f t="shared" si="34"/>
        <v>1+0.0000355009405848529i</v>
      </c>
      <c r="U33" s="160">
        <f t="shared" si="44"/>
        <v>1.0000000006301584</v>
      </c>
      <c r="V33" s="160">
        <f t="shared" si="45"/>
        <v>3.5500940569938757E-5</v>
      </c>
      <c r="W33" s="98" t="str">
        <f t="shared" si="35"/>
        <v>1-0.000501536833747228i</v>
      </c>
      <c r="X33" s="160">
        <f t="shared" si="46"/>
        <v>1.0000001257695899</v>
      </c>
      <c r="Y33" s="160">
        <f t="shared" si="47"/>
        <v>-5.015367916951771E-4</v>
      </c>
      <c r="Z33" s="98" t="str">
        <f t="shared" si="36"/>
        <v>0.999999997586072+0.000149911886264529i</v>
      </c>
      <c r="AA33" s="160">
        <f t="shared" si="48"/>
        <v>1.0000000088228589</v>
      </c>
      <c r="AB33" s="160">
        <f t="shared" si="49"/>
        <v>1.4991188550338689E-4</v>
      </c>
      <c r="AC33" s="171" t="str">
        <f t="shared" si="50"/>
        <v>17.9922767532683-0.512065789981129i</v>
      </c>
      <c r="AD33" s="190">
        <f t="shared" si="51"/>
        <v>25.10523876895423</v>
      </c>
      <c r="AE33" s="169">
        <f t="shared" si="52"/>
        <v>-1.6302156401383958</v>
      </c>
      <c r="AF33" s="98" t="str">
        <f t="shared" si="37"/>
        <v>-0.0000816326530612245</v>
      </c>
      <c r="AG33" s="98" t="str">
        <f t="shared" si="38"/>
        <v>2.08568025936011E-06i</v>
      </c>
      <c r="AH33" s="98">
        <f t="shared" si="53"/>
        <v>2.08568025936011E-6</v>
      </c>
      <c r="AI33" s="98">
        <f t="shared" si="54"/>
        <v>1.5707963267948966</v>
      </c>
      <c r="AJ33" s="98" t="str">
        <f t="shared" si="39"/>
        <v>1+0.00063561790430114i</v>
      </c>
      <c r="AK33" s="98">
        <f t="shared" si="55"/>
        <v>1.0000002020050398</v>
      </c>
      <c r="AL33" s="98">
        <f t="shared" si="56"/>
        <v>6.3561781870247213E-4</v>
      </c>
      <c r="AM33" s="98" t="str">
        <f t="shared" si="40"/>
        <v>1+0.00995801383405123i</v>
      </c>
      <c r="AN33" s="98">
        <f t="shared" si="57"/>
        <v>1.0000495797906819</v>
      </c>
      <c r="AO33" s="98">
        <f t="shared" si="58"/>
        <v>9.9576847013130455E-3</v>
      </c>
      <c r="AP33" s="168" t="str">
        <f t="shared" si="59"/>
        <v>-0.364874530389308+39.139813692666i</v>
      </c>
      <c r="AQ33" s="98">
        <f t="shared" si="60"/>
        <v>31.852752492713474</v>
      </c>
      <c r="AR33" s="169">
        <f t="shared" si="61"/>
        <v>90.534115088712269</v>
      </c>
      <c r="AS33" s="168" t="str">
        <f t="shared" si="62"/>
        <v>13.477236087266+704.401199794455i</v>
      </c>
      <c r="AT33" s="190">
        <f t="shared" si="63"/>
        <v>56.957991261667715</v>
      </c>
      <c r="AU33" s="169">
        <f t="shared" si="64"/>
        <v>88.903899448573867</v>
      </c>
      <c r="AV33" s="225"/>
      <c r="AX33">
        <f t="shared" si="65"/>
        <v>0</v>
      </c>
      <c r="AY33">
        <f t="shared" si="66"/>
        <v>0</v>
      </c>
    </row>
    <row r="34" spans="1:51" x14ac:dyDescent="0.25">
      <c r="N34" s="170">
        <v>16</v>
      </c>
      <c r="O34" s="199">
        <f t="shared" si="41"/>
        <v>14.454397707459275</v>
      </c>
      <c r="P34" s="189" t="str">
        <f t="shared" si="32"/>
        <v>18.0065359477124</v>
      </c>
      <c r="Q34" s="160" t="str">
        <f t="shared" si="33"/>
        <v>1+0.0284924421332199i</v>
      </c>
      <c r="R34" s="160">
        <f t="shared" si="42"/>
        <v>1.0004058272814662</v>
      </c>
      <c r="S34" s="160">
        <f t="shared" si="43"/>
        <v>2.848473564888469E-2</v>
      </c>
      <c r="T34" s="160" t="str">
        <f t="shared" si="34"/>
        <v>1+0.0000363278637198554i</v>
      </c>
      <c r="U34" s="160">
        <f t="shared" si="44"/>
        <v>1.0000000006598568</v>
      </c>
      <c r="V34" s="160">
        <f t="shared" si="45"/>
        <v>3.6327863703874608E-5</v>
      </c>
      <c r="W34" s="98" t="str">
        <f t="shared" si="35"/>
        <v>1-0.000513219127344216i</v>
      </c>
      <c r="X34" s="160">
        <f t="shared" si="46"/>
        <v>1.0000001316969276</v>
      </c>
      <c r="Y34" s="160">
        <f t="shared" si="47"/>
        <v>-5.13219082284632E-4</v>
      </c>
      <c r="Z34" s="98" t="str">
        <f t="shared" si="36"/>
        <v>0.999999997472307+0.000153403782674082i</v>
      </c>
      <c r="AA34" s="160">
        <f t="shared" si="48"/>
        <v>1.0000000092386672</v>
      </c>
      <c r="AB34" s="160">
        <f t="shared" si="49"/>
        <v>1.5340378185850357E-4</v>
      </c>
      <c r="AC34" s="171" t="str">
        <f t="shared" si="50"/>
        <v>17.9916052832503-0.523974202645667i</v>
      </c>
      <c r="AD34" s="190">
        <f t="shared" si="51"/>
        <v>25.105080260886691</v>
      </c>
      <c r="AE34" s="169">
        <f t="shared" si="52"/>
        <v>-1.6681683766002962</v>
      </c>
      <c r="AF34" s="98" t="str">
        <f t="shared" si="37"/>
        <v>-0.0000816326530612245</v>
      </c>
      <c r="AG34" s="98" t="str">
        <f t="shared" si="38"/>
        <v>0.0000021342619935415i</v>
      </c>
      <c r="AH34" s="98">
        <f t="shared" si="53"/>
        <v>2.1342619935414998E-6</v>
      </c>
      <c r="AI34" s="98">
        <f t="shared" si="54"/>
        <v>1.5707963267948966</v>
      </c>
      <c r="AJ34" s="98" t="str">
        <f t="shared" si="39"/>
        <v>1+0.000650423347239536i</v>
      </c>
      <c r="AK34" s="98">
        <f t="shared" si="55"/>
        <v>1.0000002115252429</v>
      </c>
      <c r="AL34" s="98">
        <f t="shared" si="56"/>
        <v>6.5042325551891182E-4</v>
      </c>
      <c r="AM34" s="98" t="str">
        <f t="shared" si="40"/>
        <v>1+0.0101899657734194i</v>
      </c>
      <c r="AN34" s="98">
        <f t="shared" si="57"/>
        <v>1.0000519163535777</v>
      </c>
      <c r="AO34" s="98">
        <f t="shared" si="58"/>
        <v>1.0189613102325263E-2</v>
      </c>
      <c r="AP34" s="168" t="str">
        <f t="shared" si="59"/>
        <v>-0.36487452344195+38.2488934430354i</v>
      </c>
      <c r="AQ34" s="98">
        <f t="shared" si="60"/>
        <v>31.652772704119666</v>
      </c>
      <c r="AR34" s="169">
        <f t="shared" si="61"/>
        <v>90.546555318196042</v>
      </c>
      <c r="AS34" s="168" t="str">
        <f t="shared" si="62"/>
        <v>13.4767550402119+688.35017818568i</v>
      </c>
      <c r="AT34" s="190">
        <f t="shared" si="63"/>
        <v>56.757852965006357</v>
      </c>
      <c r="AU34" s="169">
        <f t="shared" si="64"/>
        <v>88.87838694159575</v>
      </c>
      <c r="AV34" s="225"/>
      <c r="AX34">
        <f t="shared" si="65"/>
        <v>0</v>
      </c>
      <c r="AY34">
        <f t="shared" si="66"/>
        <v>0</v>
      </c>
    </row>
    <row r="35" spans="1:51" x14ac:dyDescent="0.25">
      <c r="A35" s="98" t="s">
        <v>235</v>
      </c>
      <c r="B35" s="208">
        <f>IF(Dc_Mode_Loop="CCM",(Gcomp*(VIN_var/VOUT)*(VOUT/IOUT))/(2*R_cs*Acs),K35*K37)</f>
        <v>18.006535947712418</v>
      </c>
      <c r="C35" s="98" t="s">
        <v>180</v>
      </c>
      <c r="E35" s="98" t="s">
        <v>239</v>
      </c>
      <c r="J35" s="98" t="s">
        <v>546</v>
      </c>
      <c r="K35" s="98">
        <f>Fsw/((1+B45/B46)*B46)</f>
        <v>8.1422558296781684</v>
      </c>
      <c r="N35" s="170">
        <v>17</v>
      </c>
      <c r="O35" s="199">
        <f t="shared" si="41"/>
        <v>14.791083881682074</v>
      </c>
      <c r="P35" s="189" t="str">
        <f t="shared" si="32"/>
        <v>18.0065359477124</v>
      </c>
      <c r="Q35" s="160" t="str">
        <f t="shared" si="33"/>
        <v>1+0.0291561163678888i</v>
      </c>
      <c r="R35" s="160">
        <f t="shared" si="42"/>
        <v>1.000424949269888</v>
      </c>
      <c r="S35" s="160">
        <f t="shared" si="43"/>
        <v>2.914785891057738E-2</v>
      </c>
      <c r="T35" s="160" t="str">
        <f t="shared" si="34"/>
        <v>1+0.0000371740483690582i</v>
      </c>
      <c r="U35" s="160">
        <f t="shared" si="44"/>
        <v>1.0000000006909548</v>
      </c>
      <c r="V35" s="160">
        <f t="shared" si="45"/>
        <v>3.7174048351934476E-5</v>
      </c>
      <c r="W35" s="98" t="str">
        <f t="shared" si="35"/>
        <v>1-0.00052517353651578i</v>
      </c>
      <c r="X35" s="160">
        <f t="shared" si="46"/>
        <v>1.0000001379036123</v>
      </c>
      <c r="Y35" s="160">
        <f t="shared" si="47"/>
        <v>-5.2517348823356619E-4</v>
      </c>
      <c r="Z35" s="98" t="str">
        <f t="shared" si="36"/>
        <v>0.999999997353181+0.000156977015799748i</v>
      </c>
      <c r="AA35" s="160">
        <f t="shared" si="48"/>
        <v>1.0000000096740729</v>
      </c>
      <c r="AB35" s="160">
        <f t="shared" si="49"/>
        <v>1.5697701492583987E-4</v>
      </c>
      <c r="AC35" s="171" t="str">
        <f t="shared" si="50"/>
        <v>17.9909022203721-0.536158631111441i</v>
      </c>
      <c r="AD35" s="190">
        <f t="shared" si="51"/>
        <v>25.104914288768214</v>
      </c>
      <c r="AE35" s="169">
        <f t="shared" si="52"/>
        <v>-1.7070037261646553</v>
      </c>
      <c r="AF35" s="98" t="str">
        <f t="shared" si="37"/>
        <v>-0.0000816326530612245</v>
      </c>
      <c r="AG35" s="98" t="str">
        <f t="shared" si="38"/>
        <v>2.18397534168217E-06i</v>
      </c>
      <c r="AH35" s="98">
        <f t="shared" si="53"/>
        <v>2.1839753416821698E-6</v>
      </c>
      <c r="AI35" s="98">
        <f t="shared" si="54"/>
        <v>1.5707963267948966</v>
      </c>
      <c r="AJ35" s="98" t="str">
        <f t="shared" si="39"/>
        <v>1+0.000665573653246008i</v>
      </c>
      <c r="AK35" s="98">
        <f t="shared" si="55"/>
        <v>1.0000002214941195</v>
      </c>
      <c r="AL35" s="98">
        <f t="shared" si="56"/>
        <v>6.6557355496558979E-4</v>
      </c>
      <c r="AM35" s="98" t="str">
        <f t="shared" si="40"/>
        <v>1+0.0104273205675208i</v>
      </c>
      <c r="AN35" s="98">
        <f t="shared" si="57"/>
        <v>1.0000543630294394</v>
      </c>
      <c r="AO35" s="98">
        <f t="shared" si="58"/>
        <v>1.0426942674744493E-2</v>
      </c>
      <c r="AP35" s="168" t="str">
        <f t="shared" si="59"/>
        <v>-0.364874516167173+37.3782532629916i</v>
      </c>
      <c r="AQ35" s="98">
        <f t="shared" si="60"/>
        <v>31.452793867958391</v>
      </c>
      <c r="AR35" s="169">
        <f t="shared" si="61"/>
        <v>90.559285252832666</v>
      </c>
      <c r="AS35" s="168" t="str">
        <f t="shared" si="62"/>
        <v>13.4762513597531+672.664130243902i</v>
      </c>
      <c r="AT35" s="190">
        <f t="shared" si="63"/>
        <v>56.557708156726605</v>
      </c>
      <c r="AU35" s="169">
        <f t="shared" si="64"/>
        <v>88.852281526668023</v>
      </c>
      <c r="AV35" s="225"/>
      <c r="AX35">
        <f t="shared" si="65"/>
        <v>0</v>
      </c>
      <c r="AY35">
        <f t="shared" si="66"/>
        <v>0</v>
      </c>
    </row>
    <row r="36" spans="1:51" x14ac:dyDescent="0.25">
      <c r="A36" s="98" t="s">
        <v>252</v>
      </c>
      <c r="B36" s="209">
        <f>IF(Dc_Mode_Loop="CCM",2/(Cout*(VOUT/IOUT)),(2*B20/B17-1)/(Cout*(VOUT/IOUT)*(B20/B17-1)))</f>
        <v>3187.5</v>
      </c>
      <c r="C36" s="98" t="s">
        <v>251</v>
      </c>
      <c r="E36" s="98" t="s">
        <v>242</v>
      </c>
      <c r="J36" s="98" t="s">
        <v>547</v>
      </c>
      <c r="K36" s="98">
        <f>(1+SQRT(1+2*(Dc_DCM_VIN_nom^2)/K38))/2</f>
        <v>4.2105263157894735</v>
      </c>
      <c r="N36" s="170">
        <v>18</v>
      </c>
      <c r="O36" s="199">
        <f t="shared" si="41"/>
        <v>15.135612484362087</v>
      </c>
      <c r="P36" s="189" t="str">
        <f t="shared" si="32"/>
        <v>18.0065359477124</v>
      </c>
      <c r="Q36" s="160" t="str">
        <f t="shared" si="33"/>
        <v>1+0.0298352495613828i</v>
      </c>
      <c r="R36" s="160">
        <f t="shared" si="42"/>
        <v>1.0004449720581288</v>
      </c>
      <c r="S36" s="160">
        <f t="shared" si="43"/>
        <v>2.9826401748992697E-2</v>
      </c>
      <c r="T36" s="160" t="str">
        <f t="shared" si="34"/>
        <v>1+0.0000380399431907631i</v>
      </c>
      <c r="U36" s="160">
        <f t="shared" si="44"/>
        <v>1.0000000007235186</v>
      </c>
      <c r="V36" s="160">
        <f t="shared" si="45"/>
        <v>3.8039943172414694E-5</v>
      </c>
      <c r="W36" s="98" t="str">
        <f t="shared" si="35"/>
        <v>1-0.000537406399647898i</v>
      </c>
      <c r="X36" s="160">
        <f t="shared" si="46"/>
        <v>1.0000001444028088</v>
      </c>
      <c r="Y36" s="160">
        <f t="shared" si="47"/>
        <v>-5.3740634791257422E-4</v>
      </c>
      <c r="Z36" s="98" t="str">
        <f t="shared" si="36"/>
        <v>0.99999999722844+0.000160633480217027i</v>
      </c>
      <c r="AA36" s="160">
        <f t="shared" si="48"/>
        <v>1.0000000101299975</v>
      </c>
      <c r="AB36" s="160">
        <f t="shared" si="49"/>
        <v>1.6063347928061761E-4</v>
      </c>
      <c r="AC36" s="171" t="str">
        <f t="shared" si="50"/>
        <v>17.9901660807711-0.548625407049173i</v>
      </c>
      <c r="AD36" s="190">
        <f t="shared" si="51"/>
        <v>25.104740501426953</v>
      </c>
      <c r="AE36" s="169">
        <f t="shared" si="52"/>
        <v>-1.7467421461124111</v>
      </c>
      <c r="AF36" s="98" t="str">
        <f t="shared" si="37"/>
        <v>-0.0000816326530612245</v>
      </c>
      <c r="AG36" s="98" t="str">
        <f t="shared" si="38"/>
        <v>2.23484666245733E-06i</v>
      </c>
      <c r="AH36" s="98">
        <f t="shared" si="53"/>
        <v>2.2348466624573299E-6</v>
      </c>
      <c r="AI36" s="98">
        <f t="shared" si="54"/>
        <v>1.5707963267948966</v>
      </c>
      <c r="AJ36" s="98" t="str">
        <f t="shared" si="39"/>
        <v>1+0.000681076855213342i</v>
      </c>
      <c r="AK36" s="98">
        <f t="shared" si="55"/>
        <v>1.0000002319328145</v>
      </c>
      <c r="AL36" s="98">
        <f t="shared" si="56"/>
        <v>6.8107674990397775E-4</v>
      </c>
      <c r="AM36" s="98" t="str">
        <f t="shared" si="40"/>
        <v>1+0.0106702040650091i</v>
      </c>
      <c r="AN36" s="98">
        <f t="shared" si="57"/>
        <v>1.0000569250071663</v>
      </c>
      <c r="AO36" s="98">
        <f t="shared" si="58"/>
        <v>1.0669799146848803E-2</v>
      </c>
      <c r="AP36" s="168" t="str">
        <f t="shared" si="59"/>
        <v>-0.364874508549551+36.527431527587i</v>
      </c>
      <c r="AQ36" s="98">
        <f t="shared" si="60"/>
        <v>31.252816029106651</v>
      </c>
      <c r="AR36" s="169">
        <f t="shared" si="61"/>
        <v>90.57231163607274</v>
      </c>
      <c r="AS36" s="168" t="str">
        <f t="shared" si="62"/>
        <v>13.4757239828371+657.334739111059i</v>
      </c>
      <c r="AT36" s="190">
        <f t="shared" si="63"/>
        <v>56.357556530533593</v>
      </c>
      <c r="AU36" s="169">
        <f t="shared" si="64"/>
        <v>88.825569489960316</v>
      </c>
      <c r="AV36" s="225"/>
      <c r="AX36">
        <f t="shared" si="65"/>
        <v>0</v>
      </c>
      <c r="AY36">
        <f t="shared" si="66"/>
        <v>0</v>
      </c>
    </row>
    <row r="37" spans="1:51" x14ac:dyDescent="0.25">
      <c r="B37" s="210">
        <f>wp_lf/(2*PI())</f>
        <v>507.30638110541639</v>
      </c>
      <c r="C37" s="98" t="s">
        <v>69</v>
      </c>
      <c r="J37" s="98" t="s">
        <v>548</v>
      </c>
      <c r="K37" s="98">
        <f>2*VOUT/Dc_DCM_VIN_nom*(K36-1)/(2*K36-1)</f>
        <v>6.2191405776256241</v>
      </c>
      <c r="N37" s="170">
        <v>19</v>
      </c>
      <c r="O37" s="199">
        <f t="shared" si="41"/>
        <v>15.488166189124817</v>
      </c>
      <c r="P37" s="189" t="str">
        <f t="shared" si="32"/>
        <v>18.0065359477124</v>
      </c>
      <c r="Q37" s="160" t="str">
        <f t="shared" si="33"/>
        <v>1+0.0305302017991105i</v>
      </c>
      <c r="R37" s="160">
        <f t="shared" si="42"/>
        <v>1.0004659380618084</v>
      </c>
      <c r="S37" s="160">
        <f t="shared" si="43"/>
        <v>3.0520721435775416E-2</v>
      </c>
      <c r="T37" s="160" t="str">
        <f t="shared" si="34"/>
        <v>1+0.0000389260072938659i</v>
      </c>
      <c r="U37" s="160">
        <f t="shared" si="44"/>
        <v>1.0000000007576169</v>
      </c>
      <c r="V37" s="160">
        <f t="shared" si="45"/>
        <v>3.8926007274205231E-5</v>
      </c>
      <c r="W37" s="98" t="str">
        <f t="shared" si="35"/>
        <v>1-0.000549924202766525i</v>
      </c>
      <c r="X37" s="160">
        <f t="shared" si="46"/>
        <v>1.000000151208303</v>
      </c>
      <c r="Y37" s="160">
        <f t="shared" si="47"/>
        <v>-5.4992414733112715E-4</v>
      </c>
      <c r="Z37" s="98" t="str">
        <f t="shared" si="36"/>
        <v>0.99999999709782+0.000164375114631753i</v>
      </c>
      <c r="AA37" s="160">
        <f t="shared" si="48"/>
        <v>1.0000000106074092</v>
      </c>
      <c r="AB37" s="160">
        <f t="shared" si="49"/>
        <v>1.6437511362837236E-4</v>
      </c>
      <c r="AC37" s="171" t="str">
        <f t="shared" si="50"/>
        <v>17.9893953111398-0.56138100265825i</v>
      </c>
      <c r="AD37" s="190">
        <f t="shared" si="51"/>
        <v>25.104558531198439</v>
      </c>
      <c r="AE37" s="169">
        <f t="shared" si="52"/>
        <v>-1.7874045629965796</v>
      </c>
      <c r="AF37" s="98" t="str">
        <f t="shared" si="37"/>
        <v>-0.0000816326530612245</v>
      </c>
      <c r="AG37" s="98" t="str">
        <f t="shared" si="38"/>
        <v>2.28690292851462E-06i</v>
      </c>
      <c r="AH37" s="98">
        <f t="shared" si="53"/>
        <v>2.2869029285146201E-6</v>
      </c>
      <c r="AI37" s="98">
        <f t="shared" si="54"/>
        <v>1.5707963267948966</v>
      </c>
      <c r="AJ37" s="98" t="str">
        <f t="shared" si="39"/>
        <v>1+0.000696941173144426i</v>
      </c>
      <c r="AK37" s="98">
        <f t="shared" si="55"/>
        <v>1.00000024286347</v>
      </c>
      <c r="AL37" s="98">
        <f t="shared" si="56"/>
        <v>6.9694106030341067E-4</v>
      </c>
      <c r="AM37" s="98" t="str">
        <f t="shared" si="40"/>
        <v>1+0.0109187450459294i</v>
      </c>
      <c r="AN37" s="98">
        <f t="shared" si="57"/>
        <v>1.0000596077201489</v>
      </c>
      <c r="AO37" s="98">
        <f t="shared" si="58"/>
        <v>1.0918311169700308E-2</v>
      </c>
      <c r="AP37" s="168" t="str">
        <f t="shared" si="59"/>
        <v>-0.364874500572916+35.6959771198757i</v>
      </c>
      <c r="AQ37" s="98">
        <f t="shared" si="60"/>
        <v>31.052839234555488</v>
      </c>
      <c r="AR37" s="169">
        <f t="shared" si="61"/>
        <v>90.585641368109606</v>
      </c>
      <c r="AS37" s="168" t="str">
        <f t="shared" si="62"/>
        <v>13.4751717966609+642.353877039821i</v>
      </c>
      <c r="AT37" s="190">
        <f t="shared" si="63"/>
        <v>56.15739776575392</v>
      </c>
      <c r="AU37" s="169">
        <f t="shared" si="64"/>
        <v>88.798236805113035</v>
      </c>
      <c r="AV37" s="225"/>
      <c r="AX37">
        <f t="shared" si="65"/>
        <v>0</v>
      </c>
      <c r="AY37">
        <f t="shared" si="66"/>
        <v>0</v>
      </c>
    </row>
    <row r="38" spans="1:51" x14ac:dyDescent="0.25">
      <c r="B38" s="211"/>
      <c r="C38" s="98" t="s">
        <v>275</v>
      </c>
      <c r="E38" s="98" t="s">
        <v>274</v>
      </c>
      <c r="J38" s="98" t="s">
        <v>549</v>
      </c>
      <c r="K38" s="98">
        <f>(Lm*Fsw/(VOUT/IOUT))</f>
        <v>0.18328124999999995</v>
      </c>
      <c r="N38" s="170">
        <v>20</v>
      </c>
      <c r="O38" s="199">
        <f t="shared" si="41"/>
        <v>15.848931924611136</v>
      </c>
      <c r="P38" s="189" t="str">
        <f t="shared" si="32"/>
        <v>18.0065359477124</v>
      </c>
      <c r="Q38" s="160" t="str">
        <f t="shared" si="33"/>
        <v>1+0.031241341553947i</v>
      </c>
      <c r="R38" s="160">
        <f t="shared" si="42"/>
        <v>1.0004878916918938</v>
      </c>
      <c r="S38" s="160">
        <f t="shared" si="43"/>
        <v>3.1231183429141732E-2</v>
      </c>
      <c r="T38" s="160" t="str">
        <f t="shared" si="34"/>
        <v>1+0.0000398327104812825i</v>
      </c>
      <c r="U38" s="160">
        <f t="shared" si="44"/>
        <v>1.0000000007933223</v>
      </c>
      <c r="V38" s="160">
        <f t="shared" si="45"/>
        <v>3.9832710460215711E-5</v>
      </c>
      <c r="W38" s="98" t="str">
        <f t="shared" si="35"/>
        <v>1-0.000562733582976565i</v>
      </c>
      <c r="X38" s="160">
        <f t="shared" si="46"/>
        <v>1.0000001583345302</v>
      </c>
      <c r="Y38" s="160">
        <f t="shared" si="47"/>
        <v>-5.6273352357646652E-4</v>
      </c>
      <c r="Z38" s="98" t="str">
        <f t="shared" si="36"/>
        <v>0.999999996961045+0.000168203902908019i</v>
      </c>
      <c r="AA38" s="160">
        <f t="shared" si="48"/>
        <v>1.0000000111073215</v>
      </c>
      <c r="AB38" s="160">
        <f t="shared" si="49"/>
        <v>1.6820390183287716E-4</v>
      </c>
      <c r="AC38" s="171" t="str">
        <f t="shared" si="50"/>
        <v>17.9885882855001-0.574432033445404i</v>
      </c>
      <c r="AD38" s="190">
        <f t="shared" si="51"/>
        <v>25.104367993153947</v>
      </c>
      <c r="AE38" s="169">
        <f t="shared" si="52"/>
        <v>-1.8290123830569165</v>
      </c>
      <c r="AF38" s="98" t="str">
        <f t="shared" si="37"/>
        <v>-0.0000816326530612245</v>
      </c>
      <c r="AG38" s="98" t="str">
        <f t="shared" si="38"/>
        <v>2.34017174077535E-06i</v>
      </c>
      <c r="AH38" s="98">
        <f t="shared" si="53"/>
        <v>2.3401717407753499E-6</v>
      </c>
      <c r="AI38" s="98">
        <f t="shared" si="54"/>
        <v>1.5707963267948966</v>
      </c>
      <c r="AJ38" s="98" t="str">
        <f t="shared" si="39"/>
        <v>1+0.000713175018510619i</v>
      </c>
      <c r="AK38" s="98">
        <f t="shared" si="55"/>
        <v>1.0000002543092712</v>
      </c>
      <c r="AL38" s="98">
        <f t="shared" si="56"/>
        <v>7.1317489759929438E-4</v>
      </c>
      <c r="AM38" s="98" t="str">
        <f t="shared" si="40"/>
        <v>1+0.0111730752899997i</v>
      </c>
      <c r="AN38" s="98">
        <f t="shared" si="57"/>
        <v>1.0000624168577859</v>
      </c>
      <c r="AO38" s="98">
        <f t="shared" si="58"/>
        <v>1.1172610384811264E-2</v>
      </c>
      <c r="AP38" s="168" t="str">
        <f t="shared" si="59"/>
        <v>-0.364874492220354+34.8834491917247i</v>
      </c>
      <c r="AQ38" s="98">
        <f t="shared" si="60"/>
        <v>30.852863533509399</v>
      </c>
      <c r="AR38" s="169">
        <f t="shared" si="61"/>
        <v>90.599281509506596</v>
      </c>
      <c r="AS38" s="168" t="str">
        <f t="shared" si="62"/>
        <v>13.474593636359+627.713601084615i</v>
      </c>
      <c r="AT38" s="190">
        <f t="shared" si="63"/>
        <v>55.957231526663335</v>
      </c>
      <c r="AU38" s="169">
        <f t="shared" si="64"/>
        <v>88.770269126449691</v>
      </c>
      <c r="AV38" s="225"/>
      <c r="AX38">
        <f t="shared" si="65"/>
        <v>0</v>
      </c>
      <c r="AY38">
        <f t="shared" si="66"/>
        <v>0</v>
      </c>
    </row>
    <row r="39" spans="1:51" x14ac:dyDescent="0.25">
      <c r="A39" s="98" t="s">
        <v>253</v>
      </c>
      <c r="B39" s="209">
        <f>((VOUT/IOUT)*((VIN_var/VOUT)^2))/(Lm)</f>
        <v>176960.78431372551</v>
      </c>
      <c r="C39" s="98" t="s">
        <v>251</v>
      </c>
      <c r="E39" s="98" t="s">
        <v>243</v>
      </c>
      <c r="N39" s="170">
        <v>21</v>
      </c>
      <c r="O39" s="199">
        <f t="shared" si="41"/>
        <v>16.218100973589298</v>
      </c>
      <c r="P39" s="189" t="str">
        <f t="shared" si="32"/>
        <v>18.0065359477124</v>
      </c>
      <c r="Q39" s="160" t="str">
        <f t="shared" si="33"/>
        <v>1+0.0319690458816035i</v>
      </c>
      <c r="R39" s="160">
        <f t="shared" si="42"/>
        <v>1.0005108794483846</v>
      </c>
      <c r="S39" s="160">
        <f t="shared" si="43"/>
        <v>3.1958161554922787E-2</v>
      </c>
      <c r="T39" s="160" t="str">
        <f t="shared" si="34"/>
        <v>1+0.0000407605334990444i</v>
      </c>
      <c r="U39" s="160">
        <f t="shared" si="44"/>
        <v>1.0000000008307104</v>
      </c>
      <c r="V39" s="160">
        <f t="shared" si="45"/>
        <v>4.0760533476470935E-5</v>
      </c>
      <c r="W39" s="98" t="str">
        <f t="shared" si="35"/>
        <v>1-0.000575841331980958i</v>
      </c>
      <c r="X39" s="160">
        <f t="shared" si="46"/>
        <v>1.000000165796606</v>
      </c>
      <c r="Y39" s="160">
        <f t="shared" si="47"/>
        <v>-5.7584126833260646E-4</v>
      </c>
      <c r="Z39" s="98" t="str">
        <f t="shared" si="36"/>
        <v>0.999999996817823+0.000172121875120047i</v>
      </c>
      <c r="AA39" s="160">
        <f t="shared" si="48"/>
        <v>1.000000011630793</v>
      </c>
      <c r="AB39" s="160">
        <f t="shared" si="49"/>
        <v>1.7212187396801183E-4</v>
      </c>
      <c r="AC39" s="171" t="str">
        <f t="shared" si="50"/>
        <v>17.9877433018296-0.587785261033096i</v>
      </c>
      <c r="AD39" s="190">
        <f t="shared" si="51"/>
        <v>25.104168484292813</v>
      </c>
      <c r="AE39" s="169">
        <f t="shared" si="52"/>
        <v>-1.8715875028405884</v>
      </c>
      <c r="AF39" s="98" t="str">
        <f t="shared" si="37"/>
        <v>-0.0000816326530612245</v>
      </c>
      <c r="AG39" s="98" t="str">
        <f t="shared" si="38"/>
        <v>2.39468134306886E-06i</v>
      </c>
      <c r="AH39" s="98">
        <f t="shared" si="53"/>
        <v>2.3946813430688599E-6</v>
      </c>
      <c r="AI39" s="98">
        <f t="shared" si="54"/>
        <v>1.5707963267948966</v>
      </c>
      <c r="AJ39" s="98" t="str">
        <f t="shared" si="39"/>
        <v>1+0.000729786998711612i</v>
      </c>
      <c r="AK39" s="98">
        <f t="shared" si="55"/>
        <v>1.0000002662944962</v>
      </c>
      <c r="AL39" s="98">
        <f t="shared" si="56"/>
        <v>7.2978686915279526E-4</v>
      </c>
      <c r="AM39" s="98" t="str">
        <f t="shared" si="40"/>
        <v>1+0.011433329646482i</v>
      </c>
      <c r="AN39" s="98">
        <f t="shared" si="57"/>
        <v>1.0000653583775438</v>
      </c>
      <c r="AO39" s="98">
        <f t="shared" si="58"/>
        <v>1.1432831493355807E-2</v>
      </c>
      <c r="AP39" s="168" t="str">
        <f t="shared" si="59"/>
        <v>-0.364874483474154+34.089416930072i</v>
      </c>
      <c r="AQ39" s="98">
        <f t="shared" si="60"/>
        <v>30.65288897749091</v>
      </c>
      <c r="AR39" s="169">
        <f t="shared" si="61"/>
        <v>90.61323928490701</v>
      </c>
      <c r="AS39" s="168" t="str">
        <f t="shared" si="62"/>
        <v>13.4739882825877+613.406148890692i</v>
      </c>
      <c r="AT39" s="190">
        <f t="shared" si="63"/>
        <v>55.757057461783717</v>
      </c>
      <c r="AU39" s="169">
        <f t="shared" si="64"/>
        <v>88.741651782066427</v>
      </c>
      <c r="AV39" s="225"/>
      <c r="AX39">
        <f t="shared" si="65"/>
        <v>0</v>
      </c>
      <c r="AY39">
        <f t="shared" si="66"/>
        <v>0</v>
      </c>
    </row>
    <row r="40" spans="1:51" x14ac:dyDescent="0.25">
      <c r="B40" s="211">
        <f>wz_rhp/(2*PI())</f>
        <v>28164.183556948148</v>
      </c>
      <c r="C40" s="98" t="s">
        <v>69</v>
      </c>
      <c r="N40" s="170">
        <v>22</v>
      </c>
      <c r="O40" s="199">
        <f t="shared" si="41"/>
        <v>16.595869074375614</v>
      </c>
      <c r="P40" s="189" t="str">
        <f t="shared" si="32"/>
        <v>18.0065359477124</v>
      </c>
      <c r="Q40" s="160" t="str">
        <f t="shared" si="33"/>
        <v>1+0.0327137006205468i</v>
      </c>
      <c r="R40" s="160">
        <f t="shared" si="42"/>
        <v>1.0005349500183842</v>
      </c>
      <c r="S40" s="160">
        <f t="shared" si="43"/>
        <v>3.2702038191138635E-2</v>
      </c>
      <c r="T40" s="160" t="str">
        <f t="shared" si="34"/>
        <v>1+0.0000417099682911972i</v>
      </c>
      <c r="U40" s="160">
        <f t="shared" si="44"/>
        <v>1.0000000008698606</v>
      </c>
      <c r="V40" s="160">
        <f t="shared" si="45"/>
        <v>4.1709968267009293E-5</v>
      </c>
      <c r="W40" s="98" t="str">
        <f t="shared" si="35"/>
        <v>1-0.000589254399681732i</v>
      </c>
      <c r="X40" s="160">
        <f t="shared" si="46"/>
        <v>1.0000001736103588</v>
      </c>
      <c r="Y40" s="160">
        <f t="shared" si="47"/>
        <v>-5.8925433148129521E-4</v>
      </c>
      <c r="Z40" s="98" t="str">
        <f t="shared" si="36"/>
        <v>0.999999996667852+0.000176131108628568i</v>
      </c>
      <c r="AA40" s="160">
        <f t="shared" si="48"/>
        <v>1.0000000121789356</v>
      </c>
      <c r="AB40" s="160">
        <f t="shared" si="49"/>
        <v>1.7613110739414002E-4</v>
      </c>
      <c r="AC40" s="171" t="str">
        <f t="shared" si="50"/>
        <v>17.9868585785342-0.601447595995808i</v>
      </c>
      <c r="AD40" s="190">
        <f t="shared" si="51"/>
        <v>25.103959582697502</v>
      </c>
      <c r="AE40" s="169">
        <f t="shared" si="52"/>
        <v>-1.9151523200308869</v>
      </c>
      <c r="AF40" s="98" t="str">
        <f t="shared" si="37"/>
        <v>-0.0000816326530612245</v>
      </c>
      <c r="AG40" s="98" t="str">
        <f t="shared" si="38"/>
        <v>2.45046063710783E-06i</v>
      </c>
      <c r="AH40" s="98">
        <f t="shared" si="53"/>
        <v>2.4504606371078302E-6</v>
      </c>
      <c r="AI40" s="98">
        <f t="shared" si="54"/>
        <v>1.5707963267948966</v>
      </c>
      <c r="AJ40" s="98" t="str">
        <f t="shared" si="39"/>
        <v>1+0.000746785921639198i</v>
      </c>
      <c r="AK40" s="98">
        <f t="shared" si="55"/>
        <v>1.0000002788445674</v>
      </c>
      <c r="AL40" s="98">
        <f t="shared" si="56"/>
        <v>7.4678578281442691E-4</v>
      </c>
      <c r="AM40" s="98" t="str">
        <f t="shared" si="40"/>
        <v>1+0.0116996461056808i</v>
      </c>
      <c r="AN40" s="98">
        <f t="shared" si="57"/>
        <v>1.0000684385175838</v>
      </c>
      <c r="AO40" s="98">
        <f t="shared" si="58"/>
        <v>1.1699112326961972E-2</v>
      </c>
      <c r="AP40" s="168" t="str">
        <f t="shared" si="59"/>
        <v>-0.364874474315753+33.3134593285016i</v>
      </c>
      <c r="AQ40" s="98">
        <f t="shared" si="60"/>
        <v>30.452915620449197</v>
      </c>
      <c r="AR40" s="169">
        <f t="shared" si="61"/>
        <v>90.627522086828748</v>
      </c>
      <c r="AS40" s="168" t="str">
        <f t="shared" si="62"/>
        <v>13.473354458997+599.423934578927i</v>
      </c>
      <c r="AT40" s="190">
        <f t="shared" si="63"/>
        <v>55.556875203146703</v>
      </c>
      <c r="AU40" s="169">
        <f t="shared" si="64"/>
        <v>88.712369766797877</v>
      </c>
      <c r="AV40" s="225"/>
      <c r="AX40">
        <f t="shared" si="65"/>
        <v>0</v>
      </c>
      <c r="AY40">
        <f t="shared" si="66"/>
        <v>0</v>
      </c>
    </row>
    <row r="41" spans="1:51" x14ac:dyDescent="0.25">
      <c r="B41" s="211"/>
      <c r="N41" s="170">
        <v>23</v>
      </c>
      <c r="O41" s="199">
        <f t="shared" si="41"/>
        <v>16.982436524617448</v>
      </c>
      <c r="P41" s="189" t="str">
        <f t="shared" si="32"/>
        <v>18.0065359477124</v>
      </c>
      <c r="Q41" s="160" t="str">
        <f t="shared" si="33"/>
        <v>1+0.033475700596576i</v>
      </c>
      <c r="R41" s="160">
        <f t="shared" si="42"/>
        <v>1.0005601543787519</v>
      </c>
      <c r="S41" s="160">
        <f t="shared" si="43"/>
        <v>3.3463204456137631E-2</v>
      </c>
      <c r="T41" s="160" t="str">
        <f t="shared" si="34"/>
        <v>1+0.0000426815182606344i</v>
      </c>
      <c r="U41" s="160">
        <f t="shared" si="44"/>
        <v>1.0000000009108558</v>
      </c>
      <c r="V41" s="160">
        <f t="shared" si="45"/>
        <v>4.2681518234716588E-5</v>
      </c>
      <c r="W41" s="98" t="str">
        <f t="shared" si="35"/>
        <v>1-0.000602979897864916i</v>
      </c>
      <c r="X41" s="160">
        <f t="shared" si="46"/>
        <v>1.0000001817923621</v>
      </c>
      <c r="Y41" s="160">
        <f t="shared" si="47"/>
        <v>-6.0297982478683205E-4</v>
      </c>
      <c r="Z41" s="98" t="str">
        <f t="shared" si="36"/>
        <v>0.999999996510813+0.000180233729182253i</v>
      </c>
      <c r="AA41" s="160">
        <f t="shared" si="48"/>
        <v>1.0000000127529114</v>
      </c>
      <c r="AB41" s="160">
        <f t="shared" si="49"/>
        <v>1.8023372785953956E-4</v>
      </c>
      <c r="AC41" s="171" t="str">
        <f t="shared" si="50"/>
        <v>17.9859322507596-0.615426100722247i</v>
      </c>
      <c r="AD41" s="190">
        <f t="shared" si="51"/>
        <v>25.103740846649284</v>
      </c>
      <c r="AE41" s="169">
        <f t="shared" si="52"/>
        <v>-1.9597297444860882</v>
      </c>
      <c r="AF41" s="98" t="str">
        <f t="shared" si="37"/>
        <v>-0.0000816326530612245</v>
      </c>
      <c r="AG41" s="98" t="str">
        <f t="shared" si="38"/>
        <v>2.50753919781228E-06i</v>
      </c>
      <c r="AH41" s="98">
        <f t="shared" si="53"/>
        <v>2.5075391978122799E-6</v>
      </c>
      <c r="AI41" s="98">
        <f t="shared" si="54"/>
        <v>1.5707963267948966</v>
      </c>
      <c r="AJ41" s="98" t="str">
        <f t="shared" si="39"/>
        <v>1+0.000764180800347313i</v>
      </c>
      <c r="AK41" s="98">
        <f t="shared" si="55"/>
        <v>1.0000002919861053</v>
      </c>
      <c r="AL41" s="98">
        <f t="shared" si="56"/>
        <v>7.6418065159389304E-4</v>
      </c>
      <c r="AM41" s="98" t="str">
        <f t="shared" si="40"/>
        <v>1+0.0119721658721079i</v>
      </c>
      <c r="AN41" s="98">
        <f t="shared" si="57"/>
        <v>1.0000716638099838</v>
      </c>
      <c r="AO41" s="98">
        <f t="shared" si="58"/>
        <v>1.1971593920119507E-2</v>
      </c>
      <c r="AP41" s="168" t="str">
        <f t="shared" si="59"/>
        <v>-0.36487446472573+32.5551649640222i</v>
      </c>
      <c r="AQ41" s="98">
        <f t="shared" si="60"/>
        <v>30.252943518874783</v>
      </c>
      <c r="AR41" s="169">
        <f t="shared" si="61"/>
        <v>90.64213747954544</v>
      </c>
      <c r="AS41" s="168" t="str">
        <f t="shared" si="62"/>
        <v>13.4726908295885+585.759544724285i</v>
      </c>
      <c r="AT41" s="190">
        <f t="shared" si="63"/>
        <v>55.356684365524067</v>
      </c>
      <c r="AU41" s="169">
        <f t="shared" si="64"/>
        <v>88.682407735059357</v>
      </c>
      <c r="AV41" s="225"/>
      <c r="AX41">
        <f t="shared" si="65"/>
        <v>0</v>
      </c>
      <c r="AY41">
        <f t="shared" si="66"/>
        <v>0</v>
      </c>
    </row>
    <row r="42" spans="1:51" x14ac:dyDescent="0.25">
      <c r="A42" s="98" t="s">
        <v>254</v>
      </c>
      <c r="B42" s="209">
        <f>1/(Cout*Resr)</f>
        <v>2500000</v>
      </c>
      <c r="C42" s="98" t="s">
        <v>251</v>
      </c>
      <c r="E42" s="98" t="s">
        <v>244</v>
      </c>
      <c r="N42" s="170">
        <v>24</v>
      </c>
      <c r="O42" s="199">
        <f t="shared" si="41"/>
        <v>17.378008287493756</v>
      </c>
      <c r="P42" s="189" t="str">
        <f t="shared" si="32"/>
        <v>18.0065359477124</v>
      </c>
      <c r="Q42" s="160" t="str">
        <f t="shared" si="33"/>
        <v>1+0.034255449832165i</v>
      </c>
      <c r="R42" s="160">
        <f t="shared" si="42"/>
        <v>1.0005865459035534</v>
      </c>
      <c r="S42" s="160">
        <f t="shared" si="43"/>
        <v>3.4242060400332355E-2</v>
      </c>
      <c r="T42" s="160" t="str">
        <f t="shared" si="34"/>
        <v>1+0.0000436756985360104i</v>
      </c>
      <c r="U42" s="160">
        <f t="shared" si="44"/>
        <v>1.0000000009537833</v>
      </c>
      <c r="V42" s="160">
        <f t="shared" si="45"/>
        <v>4.3675698508238966E-5</v>
      </c>
      <c r="W42" s="98" t="str">
        <f t="shared" si="35"/>
        <v>1-0.000617025103971336i</v>
      </c>
      <c r="X42" s="160">
        <f t="shared" si="46"/>
        <v>1.0000001903599713</v>
      </c>
      <c r="Y42" s="160">
        <f t="shared" si="47"/>
        <v>-6.1702502566675897E-4</v>
      </c>
      <c r="Z42" s="98" t="str">
        <f t="shared" si="36"/>
        <v>0.999999996346372+0.000184431912044828i</v>
      </c>
      <c r="AA42" s="160">
        <f t="shared" si="48"/>
        <v>1.0000000133539371</v>
      </c>
      <c r="AB42" s="160">
        <f t="shared" si="49"/>
        <v>1.8443191062751508E-4</v>
      </c>
      <c r="AC42" s="171" t="str">
        <f t="shared" si="50"/>
        <v>17.9849623665352-0.629727992301281i</v>
      </c>
      <c r="AD42" s="190">
        <f t="shared" si="51"/>
        <v>25.103511813703165</v>
      </c>
      <c r="AE42" s="169">
        <f t="shared" si="52"/>
        <v>-2.0053432094904298</v>
      </c>
      <c r="AF42" s="98" t="str">
        <f t="shared" si="37"/>
        <v>-0.0000816326530612245</v>
      </c>
      <c r="AG42" s="98" t="str">
        <f t="shared" si="38"/>
        <v>2.56594728899061E-06i</v>
      </c>
      <c r="AH42" s="98">
        <f t="shared" si="53"/>
        <v>2.56594728899061E-6</v>
      </c>
      <c r="AI42" s="98">
        <f t="shared" si="54"/>
        <v>1.5707963267948966</v>
      </c>
      <c r="AJ42" s="98" t="str">
        <f t="shared" si="39"/>
        <v>1+0.000781980857830907i</v>
      </c>
      <c r="AK42" s="98">
        <f t="shared" si="55"/>
        <v>1.0000003057469842</v>
      </c>
      <c r="AL42" s="98">
        <f t="shared" si="56"/>
        <v>7.819806984387485E-4</v>
      </c>
      <c r="AM42" s="98" t="str">
        <f t="shared" si="40"/>
        <v>1+0.0122510334393509i</v>
      </c>
      <c r="AN42" s="98">
        <f t="shared" si="57"/>
        <v>1.0000750410945831</v>
      </c>
      <c r="AO42" s="98">
        <f t="shared" si="58"/>
        <v>1.2250420584237297E-2</v>
      </c>
      <c r="AP42" s="168" t="str">
        <f t="shared" si="59"/>
        <v>-0.364874454683749+31.8141317789247i</v>
      </c>
      <c r="AQ42" s="98">
        <f t="shared" si="60"/>
        <v>30.052972731919038</v>
      </c>
      <c r="AR42" s="169">
        <f t="shared" si="61"/>
        <v>90.657093203055751</v>
      </c>
      <c r="AS42" s="168" t="str">
        <f t="shared" si="62"/>
        <v>13.4719959959534+572.405734425742i</v>
      </c>
      <c r="AT42" s="190">
        <f t="shared" si="63"/>
        <v>55.156484545622206</v>
      </c>
      <c r="AU42" s="169">
        <f t="shared" si="64"/>
        <v>88.651749993565318</v>
      </c>
      <c r="AV42" s="225"/>
      <c r="AX42">
        <f t="shared" si="65"/>
        <v>0</v>
      </c>
      <c r="AY42">
        <f t="shared" si="66"/>
        <v>0</v>
      </c>
    </row>
    <row r="43" spans="1:51" x14ac:dyDescent="0.25">
      <c r="B43" s="209">
        <f>wz_esr/(2*PI())</f>
        <v>397887.35772973835</v>
      </c>
      <c r="C43" s="98" t="s">
        <v>69</v>
      </c>
      <c r="N43" s="170">
        <v>25</v>
      </c>
      <c r="O43" s="199">
        <f t="shared" si="41"/>
        <v>17.782794100389236</v>
      </c>
      <c r="P43" s="189" t="str">
        <f t="shared" si="32"/>
        <v>18.0065359477124</v>
      </c>
      <c r="Q43" s="160" t="str">
        <f t="shared" si="33"/>
        <v>1+0.0350533617606792i</v>
      </c>
      <c r="R43" s="160">
        <f t="shared" si="42"/>
        <v>1.0006141804765336</v>
      </c>
      <c r="S43" s="160">
        <f t="shared" si="43"/>
        <v>3.5039015201557874E-2</v>
      </c>
      <c r="T43" s="160" t="str">
        <f t="shared" si="34"/>
        <v>1+0.000044693036244866i</v>
      </c>
      <c r="U43" s="160">
        <f t="shared" si="44"/>
        <v>1.0000000009987338</v>
      </c>
      <c r="V43" s="160">
        <f t="shared" si="45"/>
        <v>4.4693036215108373E-5</v>
      </c>
      <c r="W43" s="98" t="str">
        <f t="shared" si="35"/>
        <v>1-0.000631397464955169i</v>
      </c>
      <c r="X43" s="160">
        <f t="shared" si="46"/>
        <v>1.0000001993313596</v>
      </c>
      <c r="Y43" s="160">
        <f t="shared" si="47"/>
        <v>-6.3139738105030395E-4</v>
      </c>
      <c r="Z43" s="98" t="str">
        <f t="shared" si="36"/>
        <v>0.999999996174182+0.000188727883148412i</v>
      </c>
      <c r="AA43" s="160">
        <f t="shared" si="48"/>
        <v>1.0000000139832887</v>
      </c>
      <c r="AB43" s="160">
        <f t="shared" si="49"/>
        <v>1.8872788162973387E-4</v>
      </c>
      <c r="AC43" s="171" t="str">
        <f t="shared" si="50"/>
        <v>17.9839468827422-0.64436064542909i</v>
      </c>
      <c r="AD43" s="190">
        <f t="shared" si="51"/>
        <v>25.103271999719663</v>
      </c>
      <c r="AE43" s="169">
        <f t="shared" si="52"/>
        <v>-2.0520166832188735</v>
      </c>
      <c r="AF43" s="98" t="str">
        <f t="shared" si="37"/>
        <v>-0.0000816326530612245</v>
      </c>
      <c r="AG43" s="98" t="str">
        <f t="shared" si="38"/>
        <v>2.62571587938589E-06i</v>
      </c>
      <c r="AH43" s="98">
        <f t="shared" si="53"/>
        <v>2.6257158793858898E-6</v>
      </c>
      <c r="AI43" s="98">
        <f t="shared" si="54"/>
        <v>1.5707963267948966</v>
      </c>
      <c r="AJ43" s="98" t="str">
        <f t="shared" si="39"/>
        <v>1+0.000800195531916055i</v>
      </c>
      <c r="AK43" s="98">
        <f t="shared" si="55"/>
        <v>1.0000003201563934</v>
      </c>
      <c r="AL43" s="98">
        <f t="shared" si="56"/>
        <v>8.0019536112428289E-4</v>
      </c>
      <c r="AM43" s="98" t="str">
        <f t="shared" si="40"/>
        <v>1+0.0125363966666849i</v>
      </c>
      <c r="AN43" s="98">
        <f t="shared" si="57"/>
        <v>1.0000785775334777</v>
      </c>
      <c r="AO43" s="98">
        <f t="shared" si="58"/>
        <v>1.253573998338601E-2</v>
      </c>
      <c r="AP43" s="168" t="str">
        <f t="shared" si="59"/>
        <v>-0.3648744441685+31.0899668676054i</v>
      </c>
      <c r="AQ43" s="98">
        <f t="shared" si="60"/>
        <v>29.853003321519299</v>
      </c>
      <c r="AR43" s="169">
        <f t="shared" si="61"/>
        <v>90.672397177143054</v>
      </c>
      <c r="AS43" s="168" t="str">
        <f t="shared" si="62"/>
        <v>13.4712684943829+559.355423465575i</v>
      </c>
      <c r="AT43" s="190">
        <f t="shared" si="63"/>
        <v>54.956275321238948</v>
      </c>
      <c r="AU43" s="169">
        <f t="shared" si="64"/>
        <v>88.620380493924173</v>
      </c>
      <c r="AV43" s="225"/>
      <c r="AX43">
        <f t="shared" si="65"/>
        <v>0</v>
      </c>
      <c r="AY43">
        <f t="shared" si="66"/>
        <v>0</v>
      </c>
    </row>
    <row r="44" spans="1:51" x14ac:dyDescent="0.25">
      <c r="B44" s="211"/>
      <c r="N44" s="170">
        <v>26</v>
      </c>
      <c r="O44" s="199">
        <f t="shared" si="41"/>
        <v>18.197008586099841</v>
      </c>
      <c r="P44" s="189" t="str">
        <f t="shared" si="32"/>
        <v>18.0065359477124</v>
      </c>
      <c r="Q44" s="160" t="str">
        <f t="shared" si="33"/>
        <v>1+0.0358698594455853i</v>
      </c>
      <c r="R44" s="160">
        <f t="shared" si="42"/>
        <v>1.0006431166088368</v>
      </c>
      <c r="S44" s="160">
        <f t="shared" si="43"/>
        <v>3.585448736408222E-2</v>
      </c>
      <c r="T44" s="160" t="str">
        <f t="shared" si="34"/>
        <v>1+0.0000457340707931212i</v>
      </c>
      <c r="U44" s="160">
        <f t="shared" si="44"/>
        <v>1.0000000010458026</v>
      </c>
      <c r="V44" s="160">
        <f t="shared" si="45"/>
        <v>4.5734070761235331E-5</v>
      </c>
      <c r="W44" s="98" t="str">
        <f t="shared" si="35"/>
        <v>1-0.000646104601232458i</v>
      </c>
      <c r="X44" s="160">
        <f t="shared" si="46"/>
        <v>1.000000208725556</v>
      </c>
      <c r="Y44" s="160">
        <f t="shared" si="47"/>
        <v>-6.4610451132677638E-4</v>
      </c>
      <c r="Z44" s="98" t="str">
        <f t="shared" si="36"/>
        <v>0.999999995993877+0.000193123920273751i</v>
      </c>
      <c r="AA44" s="160">
        <f t="shared" si="48"/>
        <v>1.0000000146423014</v>
      </c>
      <c r="AB44" s="160">
        <f t="shared" si="49"/>
        <v>1.9312391864645799E-4</v>
      </c>
      <c r="AC44" s="171" t="str">
        <f t="shared" si="50"/>
        <v>17.9828836608999-0.659331595334895i</v>
      </c>
      <c r="AD44" s="190">
        <f t="shared" si="51"/>
        <v>25.103020897852346</v>
      </c>
      <c r="AE44" s="169">
        <f t="shared" si="52"/>
        <v>-2.0997746804173385</v>
      </c>
      <c r="AF44" s="98" t="str">
        <f t="shared" si="37"/>
        <v>-0.0000816326530612245</v>
      </c>
      <c r="AG44" s="98" t="str">
        <f t="shared" si="38"/>
        <v>2.68687665909588E-06i</v>
      </c>
      <c r="AH44" s="98">
        <f t="shared" si="53"/>
        <v>2.6868766590958801E-6</v>
      </c>
      <c r="AI44" s="98">
        <f t="shared" si="54"/>
        <v>1.5707963267948966</v>
      </c>
      <c r="AJ44" s="98" t="str">
        <f t="shared" si="39"/>
        <v>1+0.000818834480264071i</v>
      </c>
      <c r="AK44" s="98">
        <f t="shared" si="55"/>
        <v>1.0000003352448967</v>
      </c>
      <c r="AL44" s="98">
        <f t="shared" si="56"/>
        <v>8.1883429725739334E-4</v>
      </c>
      <c r="AM44" s="98" t="str">
        <f t="shared" si="40"/>
        <v>1+0.0128284068574705i</v>
      </c>
      <c r="AN44" s="98">
        <f t="shared" si="57"/>
        <v>1.0000822806261997</v>
      </c>
      <c r="AO44" s="98">
        <f t="shared" si="58"/>
        <v>1.2827703211764952E-2</v>
      </c>
      <c r="AP44" s="168" t="str">
        <f t="shared" si="59"/>
        <v>-0.364874433157686+30.3822862682429i</v>
      </c>
      <c r="AQ44" s="98">
        <f t="shared" si="60"/>
        <v>29.653035352530196</v>
      </c>
      <c r="AR44" s="169">
        <f t="shared" si="61"/>
        <v>90.688057505527127</v>
      </c>
      <c r="AS44" s="168" t="str">
        <f t="shared" si="62"/>
        <v>13.4705067928506+546.60169255608i</v>
      </c>
      <c r="AT44" s="190">
        <f t="shared" si="63"/>
        <v>54.756056250382549</v>
      </c>
      <c r="AU44" s="169">
        <f t="shared" si="64"/>
        <v>88.5882828251098</v>
      </c>
      <c r="AV44" s="225"/>
      <c r="AX44">
        <f t="shared" si="65"/>
        <v>0</v>
      </c>
      <c r="AY44">
        <f t="shared" si="66"/>
        <v>0</v>
      </c>
    </row>
    <row r="45" spans="1:51" x14ac:dyDescent="0.25">
      <c r="A45" s="98" t="s">
        <v>247</v>
      </c>
      <c r="B45" s="211">
        <f>(Isl*(Rsl_int+R_sl)*Fsw)</f>
        <v>59219.249999999993</v>
      </c>
      <c r="C45" s="98" t="s">
        <v>180</v>
      </c>
      <c r="E45" s="98" t="s">
        <v>248</v>
      </c>
      <c r="N45" s="170">
        <v>27</v>
      </c>
      <c r="O45" s="199">
        <f t="shared" si="41"/>
        <v>18.62087136662868</v>
      </c>
      <c r="P45" s="189" t="str">
        <f t="shared" si="32"/>
        <v>18.0065359477124</v>
      </c>
      <c r="Q45" s="160" t="str">
        <f t="shared" si="33"/>
        <v>1+0.036705375804763i</v>
      </c>
      <c r="R45" s="160">
        <f t="shared" si="42"/>
        <v>1.0006734155622248</v>
      </c>
      <c r="S45" s="160">
        <f t="shared" si="43"/>
        <v>3.668890492128335E-2</v>
      </c>
      <c r="T45" s="160" t="str">
        <f t="shared" si="34"/>
        <v>1+0.0000467993541510728i</v>
      </c>
      <c r="U45" s="160">
        <f t="shared" si="44"/>
        <v>1.0000000010950898</v>
      </c>
      <c r="V45" s="160">
        <f t="shared" si="45"/>
        <v>4.679935411690647E-5</v>
      </c>
      <c r="W45" s="98" t="str">
        <f t="shared" si="35"/>
        <v>1-0.000661154310721525i</v>
      </c>
      <c r="X45" s="160">
        <f t="shared" si="46"/>
        <v>1.0000002185624874</v>
      </c>
      <c r="Y45" s="160">
        <f t="shared" si="47"/>
        <v>-6.6115421438585256E-4</v>
      </c>
      <c r="Z45" s="98" t="str">
        <f t="shared" si="36"/>
        <v>0.999999995805074+0.000197622354257917i</v>
      </c>
      <c r="AA45" s="160">
        <f t="shared" si="48"/>
        <v>1.0000000153323716</v>
      </c>
      <c r="AB45" s="160">
        <f t="shared" si="49"/>
        <v>1.9762235251424119E-4</v>
      </c>
      <c r="AC45" s="171" t="str">
        <f t="shared" si="50"/>
        <v>17.9817704627597-0.674648540722093i</v>
      </c>
      <c r="AD45" s="190">
        <f t="shared" si="51"/>
        <v>25.102757977487894</v>
      </c>
      <c r="AE45" s="169">
        <f t="shared" si="52"/>
        <v>-2.1486422742995637</v>
      </c>
      <c r="AF45" s="98" t="str">
        <f t="shared" si="37"/>
        <v>-0.0000816326530612245</v>
      </c>
      <c r="AG45" s="98" t="str">
        <f t="shared" si="38"/>
        <v>2.74946205637554E-06i</v>
      </c>
      <c r="AH45" s="98">
        <f t="shared" si="53"/>
        <v>2.7494620563755402E-6</v>
      </c>
      <c r="AI45" s="98">
        <f t="shared" si="54"/>
        <v>1.5707963267948966</v>
      </c>
      <c r="AJ45" s="98" t="str">
        <f t="shared" si="39"/>
        <v>1+0.000837907585492077i</v>
      </c>
      <c r="AK45" s="98">
        <f t="shared" si="55"/>
        <v>1.0000003510444992</v>
      </c>
      <c r="AL45" s="98">
        <f t="shared" si="56"/>
        <v>8.3790738939689259E-4</v>
      </c>
      <c r="AM45" s="98" t="str">
        <f t="shared" si="40"/>
        <v>1+0.0131272188393759i</v>
      </c>
      <c r="AN45" s="98">
        <f t="shared" si="57"/>
        <v>1.0000861582256084</v>
      </c>
      <c r="AO45" s="98">
        <f t="shared" si="58"/>
        <v>1.3126464872926468E-2</v>
      </c>
      <c r="AP45" s="168" t="str">
        <f t="shared" si="59"/>
        <v>-0.364874421627947+29.6907147592161i</v>
      </c>
      <c r="AQ45" s="98">
        <f t="shared" si="60"/>
        <v>29.453068892860866</v>
      </c>
      <c r="AR45" s="169">
        <f t="shared" si="61"/>
        <v>90.704082480110145</v>
      </c>
      <c r="AS45" s="168" t="str">
        <f t="shared" si="62"/>
        <v>13.4697092878551+534.137779671594i</v>
      </c>
      <c r="AT45" s="190">
        <f t="shared" si="63"/>
        <v>54.555826870348767</v>
      </c>
      <c r="AU45" s="169">
        <f t="shared" si="64"/>
        <v>88.555440205810584</v>
      </c>
      <c r="AV45" s="225"/>
      <c r="AX45">
        <f t="shared" si="65"/>
        <v>0</v>
      </c>
      <c r="AY45">
        <f t="shared" si="66"/>
        <v>0</v>
      </c>
    </row>
    <row r="46" spans="1:51" x14ac:dyDescent="0.25">
      <c r="A46" s="98" t="s">
        <v>250</v>
      </c>
      <c r="B46" s="211">
        <f>(R_cs*VIN_var*Acs)/Lm</f>
        <v>11400.000000000002</v>
      </c>
      <c r="C46" s="98" t="s">
        <v>180</v>
      </c>
      <c r="E46" s="98" t="s">
        <v>249</v>
      </c>
      <c r="N46" s="170">
        <v>28</v>
      </c>
      <c r="O46" s="199">
        <f t="shared" si="41"/>
        <v>19.054607179632477</v>
      </c>
      <c r="P46" s="189" t="str">
        <f t="shared" si="32"/>
        <v>18.0065359477124</v>
      </c>
      <c r="Q46" s="160" t="str">
        <f t="shared" si="33"/>
        <v>1+0.0375603538400455i</v>
      </c>
      <c r="R46" s="160">
        <f t="shared" si="42"/>
        <v>1.0007051414780426</v>
      </c>
      <c r="S46" s="160">
        <f t="shared" si="43"/>
        <v>3.7542705642017629E-2</v>
      </c>
      <c r="T46" s="160" t="str">
        <f t="shared" si="34"/>
        <v>1+0.000047889451146058i</v>
      </c>
      <c r="U46" s="160">
        <f t="shared" si="44"/>
        <v>1.0000000011466996</v>
      </c>
      <c r="V46" s="160">
        <f t="shared" si="45"/>
        <v>4.7889451109448118E-5</v>
      </c>
      <c r="W46" s="98" t="str">
        <f t="shared" si="35"/>
        <v>1-0.000676554572977549i</v>
      </c>
      <c r="X46" s="160">
        <f t="shared" si="46"/>
        <v>1.000000228863019</v>
      </c>
      <c r="Y46" s="160">
        <f t="shared" si="47"/>
        <v>-6.7655446975201745E-4</v>
      </c>
      <c r="Z46" s="98" t="str">
        <f t="shared" si="36"/>
        <v>0.999999995607373+0.000202225570230151i</v>
      </c>
      <c r="AA46" s="160">
        <f t="shared" si="48"/>
        <v>1.0000000160549636</v>
      </c>
      <c r="AB46" s="160">
        <f t="shared" si="49"/>
        <v>2.0222556836176875E-4</v>
      </c>
      <c r="AC46" s="171" t="str">
        <f t="shared" si="50"/>
        <v>17.9806049457013-0.690319346721682i</v>
      </c>
      <c r="AD46" s="190">
        <f t="shared" si="51"/>
        <v>25.102482683137787</v>
      </c>
      <c r="AE46" s="169">
        <f t="shared" si="52"/>
        <v>-2.198645108662082</v>
      </c>
      <c r="AF46" s="98" t="str">
        <f t="shared" si="37"/>
        <v>-0.0000816326530612245</v>
      </c>
      <c r="AG46" s="98" t="str">
        <f t="shared" si="38"/>
        <v>2.81350525483092E-06i</v>
      </c>
      <c r="AH46" s="98">
        <f t="shared" si="53"/>
        <v>2.8135052548309199E-6</v>
      </c>
      <c r="AI46" s="98">
        <f t="shared" si="54"/>
        <v>1.5707963267948966</v>
      </c>
      <c r="AJ46" s="98" t="str">
        <f t="shared" si="39"/>
        <v>1+0.000857424960412929i</v>
      </c>
      <c r="AK46" s="98">
        <f t="shared" si="55"/>
        <v>1.0000003675887139</v>
      </c>
      <c r="AL46" s="98">
        <f t="shared" si="56"/>
        <v>8.5742475029315743E-4</v>
      </c>
      <c r="AM46" s="98" t="str">
        <f t="shared" si="40"/>
        <v>1+0.0134329910464693i</v>
      </c>
      <c r="AN46" s="98">
        <f t="shared" si="57"/>
        <v>1.0000902185545335</v>
      </c>
      <c r="AO46" s="98">
        <f t="shared" si="58"/>
        <v>1.3432183160799353E-2</v>
      </c>
      <c r="AP46" s="168" t="str">
        <f t="shared" si="59"/>
        <v>-0.364874409554832+29.0148856601568i</v>
      </c>
      <c r="AQ46" s="98">
        <f t="shared" si="60"/>
        <v>29.253104013618724</v>
      </c>
      <c r="AR46" s="169">
        <f t="shared" si="61"/>
        <v>90.720480585318626</v>
      </c>
      <c r="AS46" s="168" t="str">
        <f t="shared" si="62"/>
        <v>13.4688743011223+521.957076464013i</v>
      </c>
      <c r="AT46" s="190">
        <f t="shared" si="63"/>
        <v>54.355586696756511</v>
      </c>
      <c r="AU46" s="169">
        <f t="shared" si="64"/>
        <v>88.521835476656562</v>
      </c>
      <c r="AV46" s="225"/>
      <c r="AX46">
        <f t="shared" si="65"/>
        <v>0</v>
      </c>
      <c r="AY46">
        <f t="shared" si="66"/>
        <v>0</v>
      </c>
    </row>
    <row r="47" spans="1:51" x14ac:dyDescent="0.25">
      <c r="B47" s="211"/>
      <c r="N47" s="170">
        <v>29</v>
      </c>
      <c r="O47" s="199">
        <f t="shared" si="41"/>
        <v>19.498445997580465</v>
      </c>
      <c r="P47" s="189" t="str">
        <f t="shared" si="32"/>
        <v>18.0065359477124</v>
      </c>
      <c r="Q47" s="160" t="str">
        <f t="shared" si="33"/>
        <v>1+0.0384352468721042i</v>
      </c>
      <c r="R47" s="160">
        <f t="shared" si="42"/>
        <v>1.0007383615121985</v>
      </c>
      <c r="S47" s="160">
        <f t="shared" si="43"/>
        <v>3.8416337240686674E-2</v>
      </c>
      <c r="T47" s="160" t="str">
        <f t="shared" si="34"/>
        <v>1+0.0000490049397619328i</v>
      </c>
      <c r="U47" s="160">
        <f t="shared" si="44"/>
        <v>1.000000001200742</v>
      </c>
      <c r="V47" s="160">
        <f t="shared" si="45"/>
        <v>4.9004939722704607E-5</v>
      </c>
      <c r="W47" s="98" t="str">
        <f t="shared" si="35"/>
        <v>1-0.000692313553423425i</v>
      </c>
      <c r="X47" s="160">
        <f t="shared" si="46"/>
        <v>1.0000002396489995</v>
      </c>
      <c r="Y47" s="160">
        <f t="shared" si="47"/>
        <v>-6.9231344281527659E-4</v>
      </c>
      <c r="Z47" s="98" t="str">
        <f t="shared" si="36"/>
        <v>0.999999995400355+0.000206936008876493i</v>
      </c>
      <c r="AA47" s="160">
        <f t="shared" si="48"/>
        <v>1.0000000168116108</v>
      </c>
      <c r="AB47" s="160">
        <f t="shared" si="49"/>
        <v>2.0693600687448531E-4</v>
      </c>
      <c r="AC47" s="171" t="str">
        <f t="shared" si="50"/>
        <v>17.9793846579201-0.706352047854127i</v>
      </c>
      <c r="AD47" s="190">
        <f t="shared" si="51"/>
        <v>25.102194433278349</v>
      </c>
      <c r="AE47" s="169">
        <f t="shared" si="52"/>
        <v>-2.2498094102178747</v>
      </c>
      <c r="AF47" s="98" t="str">
        <f t="shared" si="37"/>
        <v>-0.0000816326530612245</v>
      </c>
      <c r="AG47" s="98" t="str">
        <f t="shared" si="38"/>
        <v>2.87904021101356E-06i</v>
      </c>
      <c r="AH47" s="98">
        <f t="shared" si="53"/>
        <v>2.8790402110135599E-6</v>
      </c>
      <c r="AI47" s="98">
        <f t="shared" si="54"/>
        <v>1.5707963267948966</v>
      </c>
      <c r="AJ47" s="98" t="str">
        <f t="shared" si="39"/>
        <v>1+0.000877396953397155i</v>
      </c>
      <c r="AK47" s="98">
        <f t="shared" si="55"/>
        <v>1.0000003849126329</v>
      </c>
      <c r="AL47" s="98">
        <f t="shared" si="56"/>
        <v>8.7739672824976801E-4</v>
      </c>
      <c r="AM47" s="98" t="str">
        <f t="shared" si="40"/>
        <v>1+0.0137458856032222i</v>
      </c>
      <c r="AN47" s="98">
        <f t="shared" si="57"/>
        <v>1.0000944702231969</v>
      </c>
      <c r="AO47" s="98">
        <f t="shared" si="58"/>
        <v>1.3745019942546772E-2</v>
      </c>
      <c r="AP47" s="168" t="str">
        <f t="shared" si="59"/>
        <v>-0.364874396912728+28.3544406375309i</v>
      </c>
      <c r="AQ47" s="98">
        <f t="shared" si="60"/>
        <v>29.053140789259984</v>
      </c>
      <c r="AR47" s="169">
        <f t="shared" si="61"/>
        <v>90.737260502543776</v>
      </c>
      <c r="AS47" s="168" t="str">
        <f t="shared" si="62"/>
        <v>13.4680000761577+510.053124759798i</v>
      </c>
      <c r="AT47" s="190">
        <f t="shared" si="63"/>
        <v>54.155335222538326</v>
      </c>
      <c r="AU47" s="169">
        <f t="shared" si="64"/>
        <v>88.487451092325912</v>
      </c>
      <c r="AV47" s="225"/>
      <c r="AX47">
        <f t="shared" si="65"/>
        <v>0</v>
      </c>
      <c r="AY47">
        <f t="shared" si="66"/>
        <v>0</v>
      </c>
    </row>
    <row r="48" spans="1:51" x14ac:dyDescent="0.25">
      <c r="A48" s="98" t="s">
        <v>245</v>
      </c>
      <c r="B48" s="211">
        <f>2*PI()*Fsw</f>
        <v>3612831.5516282623</v>
      </c>
      <c r="C48" s="98" t="s">
        <v>251</v>
      </c>
      <c r="N48" s="170">
        <v>30</v>
      </c>
      <c r="O48" s="199">
        <f t="shared" si="41"/>
        <v>19.952623149688804</v>
      </c>
      <c r="P48" s="189" t="str">
        <f t="shared" si="32"/>
        <v>18.0065359477124</v>
      </c>
      <c r="Q48" s="160" t="str">
        <f t="shared" si="33"/>
        <v>1+0.039330518780805i</v>
      </c>
      <c r="R48" s="160">
        <f t="shared" si="42"/>
        <v>1.0007731459764331</v>
      </c>
      <c r="S48" s="160">
        <f t="shared" si="43"/>
        <v>3.9310257591013587E-2</v>
      </c>
      <c r="T48" s="160" t="str">
        <f t="shared" si="34"/>
        <v>1+0.0000501464114455264i</v>
      </c>
      <c r="U48" s="160">
        <f t="shared" si="44"/>
        <v>1.0000000012573311</v>
      </c>
      <c r="V48" s="160">
        <f t="shared" si="45"/>
        <v>5.0146411403492637E-5</v>
      </c>
      <c r="W48" s="98" t="str">
        <f t="shared" si="35"/>
        <v>1-0.00070843960767918i</v>
      </c>
      <c r="X48" s="160">
        <f t="shared" si="46"/>
        <v>1.0000002509433075</v>
      </c>
      <c r="Y48" s="160">
        <f t="shared" si="47"/>
        <v>-7.0843948916041535E-4</v>
      </c>
      <c r="Z48" s="98" t="str">
        <f t="shared" si="36"/>
        <v>0.999999995183581+0.000211756167733864i</v>
      </c>
      <c r="AA48" s="160">
        <f t="shared" si="48"/>
        <v>1.0000000176039181</v>
      </c>
      <c r="AB48" s="160">
        <f t="shared" si="49"/>
        <v>2.1175616558867399E-4</v>
      </c>
      <c r="AC48" s="171" t="str">
        <f t="shared" si="50"/>
        <v>17.9781070333995-0.722754850995788i</v>
      </c>
      <c r="AD48" s="190">
        <f t="shared" si="51"/>
        <v>25.101892619138045</v>
      </c>
      <c r="AE48" s="169">
        <f t="shared" si="52"/>
        <v>-2.3021620011494375</v>
      </c>
      <c r="AF48" s="98" t="str">
        <f t="shared" si="37"/>
        <v>-0.0000816326530612245</v>
      </c>
      <c r="AG48" s="98" t="str">
        <f t="shared" si="38"/>
        <v>2.94610167242468E-06i</v>
      </c>
      <c r="AH48" s="98">
        <f t="shared" si="53"/>
        <v>2.9461016724246801E-6</v>
      </c>
      <c r="AI48" s="98">
        <f t="shared" si="54"/>
        <v>1.5707963267948966</v>
      </c>
      <c r="AJ48" s="98" t="str">
        <f t="shared" si="39"/>
        <v>1+0.000897834153859794i</v>
      </c>
      <c r="AK48" s="98">
        <f t="shared" si="55"/>
        <v>1.0000004030530028</v>
      </c>
      <c r="AL48" s="98">
        <f t="shared" si="56"/>
        <v>8.9783391261002759E-4</v>
      </c>
      <c r="AM48" s="98" t="str">
        <f t="shared" si="40"/>
        <v>1+0.0140660684104702i</v>
      </c>
      <c r="AN48" s="98">
        <f t="shared" si="57"/>
        <v>1.0000989222474586</v>
      </c>
      <c r="AO48" s="98">
        <f t="shared" si="58"/>
        <v>1.4065140843299856E-2</v>
      </c>
      <c r="AP48" s="168" t="str">
        <f t="shared" si="59"/>
        <v>-0.364874383674821+27.7090295146455i</v>
      </c>
      <c r="AQ48" s="98">
        <f t="shared" si="60"/>
        <v>28.853179297747367</v>
      </c>
      <c r="AR48" s="169">
        <f t="shared" si="61"/>
        <v>90.754431114681879</v>
      </c>
      <c r="AS48" s="168" t="str">
        <f t="shared" si="62"/>
        <v>13.4670847746439+498.419613136728i</v>
      </c>
      <c r="AT48" s="190">
        <f t="shared" si="63"/>
        <v>53.955071916885416</v>
      </c>
      <c r="AU48" s="169">
        <f t="shared" si="64"/>
        <v>88.452269113532452</v>
      </c>
      <c r="AV48" s="225"/>
      <c r="AX48">
        <f t="shared" si="65"/>
        <v>0</v>
      </c>
      <c r="AY48">
        <f t="shared" si="66"/>
        <v>0</v>
      </c>
    </row>
    <row r="49" spans="1:51" x14ac:dyDescent="0.25">
      <c r="A49" s="98" t="s">
        <v>246</v>
      </c>
      <c r="B49" s="211">
        <f>1/(PI()*(((VIN_var/VOUT)*(1+(B45/B46)))-0.5))</f>
        <v>0.32773745902866219</v>
      </c>
      <c r="N49" s="170">
        <v>31</v>
      </c>
      <c r="O49" s="199">
        <f t="shared" si="41"/>
        <v>20.4173794466953</v>
      </c>
      <c r="P49" s="189" t="str">
        <f t="shared" si="32"/>
        <v>18.0065359477124</v>
      </c>
      <c r="Q49" s="160" t="str">
        <f t="shared" si="33"/>
        <v>1+0.0402466442511642i</v>
      </c>
      <c r="R49" s="160">
        <f t="shared" si="42"/>
        <v>1.0008095684861731</v>
      </c>
      <c r="S49" s="160">
        <f t="shared" si="43"/>
        <v>4.0224934943532145E-2</v>
      </c>
      <c r="T49" s="160" t="str">
        <f t="shared" si="34"/>
        <v>1+0.0000513144714202344i</v>
      </c>
      <c r="U49" s="160">
        <f t="shared" si="44"/>
        <v>1.0000000013165875</v>
      </c>
      <c r="V49" s="160">
        <f t="shared" si="45"/>
        <v>5.1314471375194408E-5</v>
      </c>
      <c r="W49" s="98" t="str">
        <f t="shared" si="35"/>
        <v>1-0.000724941285992229i</v>
      </c>
      <c r="X49" s="160">
        <f t="shared" si="46"/>
        <v>1.0000002627698996</v>
      </c>
      <c r="Y49" s="160">
        <f t="shared" si="47"/>
        <v>-7.2494115899708644E-4</v>
      </c>
      <c r="Z49" s="98" t="str">
        <f t="shared" si="36"/>
        <v>0.99999999495659+0.00021668860251429i</v>
      </c>
      <c r="AA49" s="160">
        <f t="shared" si="48"/>
        <v>1.0000000184335651</v>
      </c>
      <c r="AB49" s="160">
        <f t="shared" si="49"/>
        <v>2.1668860021567754E-4</v>
      </c>
      <c r="AC49" s="171" t="str">
        <f t="shared" si="50"/>
        <v>17.9767693866562-0.739536138345476i</v>
      </c>
      <c r="AD49" s="190">
        <f t="shared" si="51"/>
        <v>25.101576603428306</v>
      </c>
      <c r="AE49" s="169">
        <f t="shared" si="52"/>
        <v>-2.3557303118817687</v>
      </c>
      <c r="AF49" s="98" t="str">
        <f t="shared" si="37"/>
        <v>-0.0000816326530612245</v>
      </c>
      <c r="AG49" s="98" t="str">
        <f t="shared" si="38"/>
        <v>3.01472519593878E-06i</v>
      </c>
      <c r="AH49" s="98">
        <f t="shared" si="53"/>
        <v>3.0147251959387799E-6</v>
      </c>
      <c r="AI49" s="98">
        <f t="shared" si="54"/>
        <v>1.5707963267948966</v>
      </c>
      <c r="AJ49" s="98" t="str">
        <f t="shared" si="39"/>
        <v>1+0.000918747397875044i</v>
      </c>
      <c r="AK49" s="98">
        <f t="shared" si="55"/>
        <v>1.0000004220483014</v>
      </c>
      <c r="AL49" s="98">
        <f t="shared" si="56"/>
        <v>9.1874713937126792E-4</v>
      </c>
      <c r="AM49" s="98" t="str">
        <f t="shared" si="40"/>
        <v>1+0.0143937092333757i</v>
      </c>
      <c r="AN49" s="98">
        <f t="shared" si="57"/>
        <v>1.000103584067918</v>
      </c>
      <c r="AO49" s="98">
        <f t="shared" si="58"/>
        <v>1.4392715332805478E-2</v>
      </c>
      <c r="AP49" s="168" t="str">
        <f t="shared" si="59"/>
        <v>-0.364874369813028+27.0783100859799i</v>
      </c>
      <c r="AQ49" s="98">
        <f t="shared" si="60"/>
        <v>28.65321962071485</v>
      </c>
      <c r="AR49" s="169">
        <f t="shared" si="61"/>
        <v>90.772001510777287</v>
      </c>
      <c r="AS49" s="168" t="str">
        <f t="shared" si="62"/>
        <v>13.4661264726766+487.05037357846i</v>
      </c>
      <c r="AT49" s="190">
        <f t="shared" si="63"/>
        <v>53.754796224143163</v>
      </c>
      <c r="AU49" s="169">
        <f t="shared" si="64"/>
        <v>88.416271198895529</v>
      </c>
      <c r="AV49" s="225"/>
      <c r="AX49">
        <f t="shared" si="65"/>
        <v>0</v>
      </c>
      <c r="AY49">
        <f t="shared" si="66"/>
        <v>0</v>
      </c>
    </row>
    <row r="50" spans="1:51" x14ac:dyDescent="0.25">
      <c r="A50" s="98" t="s">
        <v>544</v>
      </c>
      <c r="B50" s="209">
        <f>2*Fsw*((1-1/(B20/B17))/Dc_VIN_nom)^2</f>
        <v>1150000</v>
      </c>
      <c r="C50" s="98" t="s">
        <v>251</v>
      </c>
      <c r="E50" s="98" t="s">
        <v>545</v>
      </c>
      <c r="N50" s="170">
        <v>32</v>
      </c>
      <c r="O50" s="199">
        <f t="shared" si="41"/>
        <v>20.8929613085404</v>
      </c>
      <c r="P50" s="189" t="str">
        <f t="shared" si="32"/>
        <v>18.0065359477124</v>
      </c>
      <c r="Q50" s="160" t="str">
        <f t="shared" si="33"/>
        <v>1+0.0411841090250331i</v>
      </c>
      <c r="R50" s="160">
        <f t="shared" si="42"/>
        <v>1.0008477061152641</v>
      </c>
      <c r="S50" s="160">
        <f t="shared" si="43"/>
        <v>4.1160848146784716E-2</v>
      </c>
      <c r="T50" s="160" t="str">
        <f t="shared" si="34"/>
        <v>1+0.0000525097390069172i</v>
      </c>
      <c r="U50" s="160">
        <f t="shared" si="44"/>
        <v>1.0000000013786363</v>
      </c>
      <c r="V50" s="160">
        <f t="shared" si="45"/>
        <v>5.2509738958655979E-5</v>
      </c>
      <c r="W50" s="98" t="str">
        <f t="shared" si="35"/>
        <v>1-0.00074182733777085i</v>
      </c>
      <c r="X50" s="160">
        <f t="shared" si="46"/>
        <v>1.0000002751538617</v>
      </c>
      <c r="Y50" s="160">
        <f t="shared" si="47"/>
        <v>-7.4182720169310517E-4</v>
      </c>
      <c r="Z50" s="98" t="str">
        <f t="shared" si="36"/>
        <v>0.999999994718901+0.000221735928459984i</v>
      </c>
      <c r="AA50" s="160">
        <f t="shared" si="48"/>
        <v>1.0000000193023117</v>
      </c>
      <c r="AB50" s="160">
        <f t="shared" si="49"/>
        <v>2.2173592599697648E-4</v>
      </c>
      <c r="AC50" s="171" t="str">
        <f t="shared" si="50"/>
        <v>17.9753689072504-0.756704470386311i</v>
      </c>
      <c r="AD50" s="190">
        <f t="shared" si="51"/>
        <v>25.101245719016191</v>
      </c>
      <c r="AE50" s="169">
        <f t="shared" si="52"/>
        <v>-2.4105423940750441</v>
      </c>
      <c r="AF50" s="98" t="str">
        <f t="shared" si="37"/>
        <v>-0.0000816326530612245</v>
      </c>
      <c r="AG50" s="98" t="str">
        <f t="shared" si="38"/>
        <v>3.08494716665638E-06i</v>
      </c>
      <c r="AH50" s="98">
        <f t="shared" si="53"/>
        <v>3.0849471666563799E-6</v>
      </c>
      <c r="AI50" s="98">
        <f t="shared" si="54"/>
        <v>1.5707963267948966</v>
      </c>
      <c r="AJ50" s="98" t="str">
        <f t="shared" si="39"/>
        <v>1+0.000940147773921716i</v>
      </c>
      <c r="AK50" s="98">
        <f t="shared" si="55"/>
        <v>1.0000004419388207</v>
      </c>
      <c r="AL50" s="98">
        <f t="shared" si="56"/>
        <v>9.4014749692993601E-4</v>
      </c>
      <c r="AM50" s="98" t="str">
        <f t="shared" si="40"/>
        <v>1+0.0147289817914403i</v>
      </c>
      <c r="AN50" s="98">
        <f t="shared" si="57"/>
        <v>1.0001084655699164</v>
      </c>
      <c r="AO50" s="98">
        <f t="shared" si="58"/>
        <v>1.4727916814029834E-2</v>
      </c>
      <c r="AP50" s="168" t="str">
        <f t="shared" si="59"/>
        <v>-0.364874355297957+26.4619479357445i</v>
      </c>
      <c r="AQ50" s="98">
        <f t="shared" si="60"/>
        <v>28.453261843640696</v>
      </c>
      <c r="AR50" s="169">
        <f t="shared" si="61"/>
        <v>90.789980990769791</v>
      </c>
      <c r="AS50" s="168" t="str">
        <f t="shared" si="62"/>
        <v>13.4651231568317+475.939378205244i</v>
      </c>
      <c r="AT50" s="190">
        <f t="shared" si="63"/>
        <v>53.554507562656894</v>
      </c>
      <c r="AU50" s="169">
        <f t="shared" si="64"/>
        <v>88.379438596694754</v>
      </c>
      <c r="AV50" s="225"/>
      <c r="AX50">
        <f t="shared" si="65"/>
        <v>0</v>
      </c>
      <c r="AY50">
        <f t="shared" si="66"/>
        <v>0</v>
      </c>
    </row>
    <row r="51" spans="1:51" x14ac:dyDescent="0.25">
      <c r="N51" s="170">
        <v>33</v>
      </c>
      <c r="O51" s="199">
        <f t="shared" si="41"/>
        <v>21.379620895022335</v>
      </c>
      <c r="P51" s="189" t="str">
        <f t="shared" si="32"/>
        <v>18.0065359477124</v>
      </c>
      <c r="Q51" s="160" t="str">
        <f t="shared" si="33"/>
        <v>1+0.0421434101586428i</v>
      </c>
      <c r="R51" s="160">
        <f t="shared" si="42"/>
        <v>1.0008876395579074</v>
      </c>
      <c r="S51" s="160">
        <f t="shared" si="43"/>
        <v>4.2118486872218058E-2</v>
      </c>
      <c r="T51" s="160" t="str">
        <f t="shared" si="34"/>
        <v>1+0.0000537328479522696i</v>
      </c>
      <c r="U51" s="160">
        <f t="shared" si="44"/>
        <v>1.0000000014436095</v>
      </c>
      <c r="V51" s="160">
        <f t="shared" si="45"/>
        <v>5.3732847900556766E-5</v>
      </c>
      <c r="W51" s="98" t="str">
        <f t="shared" si="35"/>
        <v>1-0.000759106716223197i</v>
      </c>
      <c r="X51" s="160">
        <f t="shared" si="46"/>
        <v>1.0000002881214618</v>
      </c>
      <c r="Y51" s="160">
        <f t="shared" si="47"/>
        <v>-7.5910657041326865E-4</v>
      </c>
      <c r="Z51" s="98" t="str">
        <f t="shared" si="36"/>
        <v>0.999999994470011+0.000226900821729968i</v>
      </c>
      <c r="AA51" s="160">
        <f t="shared" si="48"/>
        <v>1.0000000202120023</v>
      </c>
      <c r="AB51" s="160">
        <f t="shared" si="49"/>
        <v>2.2690081909080778E-4</v>
      </c>
      <c r="AC51" s="171" t="str">
        <f t="shared" si="50"/>
        <v>17.9739026540515-0.774268588837668i</v>
      </c>
      <c r="AD51" s="190">
        <f t="shared" si="51"/>
        <v>25.100899267536402</v>
      </c>
      <c r="AE51" s="169">
        <f t="shared" si="52"/>
        <v>-2.4666269338366327</v>
      </c>
      <c r="AF51" s="98" t="str">
        <f t="shared" si="37"/>
        <v>-0.0000816326530612245</v>
      </c>
      <c r="AG51" s="98" t="str">
        <f t="shared" si="38"/>
        <v>3.15680481719584E-06i</v>
      </c>
      <c r="AH51" s="98">
        <f t="shared" si="53"/>
        <v>3.1568048171958399E-6</v>
      </c>
      <c r="AI51" s="98">
        <f t="shared" si="54"/>
        <v>1.5707963267948966</v>
      </c>
      <c r="AJ51" s="98" t="str">
        <f t="shared" si="39"/>
        <v>1+0.00096204662876244i</v>
      </c>
      <c r="AK51" s="98">
        <f t="shared" si="55"/>
        <v>1.0000004627667509</v>
      </c>
      <c r="AL51" s="98">
        <f t="shared" si="56"/>
        <v>9.6204633196040777E-4</v>
      </c>
      <c r="AM51" s="98" t="str">
        <f t="shared" si="40"/>
        <v>1+0.0150720638506116i</v>
      </c>
      <c r="AN51" s="98">
        <f t="shared" si="57"/>
        <v>1.0001135771044791</v>
      </c>
      <c r="AO51" s="98">
        <f t="shared" si="58"/>
        <v>1.5070922713755706E-2</v>
      </c>
      <c r="AP51" s="168" t="str">
        <f t="shared" si="59"/>
        <v>-0.364874340098807+25.8596162605687i</v>
      </c>
      <c r="AQ51" s="98">
        <f t="shared" si="60"/>
        <v>28.253306056028187</v>
      </c>
      <c r="AR51" s="169">
        <f t="shared" si="61"/>
        <v>90.808379070348664</v>
      </c>
      <c r="AS51" s="168" t="str">
        <f t="shared" si="62"/>
        <v>13.4640727200569+465.080736079i</v>
      </c>
      <c r="AT51" s="190">
        <f t="shared" si="63"/>
        <v>53.354205323564585</v>
      </c>
      <c r="AU51" s="169">
        <f t="shared" si="64"/>
        <v>88.341752136512042</v>
      </c>
      <c r="AV51" s="225"/>
      <c r="AX51">
        <f t="shared" si="65"/>
        <v>0</v>
      </c>
      <c r="AY51">
        <f t="shared" si="66"/>
        <v>0</v>
      </c>
    </row>
    <row r="52" spans="1:51" x14ac:dyDescent="0.25">
      <c r="N52" s="170">
        <v>34</v>
      </c>
      <c r="O52" s="199">
        <f t="shared" si="41"/>
        <v>21.877616239495538</v>
      </c>
      <c r="P52" s="189" t="str">
        <f t="shared" si="32"/>
        <v>18.0065359477124</v>
      </c>
      <c r="Q52" s="160" t="str">
        <f t="shared" si="33"/>
        <v>1+0.0431250562861528i</v>
      </c>
      <c r="R52" s="160">
        <f t="shared" si="42"/>
        <v>1.0009294532981252</v>
      </c>
      <c r="S52" s="160">
        <f t="shared" si="43"/>
        <v>4.3098351842768015E-2</v>
      </c>
      <c r="T52" s="160" t="str">
        <f t="shared" si="34"/>
        <v>1+0.0000549844467648448i</v>
      </c>
      <c r="U52" s="160">
        <f t="shared" si="44"/>
        <v>1.0000000015116446</v>
      </c>
      <c r="V52" s="160">
        <f t="shared" si="45"/>
        <v>5.4984446709433503E-5</v>
      </c>
      <c r="W52" s="98" t="str">
        <f t="shared" si="35"/>
        <v>1-0.000776788583104453i</v>
      </c>
      <c r="X52" s="160">
        <f t="shared" si="46"/>
        <v>1.0000003017002059</v>
      </c>
      <c r="Y52" s="160">
        <f t="shared" si="47"/>
        <v>-7.7678842686630233E-4</v>
      </c>
      <c r="Z52" s="98" t="str">
        <f t="shared" si="36"/>
        <v>0.99999999420939+0.000232186020819021i</v>
      </c>
      <c r="AA52" s="160">
        <f t="shared" si="48"/>
        <v>1.0000000211645639</v>
      </c>
      <c r="AB52" s="160">
        <f t="shared" si="49"/>
        <v>2.3218601799111001E-4</v>
      </c>
      <c r="AC52" s="171" t="str">
        <f t="shared" si="50"/>
        <v>17.9723675492469-0.792237419591517i</v>
      </c>
      <c r="AD52" s="190">
        <f t="shared" si="51"/>
        <v>25.100536517938998</v>
      </c>
      <c r="AE52" s="169">
        <f t="shared" si="52"/>
        <v>-2.5240132651520586</v>
      </c>
      <c r="AF52" s="98" t="str">
        <f t="shared" si="37"/>
        <v>-0.0000816326530612245</v>
      </c>
      <c r="AG52" s="98" t="str">
        <f t="shared" si="38"/>
        <v>3.23033624743463E-06i</v>
      </c>
      <c r="AH52" s="98">
        <f t="shared" si="53"/>
        <v>3.2303362474346301E-6</v>
      </c>
      <c r="AI52" s="98">
        <f t="shared" si="54"/>
        <v>1.5707963267948966</v>
      </c>
      <c r="AJ52" s="98" t="str">
        <f t="shared" si="39"/>
        <v>1+0.000984455573459931i</v>
      </c>
      <c r="AK52" s="98">
        <f t="shared" si="55"/>
        <v>1.0000004845762707</v>
      </c>
      <c r="AL52" s="98">
        <f t="shared" si="56"/>
        <v>9.8445525543083183E-4</v>
      </c>
      <c r="AM52" s="98" t="str">
        <f t="shared" si="40"/>
        <v>1+0.015423137317539i</v>
      </c>
      <c r="AN52" s="98">
        <f t="shared" si="57"/>
        <v>1.0001189295102437</v>
      </c>
      <c r="AO52" s="98">
        <f t="shared" si="58"/>
        <v>1.5421914575220953E-2</v>
      </c>
      <c r="AP52" s="168" t="str">
        <f t="shared" si="59"/>
        <v>-0.364874324183349+25.2709956962252i</v>
      </c>
      <c r="AQ52" s="98">
        <f t="shared" si="60"/>
        <v>28.053352351594896</v>
      </c>
      <c r="AR52" s="169">
        <f t="shared" si="61"/>
        <v>90.827205485915783</v>
      </c>
      <c r="AS52" s="168" t="str">
        <f t="shared" si="62"/>
        <v>13.4629729573796+454.468690081062i</v>
      </c>
      <c r="AT52" s="190">
        <f t="shared" si="63"/>
        <v>53.153888869533894</v>
      </c>
      <c r="AU52" s="169">
        <f t="shared" si="64"/>
        <v>88.303192220763734</v>
      </c>
      <c r="AV52" s="225"/>
      <c r="AX52">
        <f t="shared" si="65"/>
        <v>0</v>
      </c>
      <c r="AY52">
        <f t="shared" si="66"/>
        <v>0</v>
      </c>
    </row>
    <row r="53" spans="1:51" ht="15.75" x14ac:dyDescent="0.25">
      <c r="A53" s="212" t="s">
        <v>261</v>
      </c>
      <c r="N53" s="170">
        <v>35</v>
      </c>
      <c r="O53" s="199">
        <f t="shared" si="41"/>
        <v>22.387211385683404</v>
      </c>
      <c r="P53" s="189" t="str">
        <f t="shared" si="32"/>
        <v>18.0065359477124</v>
      </c>
      <c r="Q53" s="160" t="str">
        <f t="shared" si="33"/>
        <v>1+0.0441295678893333i</v>
      </c>
      <c r="R53" s="160">
        <f t="shared" si="42"/>
        <v>1.0009732357871011</v>
      </c>
      <c r="S53" s="160">
        <f t="shared" si="43"/>
        <v>4.4100955065099957E-2</v>
      </c>
      <c r="T53" s="160" t="str">
        <f t="shared" si="34"/>
        <v>1+0.0000562651990589i</v>
      </c>
      <c r="U53" s="160">
        <f t="shared" si="44"/>
        <v>1.0000000015828863</v>
      </c>
      <c r="V53" s="160">
        <f t="shared" si="45"/>
        <v>5.6265198999525724E-5</v>
      </c>
      <c r="W53" s="98" t="str">
        <f t="shared" si="35"/>
        <v>1-0.000794882313574485i</v>
      </c>
      <c r="X53" s="160">
        <f t="shared" si="46"/>
        <v>1.0000003159188964</v>
      </c>
      <c r="Y53" s="160">
        <f t="shared" si="47"/>
        <v>-7.9488214616229322E-4</v>
      </c>
      <c r="Z53" s="98" t="str">
        <f t="shared" si="36"/>
        <v>0.999999993936487+0.000237594328009658i</v>
      </c>
      <c r="AA53" s="160">
        <f t="shared" si="48"/>
        <v>1.0000000221620191</v>
      </c>
      <c r="AB53" s="160">
        <f t="shared" si="49"/>
        <v>2.3759432497949681E-4</v>
      </c>
      <c r="AC53" s="171" t="str">
        <f t="shared" si="50"/>
        <v>17.9707603720863-0.810620075626881i</v>
      </c>
      <c r="AD53" s="190">
        <f t="shared" si="51"/>
        <v>25.100156704971401</v>
      </c>
      <c r="AE53" s="169">
        <f t="shared" si="52"/>
        <v>-2.5827313835331611</v>
      </c>
      <c r="AF53" s="98" t="str">
        <f t="shared" si="37"/>
        <v>-0.0000816326530612245</v>
      </c>
      <c r="AG53" s="98" t="str">
        <f t="shared" si="38"/>
        <v>3.30558044471036E-06i</v>
      </c>
      <c r="AH53" s="98">
        <f t="shared" si="53"/>
        <v>3.3055804447103599E-6</v>
      </c>
      <c r="AI53" s="98">
        <f t="shared" si="54"/>
        <v>1.5707963267948966</v>
      </c>
      <c r="AJ53" s="98" t="str">
        <f t="shared" si="39"/>
        <v>1+0.00100738648953328i</v>
      </c>
      <c r="AK53" s="98">
        <f t="shared" si="55"/>
        <v>1.0000005074136409</v>
      </c>
      <c r="AL53" s="98">
        <f t="shared" si="56"/>
        <v>1.0073861487589701E-3</v>
      </c>
      <c r="AM53" s="98" t="str">
        <f t="shared" si="40"/>
        <v>1+0.0157823883360215i</v>
      </c>
      <c r="AN53" s="98">
        <f t="shared" si="57"/>
        <v>1.0001245341364189</v>
      </c>
      <c r="AO53" s="98">
        <f t="shared" si="58"/>
        <v>1.578107815283341E-2</v>
      </c>
      <c r="AP53" s="168" t="str">
        <f t="shared" si="59"/>
        <v>-0.364874307517819+24.6957741482997i</v>
      </c>
      <c r="AQ53" s="98">
        <f t="shared" si="60"/>
        <v>27.853400828471237</v>
      </c>
      <c r="AR53" s="169">
        <f t="shared" si="61"/>
        <v>90.846470199659635</v>
      </c>
      <c r="AS53" s="168" t="str">
        <f t="shared" si="62"/>
        <v>13.4618215614254+444.097613861012i</v>
      </c>
      <c r="AT53" s="190">
        <f t="shared" si="63"/>
        <v>52.953557533442641</v>
      </c>
      <c r="AU53" s="169">
        <f t="shared" si="64"/>
        <v>88.263738816126477</v>
      </c>
      <c r="AV53" s="225"/>
      <c r="AX53">
        <f t="shared" si="65"/>
        <v>0</v>
      </c>
      <c r="AY53">
        <f t="shared" si="66"/>
        <v>0</v>
      </c>
    </row>
    <row r="54" spans="1:51" x14ac:dyDescent="0.25">
      <c r="A54" s="98" t="s">
        <v>226</v>
      </c>
      <c r="N54" s="170">
        <v>36</v>
      </c>
      <c r="O54" s="199">
        <f t="shared" si="41"/>
        <v>22.908676527677727</v>
      </c>
      <c r="P54" s="189" t="str">
        <f t="shared" si="32"/>
        <v>18.0065359477124</v>
      </c>
      <c r="Q54" s="160" t="str">
        <f t="shared" si="33"/>
        <v>1+0.0451574775735325i</v>
      </c>
      <c r="R54" s="160">
        <f t="shared" si="42"/>
        <v>1.0010190796287572</v>
      </c>
      <c r="S54" s="160">
        <f t="shared" si="43"/>
        <v>4.5126820065481722E-2</v>
      </c>
      <c r="T54" s="160" t="str">
        <f t="shared" si="34"/>
        <v>1+0.000057575783906254i</v>
      </c>
      <c r="U54" s="160">
        <f t="shared" si="44"/>
        <v>1.0000000016574855</v>
      </c>
      <c r="V54" s="160">
        <f t="shared" si="45"/>
        <v>5.7575783842633315E-5</v>
      </c>
      <c r="W54" s="98" t="str">
        <f t="shared" si="35"/>
        <v>1-0.000813397501168683i</v>
      </c>
      <c r="X54" s="160">
        <f t="shared" si="46"/>
        <v>1.0000003308076928</v>
      </c>
      <c r="Y54" s="160">
        <f t="shared" si="47"/>
        <v>-8.1339732178329087E-4</v>
      </c>
      <c r="Z54" s="98" t="str">
        <f t="shared" si="36"/>
        <v>0.999999993650723+0.000243128610857937i</v>
      </c>
      <c r="AA54" s="160">
        <f t="shared" si="48"/>
        <v>1.0000000232064836</v>
      </c>
      <c r="AB54" s="160">
        <f t="shared" si="49"/>
        <v>2.4312860761106062E-4</v>
      </c>
      <c r="AC54" s="171" t="str">
        <f t="shared" si="50"/>
        <v>17.9690777523473-0.829425859895716i</v>
      </c>
      <c r="AD54" s="190">
        <f t="shared" si="51"/>
        <v>25.099759027590231</v>
      </c>
      <c r="AE54" s="169">
        <f t="shared" si="52"/>
        <v>-2.642811959882466</v>
      </c>
      <c r="AF54" s="98" t="str">
        <f t="shared" si="37"/>
        <v>-0.0000816326530612245</v>
      </c>
      <c r="AG54" s="98" t="str">
        <f t="shared" si="38"/>
        <v>3.38257730449241E-06i</v>
      </c>
      <c r="AH54" s="98">
        <f t="shared" si="53"/>
        <v>3.3825773044924102E-6</v>
      </c>
      <c r="AI54" s="98">
        <f t="shared" si="54"/>
        <v>1.5707963267948966</v>
      </c>
      <c r="AJ54" s="98" t="str">
        <f t="shared" si="39"/>
        <v>1+0.00103085153525771i</v>
      </c>
      <c r="AK54" s="98">
        <f t="shared" si="55"/>
        <v>1.0000005313273026</v>
      </c>
      <c r="AL54" s="98">
        <f t="shared" si="56"/>
        <v>1.0308511701114687E-3</v>
      </c>
      <c r="AM54" s="98" t="str">
        <f t="shared" si="40"/>
        <v>1+0.0161500073857042i</v>
      </c>
      <c r="AN54" s="98">
        <f t="shared" si="57"/>
        <v>1.0001304028668254</v>
      </c>
      <c r="AO54" s="98">
        <f t="shared" si="58"/>
        <v>1.6148603509010737E-2</v>
      </c>
      <c r="AP54" s="168" t="str">
        <f t="shared" si="59"/>
        <v>-0.364874290066865+24.1336466267132i</v>
      </c>
      <c r="AQ54" s="98">
        <f t="shared" si="60"/>
        <v>27.653451589407648</v>
      </c>
      <c r="AR54" s="169">
        <f t="shared" si="61"/>
        <v>90.866183404742955</v>
      </c>
      <c r="AS54" s="168" t="str">
        <f t="shared" si="62"/>
        <v>13.4606161177369+433.962008854876i</v>
      </c>
      <c r="AT54" s="190">
        <f t="shared" si="63"/>
        <v>52.753210616997876</v>
      </c>
      <c r="AU54" s="169">
        <f t="shared" si="64"/>
        <v>88.223371444860504</v>
      </c>
      <c r="AV54" s="225"/>
      <c r="AX54">
        <f t="shared" si="65"/>
        <v>0</v>
      </c>
      <c r="AY54">
        <f t="shared" si="66"/>
        <v>0</v>
      </c>
    </row>
    <row r="55" spans="1:51" x14ac:dyDescent="0.25">
      <c r="A55" s="98" t="s">
        <v>224</v>
      </c>
      <c r="B55" s="187">
        <f>RFBT</f>
        <v>47000</v>
      </c>
      <c r="C55" s="206" t="s">
        <v>36</v>
      </c>
      <c r="E55" s="98" t="s">
        <v>227</v>
      </c>
      <c r="N55" s="170">
        <v>37</v>
      </c>
      <c r="O55" s="199">
        <f t="shared" si="41"/>
        <v>23.442288153199236</v>
      </c>
      <c r="P55" s="189" t="str">
        <f t="shared" si="32"/>
        <v>18.0065359477124</v>
      </c>
      <c r="Q55" s="160" t="str">
        <f t="shared" si="33"/>
        <v>1+0.0462093303500712i</v>
      </c>
      <c r="R55" s="160">
        <f t="shared" si="42"/>
        <v>1.0010670817739449</v>
      </c>
      <c r="S55" s="160">
        <f t="shared" si="43"/>
        <v>4.6176482129244821E-2</v>
      </c>
      <c r="T55" s="160" t="str">
        <f t="shared" si="34"/>
        <v>1+0.0000589168961963408i</v>
      </c>
      <c r="U55" s="160">
        <f t="shared" si="44"/>
        <v>1.0000000017356003</v>
      </c>
      <c r="V55" s="160">
        <f t="shared" si="45"/>
        <v>5.8916896128170011E-5</v>
      </c>
      <c r="W55" s="98" t="str">
        <f t="shared" si="35"/>
        <v>1-0.000832343962884591i</v>
      </c>
      <c r="X55" s="160">
        <f t="shared" si="46"/>
        <v>1.0000003463981764</v>
      </c>
      <c r="Y55" s="160">
        <f t="shared" si="47"/>
        <v>-8.3234377066968371E-4</v>
      </c>
      <c r="Z55" s="98" t="str">
        <f t="shared" si="36"/>
        <v>0.99999999335149+0.000248791803713882i</v>
      </c>
      <c r="AA55" s="160">
        <f t="shared" si="48"/>
        <v>1.0000000243001705</v>
      </c>
      <c r="AB55" s="160">
        <f t="shared" si="49"/>
        <v>2.4879180023479146E-4</v>
      </c>
      <c r="AC55" s="171" t="str">
        <f t="shared" si="50"/>
        <v>17.9673161635132-0.848664268172811i</v>
      </c>
      <c r="AD55" s="190">
        <f t="shared" si="51"/>
        <v>25.099342647300936</v>
      </c>
      <c r="AE55" s="169">
        <f t="shared" si="52"/>
        <v>-2.7042863545711375</v>
      </c>
      <c r="AF55" s="98" t="str">
        <f t="shared" si="37"/>
        <v>-0.0000816326530612245</v>
      </c>
      <c r="AG55" s="98" t="str">
        <f t="shared" si="38"/>
        <v>3.46136765153501E-06i</v>
      </c>
      <c r="AH55" s="98">
        <f t="shared" si="53"/>
        <v>3.4613676515350098E-6</v>
      </c>
      <c r="AI55" s="98">
        <f t="shared" si="54"/>
        <v>1.5707963267948966</v>
      </c>
      <c r="AJ55" s="98" t="str">
        <f t="shared" si="39"/>
        <v>1+0.00105486315211108i</v>
      </c>
      <c r="AK55" s="98">
        <f t="shared" si="55"/>
        <v>1.0000005563679801</v>
      </c>
      <c r="AL55" s="98">
        <f t="shared" si="56"/>
        <v>1.0548627608498451E-3</v>
      </c>
      <c r="AM55" s="98" t="str">
        <f t="shared" si="40"/>
        <v>1+0.0165261893830736i</v>
      </c>
      <c r="AN55" s="98">
        <f t="shared" si="57"/>
        <v>1.0001365481450646</v>
      </c>
      <c r="AO55" s="98">
        <f t="shared" si="58"/>
        <v>1.652468511318644E-2</v>
      </c>
      <c r="AP55" s="168" t="str">
        <f t="shared" si="59"/>
        <v>-0.364874271793477+23.5843150840131i</v>
      </c>
      <c r="AQ55" s="98">
        <f t="shared" si="60"/>
        <v>27.453504741992205</v>
      </c>
      <c r="AR55" s="169">
        <f t="shared" si="61"/>
        <v>90.886355530606025</v>
      </c>
      <c r="AS55" s="168" t="str">
        <f t="shared" si="62"/>
        <v>13.4593540998859+424.056501371223i</v>
      </c>
      <c r="AT55" s="190">
        <f t="shared" si="63"/>
        <v>52.552847389293127</v>
      </c>
      <c r="AU55" s="169">
        <f t="shared" si="64"/>
        <v>88.182069176034901</v>
      </c>
      <c r="AV55" s="225"/>
      <c r="AX55">
        <f t="shared" si="65"/>
        <v>0</v>
      </c>
      <c r="AY55">
        <f t="shared" si="66"/>
        <v>0</v>
      </c>
    </row>
    <row r="56" spans="1:51" x14ac:dyDescent="0.25">
      <c r="A56" s="98" t="s">
        <v>225</v>
      </c>
      <c r="B56" s="187">
        <f>RFBB</f>
        <v>2000</v>
      </c>
      <c r="C56" s="206" t="s">
        <v>36</v>
      </c>
      <c r="E56" s="98" t="s">
        <v>228</v>
      </c>
      <c r="N56" s="170">
        <v>38</v>
      </c>
      <c r="O56" s="199">
        <f t="shared" si="41"/>
        <v>23.988329190194907</v>
      </c>
      <c r="P56" s="189" t="str">
        <f t="shared" si="32"/>
        <v>18.0065359477124</v>
      </c>
      <c r="Q56" s="160" t="str">
        <f t="shared" si="33"/>
        <v>1+0.0472856839252141i</v>
      </c>
      <c r="R56" s="160">
        <f t="shared" si="42"/>
        <v>1.0011173437236391</v>
      </c>
      <c r="S56" s="160">
        <f t="shared" si="43"/>
        <v>4.7250488543783643E-2</v>
      </c>
      <c r="T56" s="160" t="str">
        <f t="shared" si="34"/>
        <v>1+0.000060289247004648i</v>
      </c>
      <c r="U56" s="160">
        <f t="shared" si="44"/>
        <v>1.0000000018173967</v>
      </c>
      <c r="V56" s="160">
        <f t="shared" si="45"/>
        <v>6.0289246931601684E-5</v>
      </c>
      <c r="W56" s="98" t="str">
        <f t="shared" si="35"/>
        <v>1-0.000851731744386991i</v>
      </c>
      <c r="X56" s="160">
        <f t="shared" si="46"/>
        <v>1.0000003627234164</v>
      </c>
      <c r="Y56" s="160">
        <f t="shared" si="47"/>
        <v>-8.5173153842501117E-4</v>
      </c>
      <c r="Z56" s="98" t="str">
        <f t="shared" si="36"/>
        <v>0.999999993038156+0.000254586909277304i</v>
      </c>
      <c r="AA56" s="160">
        <f t="shared" si="48"/>
        <v>1.0000000254454029</v>
      </c>
      <c r="AB56" s="160">
        <f t="shared" si="49"/>
        <v>2.5458690554939117E-4</v>
      </c>
      <c r="AC56" s="171" t="str">
        <f t="shared" si="50"/>
        <v>17.9654719156508-0.868344991861798i</v>
      </c>
      <c r="AD56" s="190">
        <f t="shared" si="51"/>
        <v>25.098906686421927</v>
      </c>
      <c r="AE56" s="169">
        <f t="shared" si="52"/>
        <v>-2.7671866317280678</v>
      </c>
      <c r="AF56" s="98" t="str">
        <f t="shared" si="37"/>
        <v>-0.0000816326530612245</v>
      </c>
      <c r="AG56" s="98" t="str">
        <f t="shared" si="38"/>
        <v>3.54199326152307E-06i</v>
      </c>
      <c r="AH56" s="98">
        <f t="shared" si="53"/>
        <v>3.5419932615230701E-6</v>
      </c>
      <c r="AI56" s="98">
        <f t="shared" si="54"/>
        <v>1.5707963267948966</v>
      </c>
      <c r="AJ56" s="98" t="str">
        <f t="shared" si="39"/>
        <v>1+0.00107943407137045i</v>
      </c>
      <c r="AK56" s="98">
        <f t="shared" si="55"/>
        <v>1.0000005825887874</v>
      </c>
      <c r="AL56" s="98">
        <f t="shared" si="56"/>
        <v>1.0794336521264963E-3</v>
      </c>
      <c r="AM56" s="98" t="str">
        <f t="shared" si="40"/>
        <v>1+0.0169111337848038i</v>
      </c>
      <c r="AN56" s="98">
        <f t="shared" si="57"/>
        <v>1.0001429830008746</v>
      </c>
      <c r="AO56" s="98">
        <f t="shared" si="58"/>
        <v>1.6909521943024686E-2</v>
      </c>
      <c r="AP56" s="168" t="str">
        <f t="shared" si="59"/>
        <v>-0.364874252658892+23.0474882573439i</v>
      </c>
      <c r="AQ56" s="98">
        <f t="shared" si="60"/>
        <v>27.253560398877909</v>
      </c>
      <c r="AR56" s="169">
        <f t="shared" si="61"/>
        <v>90.906997248387924</v>
      </c>
      <c r="AS56" s="168" t="str">
        <f t="shared" si="62"/>
        <v>13.4580328643708+414.375839743559i</v>
      </c>
      <c r="AT56" s="190">
        <f t="shared" si="63"/>
        <v>52.352467085299836</v>
      </c>
      <c r="AU56" s="169">
        <f t="shared" si="64"/>
        <v>88.139810616659858</v>
      </c>
      <c r="AV56" s="225"/>
      <c r="AX56">
        <f t="shared" si="65"/>
        <v>0</v>
      </c>
      <c r="AY56">
        <f t="shared" si="66"/>
        <v>0</v>
      </c>
    </row>
    <row r="57" spans="1:51" x14ac:dyDescent="0.25">
      <c r="A57" s="98" t="s">
        <v>214</v>
      </c>
      <c r="B57" s="187">
        <f>RCOMP</f>
        <v>5100</v>
      </c>
      <c r="C57" s="206" t="s">
        <v>36</v>
      </c>
      <c r="E57" s="98" t="s">
        <v>221</v>
      </c>
      <c r="N57" s="170">
        <v>39</v>
      </c>
      <c r="O57" s="199">
        <f t="shared" si="41"/>
        <v>24.547089156850316</v>
      </c>
      <c r="P57" s="189" t="str">
        <f t="shared" si="32"/>
        <v>18.0065359477124</v>
      </c>
      <c r="Q57" s="160" t="str">
        <f t="shared" si="33"/>
        <v>1+0.0483871089958742i</v>
      </c>
      <c r="R57" s="160">
        <f t="shared" si="42"/>
        <v>1.0011699717415512</v>
      </c>
      <c r="S57" s="160">
        <f t="shared" si="43"/>
        <v>4.8349398845035606E-2</v>
      </c>
      <c r="T57" s="160" t="str">
        <f t="shared" si="34"/>
        <v>1+0.0000616935639697396i</v>
      </c>
      <c r="U57" s="160">
        <f t="shared" si="44"/>
        <v>1.0000000019030479</v>
      </c>
      <c r="V57" s="160">
        <f t="shared" si="45"/>
        <v>6.1693563891469062E-5</v>
      </c>
      <c r="W57" s="98" t="str">
        <f t="shared" si="35"/>
        <v>1-0.000871571125334269i</v>
      </c>
      <c r="X57" s="160">
        <f t="shared" si="46"/>
        <v>1.0000003798180412</v>
      </c>
      <c r="Y57" s="160">
        <f t="shared" si="47"/>
        <v>-8.7157090464203598E-4</v>
      </c>
      <c r="Z57" s="98" t="str">
        <f t="shared" si="36"/>
        <v>0.999999992710054+0.00026051700018988i</v>
      </c>
      <c r="AA57" s="160">
        <f t="shared" si="48"/>
        <v>1.0000000266446074</v>
      </c>
      <c r="AB57" s="160">
        <f t="shared" si="49"/>
        <v>2.6051699619534954E-4</v>
      </c>
      <c r="AC57" s="171" t="str">
        <f t="shared" si="50"/>
        <v>17.9635411479747-0.888477920748616i</v>
      </c>
      <c r="AD57" s="190">
        <f t="shared" si="51"/>
        <v>25.098450226269069</v>
      </c>
      <c r="AE57" s="169">
        <f t="shared" si="52"/>
        <v>-2.8315455737369493</v>
      </c>
      <c r="AF57" s="98" t="str">
        <f t="shared" si="37"/>
        <v>-0.0000816326530612245</v>
      </c>
      <c r="AG57" s="98" t="str">
        <f t="shared" si="38"/>
        <v>3.62449688322221E-06i</v>
      </c>
      <c r="AH57" s="98">
        <f t="shared" si="53"/>
        <v>3.6244968832222102E-6</v>
      </c>
      <c r="AI57" s="98">
        <f t="shared" si="54"/>
        <v>1.5707963267948966</v>
      </c>
      <c r="AJ57" s="98" t="str">
        <f t="shared" si="39"/>
        <v>1+0.00110457732086246i</v>
      </c>
      <c r="AK57" s="98">
        <f t="shared" si="55"/>
        <v>1.0000006100453427</v>
      </c>
      <c r="AL57" s="98">
        <f t="shared" si="56"/>
        <v>1.1045768716344848E-3</v>
      </c>
      <c r="AM57" s="98" t="str">
        <f t="shared" si="40"/>
        <v>1+0.017305044693512i</v>
      </c>
      <c r="AN57" s="98">
        <f t="shared" si="57"/>
        <v>1.0001497210777217</v>
      </c>
      <c r="AO57" s="98">
        <f t="shared" si="58"/>
        <v>1.7303317587892251E-2</v>
      </c>
      <c r="AP57" s="168" t="str">
        <f t="shared" si="59"/>
        <v>-0.364874232622523+22.5228815140165i</v>
      </c>
      <c r="AQ57" s="98">
        <f t="shared" si="60"/>
        <v>27.053618678021149</v>
      </c>
      <c r="AR57" s="169">
        <f t="shared" si="61"/>
        <v>90.928119476468282</v>
      </c>
      <c r="AS57" s="168" t="str">
        <f t="shared" si="62"/>
        <v>13.4566496452904+404.914891547529i</v>
      </c>
      <c r="AT57" s="190">
        <f t="shared" si="63"/>
        <v>52.152068904290218</v>
      </c>
      <c r="AU57" s="169">
        <f t="shared" si="64"/>
        <v>88.09657390273135</v>
      </c>
      <c r="AV57" s="225"/>
      <c r="AX57">
        <f t="shared" si="65"/>
        <v>0</v>
      </c>
      <c r="AY57">
        <f t="shared" si="66"/>
        <v>0</v>
      </c>
    </row>
    <row r="58" spans="1:51" x14ac:dyDescent="0.25">
      <c r="A58" s="98" t="s">
        <v>219</v>
      </c>
      <c r="B58" s="187">
        <f>CCOMP</f>
        <v>2.2000000000000002E-8</v>
      </c>
      <c r="C58" s="206" t="s">
        <v>193</v>
      </c>
      <c r="E58" s="98" t="s">
        <v>222</v>
      </c>
      <c r="N58" s="170">
        <v>40</v>
      </c>
      <c r="O58" s="199">
        <f t="shared" si="41"/>
        <v>25.118864315095799</v>
      </c>
      <c r="P58" s="189" t="str">
        <f t="shared" si="32"/>
        <v>18.0065359477124</v>
      </c>
      <c r="Q58" s="160" t="str">
        <f t="shared" si="33"/>
        <v>1+0.0495141895522033i</v>
      </c>
      <c r="R58" s="160">
        <f t="shared" si="42"/>
        <v>1.001225077076584</v>
      </c>
      <c r="S58" s="160">
        <f t="shared" si="43"/>
        <v>4.9473785067367E-2</v>
      </c>
      <c r="T58" s="160" t="str">
        <f t="shared" si="34"/>
        <v>1+0.0000631305916790592i</v>
      </c>
      <c r="U58" s="160">
        <f t="shared" si="44"/>
        <v>1.0000000019927358</v>
      </c>
      <c r="V58" s="160">
        <f t="shared" si="45"/>
        <v>6.3130591595190804E-5</v>
      </c>
      <c r="W58" s="98" t="str">
        <f t="shared" si="35"/>
        <v>1-0.000891872624828812i</v>
      </c>
      <c r="X58" s="160">
        <f t="shared" si="46"/>
        <v>1.0000003977183103</v>
      </c>
      <c r="Y58" s="160">
        <f t="shared" si="47"/>
        <v>-8.9187238835282889E-4</v>
      </c>
      <c r="Z58" s="98" t="str">
        <f t="shared" si="36"/>
        <v>0.99999999236649+0.00026658522066431i</v>
      </c>
      <c r="AA58" s="160">
        <f t="shared" si="48"/>
        <v>1.0000000279003296</v>
      </c>
      <c r="AB58" s="160">
        <f t="shared" si="49"/>
        <v>2.6658521638409338E-4</v>
      </c>
      <c r="AC58" s="171" t="str">
        <f t="shared" si="50"/>
        <v>17.9615198210875-0.9090731456931i</v>
      </c>
      <c r="AD58" s="190">
        <f t="shared" si="51"/>
        <v>25.097972305258168</v>
      </c>
      <c r="AE58" s="169">
        <f t="shared" si="52"/>
        <v>-2.8973966959371773</v>
      </c>
      <c r="AF58" s="98" t="str">
        <f t="shared" si="37"/>
        <v>-0.0000816326530612245</v>
      </c>
      <c r="AG58" s="98" t="str">
        <f t="shared" si="38"/>
        <v>3.70892226114472E-06i</v>
      </c>
      <c r="AH58" s="98">
        <f t="shared" si="53"/>
        <v>3.7089222611447202E-6</v>
      </c>
      <c r="AI58" s="98">
        <f t="shared" si="54"/>
        <v>1.5707963267948966</v>
      </c>
      <c r="AJ58" s="98" t="str">
        <f t="shared" si="39"/>
        <v>1+0.00113030623187081i</v>
      </c>
      <c r="AK58" s="98">
        <f t="shared" si="55"/>
        <v>1.0000006387958849</v>
      </c>
      <c r="AL58" s="98">
        <f t="shared" si="56"/>
        <v>1.130305750514379E-3</v>
      </c>
      <c r="AM58" s="98" t="str">
        <f t="shared" si="40"/>
        <v>1+0.0177081309659761i</v>
      </c>
      <c r="AN58" s="98">
        <f t="shared" si="57"/>
        <v>1.0001567766616932</v>
      </c>
      <c r="AO58" s="98">
        <f t="shared" si="58"/>
        <v>1.7706280354629414E-2</v>
      </c>
      <c r="AP58" s="168" t="str">
        <f t="shared" si="59"/>
        <v>-0.364874211641874+22.0102167005913i</v>
      </c>
      <c r="AQ58" s="98">
        <f t="shared" si="60"/>
        <v>26.853679702930712</v>
      </c>
      <c r="AR58" s="169">
        <f t="shared" si="61"/>
        <v>90.949733386131825</v>
      </c>
      <c r="AS58" s="168" t="str">
        <f t="shared" si="62"/>
        <v>13.4552015487841+395.668640881461i</v>
      </c>
      <c r="AT58" s="190">
        <f t="shared" si="63"/>
        <v>51.951652008188873</v>
      </c>
      <c r="AU58" s="169">
        <f t="shared" si="64"/>
        <v>88.052336690194664</v>
      </c>
      <c r="AV58" s="225"/>
      <c r="AX58">
        <f t="shared" si="65"/>
        <v>0</v>
      </c>
      <c r="AY58">
        <f t="shared" si="66"/>
        <v>0</v>
      </c>
    </row>
    <row r="59" spans="1:51" x14ac:dyDescent="0.25">
      <c r="A59" s="98" t="s">
        <v>220</v>
      </c>
      <c r="B59" s="187">
        <f>CHF</f>
        <v>1.5E-9</v>
      </c>
      <c r="C59" s="206" t="s">
        <v>193</v>
      </c>
      <c r="E59" s="98" t="s">
        <v>223</v>
      </c>
      <c r="N59" s="170">
        <v>41</v>
      </c>
      <c r="O59" s="199">
        <f t="shared" si="41"/>
        <v>25.703957827688647</v>
      </c>
      <c r="P59" s="189" t="str">
        <f t="shared" si="32"/>
        <v>18.0065359477124</v>
      </c>
      <c r="Q59" s="160" t="str">
        <f t="shared" si="33"/>
        <v>1+0.0506675231872304i</v>
      </c>
      <c r="R59" s="160">
        <f t="shared" si="42"/>
        <v>1.0012827761955803</v>
      </c>
      <c r="S59" s="160">
        <f t="shared" si="43"/>
        <v>5.0624231996782322E-2</v>
      </c>
      <c r="T59" s="160" t="str">
        <f t="shared" si="34"/>
        <v>1+0.0000646010920637188i</v>
      </c>
      <c r="U59" s="160">
        <f t="shared" si="44"/>
        <v>1.0000000020866504</v>
      </c>
      <c r="V59" s="160">
        <f t="shared" si="45"/>
        <v>6.46010919738522E-5</v>
      </c>
      <c r="W59" s="98" t="str">
        <f t="shared" si="35"/>
        <v>1-0.000912647006994363i</v>
      </c>
      <c r="X59" s="160">
        <f t="shared" si="46"/>
        <v>1.000000416462193</v>
      </c>
      <c r="Y59" s="160">
        <f t="shared" si="47"/>
        <v>-9.1264675360578761E-4</v>
      </c>
      <c r="Z59" s="98" t="str">
        <f t="shared" si="36"/>
        <v>0.999999992006733+0.000272794788151406i</v>
      </c>
      <c r="AA59" s="160">
        <f t="shared" si="48"/>
        <v>1.0000000292152307</v>
      </c>
      <c r="AB59" s="160">
        <f t="shared" si="49"/>
        <v>2.7279478356507147E-4</v>
      </c>
      <c r="AC59" s="171" t="str">
        <f t="shared" si="50"/>
        <v>17.959403708882-0.930140961248592i</v>
      </c>
      <c r="AD59" s="190">
        <f t="shared" si="51"/>
        <v>25.097471916921229</v>
      </c>
      <c r="AE59" s="169">
        <f t="shared" si="52"/>
        <v>-2.9647742615241168</v>
      </c>
      <c r="AF59" s="98" t="str">
        <f t="shared" si="37"/>
        <v>-0.0000816326530612245</v>
      </c>
      <c r="AG59" s="98" t="str">
        <f t="shared" si="38"/>
        <v>3.79531415874348E-06i</v>
      </c>
      <c r="AH59" s="98">
        <f t="shared" si="53"/>
        <v>3.79531415874348E-6</v>
      </c>
      <c r="AI59" s="98">
        <f t="shared" si="54"/>
        <v>1.5707963267948966</v>
      </c>
      <c r="AJ59" s="98" t="str">
        <f t="shared" si="39"/>
        <v>1+0.00115663444620466i</v>
      </c>
      <c r="AK59" s="98">
        <f t="shared" si="55"/>
        <v>1.0000006689013974</v>
      </c>
      <c r="AL59" s="98">
        <f t="shared" si="56"/>
        <v>1.1566339304219699E-3</v>
      </c>
      <c r="AM59" s="98" t="str">
        <f t="shared" si="40"/>
        <v>1+0.0181206063238731i</v>
      </c>
      <c r="AN59" s="98">
        <f t="shared" si="57"/>
        <v>1.0001641647117461</v>
      </c>
      <c r="AO59" s="98">
        <f t="shared" si="58"/>
        <v>1.8118623375667005E-2</v>
      </c>
      <c r="AP59" s="168" t="str">
        <f t="shared" si="59"/>
        <v>-0.364874189672438+21.5092219953982i</v>
      </c>
      <c r="AQ59" s="98">
        <f t="shared" si="60"/>
        <v>26.653743602929097</v>
      </c>
      <c r="AR59" s="169">
        <f t="shared" si="61"/>
        <v>90.971850407357991</v>
      </c>
      <c r="AS59" s="168" t="str">
        <f t="shared" si="62"/>
        <v>13.4536855472305+386.632185708837i</v>
      </c>
      <c r="AT59" s="190">
        <f t="shared" si="63"/>
        <v>51.751215519850319</v>
      </c>
      <c r="AU59" s="169">
        <f t="shared" si="64"/>
        <v>88.007076145833878</v>
      </c>
      <c r="AV59" s="225"/>
      <c r="AX59">
        <f t="shared" si="65"/>
        <v>0</v>
      </c>
      <c r="AY59">
        <f t="shared" si="66"/>
        <v>0</v>
      </c>
    </row>
    <row r="60" spans="1:51" x14ac:dyDescent="0.25">
      <c r="N60" s="170">
        <v>42</v>
      </c>
      <c r="O60" s="199">
        <f t="shared" si="41"/>
        <v>26.302679918953825</v>
      </c>
      <c r="P60" s="189" t="str">
        <f t="shared" si="32"/>
        <v>18.0065359477124</v>
      </c>
      <c r="Q60" s="160" t="str">
        <f t="shared" si="33"/>
        <v>1+0.0518477214137155i</v>
      </c>
      <c r="R60" s="160">
        <f t="shared" si="42"/>
        <v>1.00134319102683</v>
      </c>
      <c r="S60" s="160">
        <f t="shared" si="43"/>
        <v>5.1801337427363543E-2</v>
      </c>
      <c r="T60" s="160" t="str">
        <f t="shared" si="34"/>
        <v>1+0.0000661058448024872i</v>
      </c>
      <c r="U60" s="160">
        <f t="shared" si="44"/>
        <v>1.0000000021849913</v>
      </c>
      <c r="V60" s="160">
        <f t="shared" si="45"/>
        <v>6.6105844706193398E-5</v>
      </c>
      <c r="W60" s="98" t="str">
        <f t="shared" si="35"/>
        <v>1-0.000933905286683334i</v>
      </c>
      <c r="X60" s="160">
        <f t="shared" si="46"/>
        <v>1.0000004360894472</v>
      </c>
      <c r="Y60" s="160">
        <f t="shared" si="47"/>
        <v>-9.3390501517259014E-4</v>
      </c>
      <c r="Z60" s="98" t="str">
        <f t="shared" si="36"/>
        <v>0.999999991630022+0.000279148995046046i</v>
      </c>
      <c r="AA60" s="160">
        <f t="shared" si="48"/>
        <v>1.0000000305921024</v>
      </c>
      <c r="AB60" s="160">
        <f t="shared" si="49"/>
        <v>2.791489901317E-4</v>
      </c>
      <c r="AC60" s="171" t="str">
        <f t="shared" si="50"/>
        <v>17.9571883900915-0.951691868198688i</v>
      </c>
      <c r="AD60" s="190">
        <f t="shared" si="51"/>
        <v>25.096948007832548</v>
      </c>
      <c r="AE60" s="169">
        <f t="shared" si="52"/>
        <v>-3.033713296643572</v>
      </c>
      <c r="AF60" s="98" t="str">
        <f t="shared" si="37"/>
        <v>-0.0000816326530612245</v>
      </c>
      <c r="AG60" s="98" t="str">
        <f t="shared" si="38"/>
        <v>3.88371838214613E-06i</v>
      </c>
      <c r="AH60" s="98">
        <f t="shared" si="53"/>
        <v>3.8837183821461299E-6</v>
      </c>
      <c r="AI60" s="98">
        <f t="shared" si="54"/>
        <v>1.5707963267948966</v>
      </c>
      <c r="AJ60" s="98" t="str">
        <f t="shared" si="39"/>
        <v>1+0.00118357592343176i</v>
      </c>
      <c r="AK60" s="98">
        <f t="shared" si="55"/>
        <v>1.0000007004257379</v>
      </c>
      <c r="AL60" s="98">
        <f t="shared" si="56"/>
        <v>1.1835753707606712E-3</v>
      </c>
      <c r="AM60" s="98" t="str">
        <f t="shared" si="40"/>
        <v>1+0.0185426894670977i</v>
      </c>
      <c r="AN60" s="98">
        <f t="shared" si="57"/>
        <v>1.0001719008913783</v>
      </c>
      <c r="AO60" s="98">
        <f t="shared" si="58"/>
        <v>1.8540564719536409E-2</v>
      </c>
      <c r="AP60" s="168" t="str">
        <f t="shared" si="59"/>
        <v>-0.364874166667618+21.0196317644128i</v>
      </c>
      <c r="AQ60" s="98">
        <f t="shared" si="60"/>
        <v>26.453810513425658</v>
      </c>
      <c r="AR60" s="169">
        <f t="shared" si="61"/>
        <v>90.994482234738371</v>
      </c>
      <c r="AS60" s="168" t="str">
        <f t="shared" si="62"/>
        <v>13.4520984731944+377.800735261245i</v>
      </c>
      <c r="AT60" s="190">
        <f t="shared" si="63"/>
        <v>51.550758521258196</v>
      </c>
      <c r="AU60" s="169">
        <f t="shared" si="64"/>
        <v>87.960768938094816</v>
      </c>
      <c r="AV60" s="225"/>
      <c r="AX60">
        <f t="shared" si="65"/>
        <v>0</v>
      </c>
      <c r="AY60">
        <f t="shared" si="66"/>
        <v>0</v>
      </c>
    </row>
    <row r="61" spans="1:51" x14ac:dyDescent="0.25">
      <c r="A61" s="98" t="s">
        <v>264</v>
      </c>
      <c r="B61" s="211">
        <f>-(RFBB*gm_ea)/(RFBB+RFBT)</f>
        <v>-8.163265306122449E-5</v>
      </c>
      <c r="C61" s="98" t="s">
        <v>180</v>
      </c>
      <c r="N61" s="170">
        <v>43</v>
      </c>
      <c r="O61" s="199">
        <f t="shared" si="41"/>
        <v>26.915348039269158</v>
      </c>
      <c r="P61" s="189" t="str">
        <f t="shared" si="32"/>
        <v>18.0065359477124</v>
      </c>
      <c r="Q61" s="160" t="str">
        <f t="shared" si="33"/>
        <v>1+0.0530554099883799i</v>
      </c>
      <c r="R61" s="160">
        <f t="shared" si="42"/>
        <v>1.0014064492148205</v>
      </c>
      <c r="S61" s="160">
        <f t="shared" si="43"/>
        <v>5.3005712420821617E-2</v>
      </c>
      <c r="T61" s="160" t="str">
        <f t="shared" si="34"/>
        <v>1+0.0000676456477351844i</v>
      </c>
      <c r="U61" s="160">
        <f t="shared" si="44"/>
        <v>1.0000000022879667</v>
      </c>
      <c r="V61" s="160">
        <f t="shared" si="45"/>
        <v>6.7645647632003737E-5</v>
      </c>
      <c r="W61" s="98" t="str">
        <f t="shared" si="35"/>
        <v>1-0.000955658735317007i</v>
      </c>
      <c r="X61" s="160">
        <f t="shared" si="46"/>
        <v>1.0000004566417049</v>
      </c>
      <c r="Y61" s="160">
        <f t="shared" si="47"/>
        <v>-9.5565844438801051E-4</v>
      </c>
      <c r="Z61" s="98" t="str">
        <f t="shared" si="36"/>
        <v>0.999999991235557+0.000285651210432835i</v>
      </c>
      <c r="AA61" s="160">
        <f t="shared" si="48"/>
        <v>1.0000000320338636</v>
      </c>
      <c r="AB61" s="160">
        <f t="shared" si="49"/>
        <v>2.856512051670184E-4</v>
      </c>
      <c r="AC61" s="171" t="str">
        <f t="shared" si="50"/>
        <v>17.9548692394764-0.973736575999304i</v>
      </c>
      <c r="AD61" s="190">
        <f t="shared" si="51"/>
        <v>25.096399475441601</v>
      </c>
      <c r="AE61" s="169">
        <f t="shared" si="52"/>
        <v>-3.1042496056738655</v>
      </c>
      <c r="AF61" s="98" t="str">
        <f t="shared" si="37"/>
        <v>-0.0000816326530612245</v>
      </c>
      <c r="AG61" s="98" t="str">
        <f t="shared" si="38"/>
        <v>3.97418180444208E-06i</v>
      </c>
      <c r="AH61" s="98">
        <f t="shared" si="53"/>
        <v>3.9741818044420797E-6</v>
      </c>
      <c r="AI61" s="98">
        <f t="shared" si="54"/>
        <v>1.5707963267948966</v>
      </c>
      <c r="AJ61" s="98" t="str">
        <f t="shared" si="39"/>
        <v>1+0.00121114494827995i</v>
      </c>
      <c r="AK61" s="98">
        <f t="shared" si="55"/>
        <v>1.0000007334357739</v>
      </c>
      <c r="AL61" s="98">
        <f t="shared" si="56"/>
        <v>1.2111443560822324E-3</v>
      </c>
      <c r="AM61" s="98" t="str">
        <f t="shared" si="40"/>
        <v>1+0.0189746041897192i</v>
      </c>
      <c r="AN61" s="98">
        <f t="shared" si="57"/>
        <v>1.0001800016017899</v>
      </c>
      <c r="AO61" s="98">
        <f t="shared" si="58"/>
        <v>1.8972327503817402E-2</v>
      </c>
      <c r="AP61" s="168" t="str">
        <f t="shared" si="59"/>
        <v>-0.364874142578617+20.5411864204141i</v>
      </c>
      <c r="AQ61" s="98">
        <f t="shared" si="60"/>
        <v>26.253880576202882</v>
      </c>
      <c r="AR61" s="169">
        <f t="shared" si="61"/>
        <v>91.017640833524098</v>
      </c>
      <c r="AS61" s="168" t="str">
        <f t="shared" si="62"/>
        <v>13.4504370131123+369.169607500509i</v>
      </c>
      <c r="AT61" s="190">
        <f t="shared" si="63"/>
        <v>51.350280051644489</v>
      </c>
      <c r="AU61" s="169">
        <f t="shared" si="64"/>
        <v>87.913391227850241</v>
      </c>
      <c r="AV61" s="225"/>
      <c r="AX61">
        <f t="shared" si="65"/>
        <v>0</v>
      </c>
      <c r="AY61">
        <f t="shared" si="66"/>
        <v>0</v>
      </c>
    </row>
    <row r="62" spans="1:51" x14ac:dyDescent="0.25">
      <c r="A62" s="98" t="s">
        <v>263</v>
      </c>
      <c r="B62" s="211">
        <f>1/(RCOMP*CCOMP)</f>
        <v>8912.6559714795003</v>
      </c>
      <c r="E62" s="98" t="s">
        <v>278</v>
      </c>
      <c r="N62" s="170">
        <v>44</v>
      </c>
      <c r="O62" s="199">
        <f t="shared" si="41"/>
        <v>27.542287033381665</v>
      </c>
      <c r="P62" s="189" t="str">
        <f t="shared" si="32"/>
        <v>18.0065359477124</v>
      </c>
      <c r="Q62" s="160" t="str">
        <f t="shared" si="33"/>
        <v>1+0.0542912292436916i</v>
      </c>
      <c r="R62" s="160">
        <f t="shared" si="42"/>
        <v>1.0014726843867441</v>
      </c>
      <c r="S62" s="160">
        <f t="shared" si="43"/>
        <v>5.4237981569040576E-2</v>
      </c>
      <c r="T62" s="160" t="str">
        <f t="shared" si="34"/>
        <v>1+0.0000692213172857068i</v>
      </c>
      <c r="U62" s="160">
        <f t="shared" si="44"/>
        <v>1.0000000023957953</v>
      </c>
      <c r="V62" s="160">
        <f t="shared" si="45"/>
        <v>6.9221317175146722E-5</v>
      </c>
      <c r="W62" s="98" t="str">
        <f t="shared" si="35"/>
        <v>1-0.000977918886861783i</v>
      </c>
      <c r="X62" s="160">
        <f t="shared" si="46"/>
        <v>1.0000004781625604</v>
      </c>
      <c r="Y62" s="160">
        <f t="shared" si="47"/>
        <v>-9.7791857512575489E-4</v>
      </c>
      <c r="Z62" s="98" t="str">
        <f t="shared" si="36"/>
        <v>0.999999990822502+0.000292304881872435i</v>
      </c>
      <c r="AA62" s="160">
        <f t="shared" si="48"/>
        <v>1.0000000335435735</v>
      </c>
      <c r="AB62" s="160">
        <f t="shared" si="49"/>
        <v>2.9230487623001076E-4</v>
      </c>
      <c r="AC62" s="171" t="str">
        <f t="shared" si="50"/>
        <v>17.9524414186308-0.996286005113438i</v>
      </c>
      <c r="AD62" s="190">
        <f t="shared" si="51"/>
        <v>25.095825165807618</v>
      </c>
      <c r="AE62" s="169">
        <f t="shared" si="52"/>
        <v>-3.1764197866891344</v>
      </c>
      <c r="AF62" s="98" t="str">
        <f t="shared" si="37"/>
        <v>-0.0000816326530612245</v>
      </c>
      <c r="AG62" s="98" t="str">
        <f t="shared" si="38"/>
        <v>4.06675239053526E-06i</v>
      </c>
      <c r="AH62" s="98">
        <f t="shared" si="53"/>
        <v>4.0667523905352597E-6</v>
      </c>
      <c r="AI62" s="98">
        <f t="shared" si="54"/>
        <v>1.5707963267948966</v>
      </c>
      <c r="AJ62" s="98" t="str">
        <f t="shared" si="39"/>
        <v>1+0.00123935613821111i</v>
      </c>
      <c r="AK62" s="98">
        <f t="shared" si="55"/>
        <v>1.0000007680015237</v>
      </c>
      <c r="AL62" s="98">
        <f t="shared" si="56"/>
        <v>1.2393555036598492E-3</v>
      </c>
      <c r="AM62" s="98" t="str">
        <f t="shared" si="40"/>
        <v>1+0.0194165794986408i</v>
      </c>
      <c r="AN62" s="98">
        <f t="shared" si="57"/>
        <v>1.0001884840166013</v>
      </c>
      <c r="AO62" s="98">
        <f t="shared" si="58"/>
        <v>1.9414140010573476E-2</v>
      </c>
      <c r="AP62" s="168" t="str">
        <f t="shared" si="59"/>
        <v>-0.364874117354342+20.0736322853475i</v>
      </c>
      <c r="AQ62" s="98">
        <f t="shared" si="60"/>
        <v>26.053953939715718</v>
      </c>
      <c r="AR62" s="169">
        <f t="shared" si="61"/>
        <v>91.041338445805906</v>
      </c>
      <c r="AS62" s="168" t="str">
        <f t="shared" si="62"/>
        <v>13.4486977007065+360.734226638585i</v>
      </c>
      <c r="AT62" s="190">
        <f t="shared" si="63"/>
        <v>51.149779105523336</v>
      </c>
      <c r="AU62" s="169">
        <f t="shared" si="64"/>
        <v>87.864918659116782</v>
      </c>
      <c r="AV62" s="225"/>
      <c r="AX62">
        <f t="shared" si="65"/>
        <v>0</v>
      </c>
      <c r="AY62">
        <f t="shared" si="66"/>
        <v>0</v>
      </c>
    </row>
    <row r="63" spans="1:51" x14ac:dyDescent="0.25">
      <c r="A63" s="98" t="s">
        <v>268</v>
      </c>
      <c r="B63" s="211">
        <f>(CCOMP+CHF)</f>
        <v>2.3500000000000002E-8</v>
      </c>
      <c r="E63" s="98" t="s">
        <v>279</v>
      </c>
      <c r="N63" s="170">
        <v>45</v>
      </c>
      <c r="O63" s="199">
        <f t="shared" si="41"/>
        <v>28.183829312644548</v>
      </c>
      <c r="P63" s="189" t="str">
        <f t="shared" si="32"/>
        <v>18.0065359477124</v>
      </c>
      <c r="Q63" s="160" t="str">
        <f t="shared" si="33"/>
        <v>1+0.0555558344273776i</v>
      </c>
      <c r="R63" s="160">
        <f t="shared" si="42"/>
        <v>1.0015420364312833</v>
      </c>
      <c r="S63" s="160">
        <f t="shared" si="43"/>
        <v>5.5498783259467437E-2</v>
      </c>
      <c r="T63" s="160" t="str">
        <f t="shared" si="34"/>
        <v>1+0.0000708336888949064i</v>
      </c>
      <c r="U63" s="160">
        <f t="shared" si="44"/>
        <v>1.0000000025087057</v>
      </c>
      <c r="V63" s="160">
        <f t="shared" si="45"/>
        <v>7.0833688776439154E-5</v>
      </c>
      <c r="W63" s="98" t="str">
        <f t="shared" si="35"/>
        <v>1-0.00100069754394466i</v>
      </c>
      <c r="X63" s="160">
        <f t="shared" si="46"/>
        <v>1.0000005006976618</v>
      </c>
      <c r="Y63" s="160">
        <f t="shared" si="47"/>
        <v>-1.0006972099134968E-3</v>
      </c>
      <c r="Z63" s="98" t="str">
        <f t="shared" si="36"/>
        <v>0.99999999038998+0.000299113537229517i</v>
      </c>
      <c r="AA63" s="160">
        <f t="shared" si="48"/>
        <v>1.0000000351244336</v>
      </c>
      <c r="AB63" s="160">
        <f t="shared" si="49"/>
        <v>2.9911353118355048E-4</v>
      </c>
      <c r="AC63" s="171" t="str">
        <f t="shared" si="50"/>
        <v>17.9498998663969-1.01935128922484i</v>
      </c>
      <c r="AD63" s="190">
        <f t="shared" si="51"/>
        <v>25.095223871232704</v>
      </c>
      <c r="AE63" s="169">
        <f t="shared" si="52"/>
        <v>-3.2502612470951751</v>
      </c>
      <c r="AF63" s="98" t="str">
        <f t="shared" si="37"/>
        <v>-0.0000816326530612245</v>
      </c>
      <c r="AG63" s="98" t="str">
        <f t="shared" si="38"/>
        <v>4.16147922257574E-06i</v>
      </c>
      <c r="AH63" s="98">
        <f t="shared" si="53"/>
        <v>4.1614792225757403E-6</v>
      </c>
      <c r="AI63" s="98">
        <f t="shared" si="54"/>
        <v>1.5707963267948966</v>
      </c>
      <c r="AJ63" s="98" t="str">
        <f t="shared" si="39"/>
        <v>1+0.00126822445117156i</v>
      </c>
      <c r="AK63" s="98">
        <f t="shared" si="55"/>
        <v>1.000000804196306</v>
      </c>
      <c r="AL63" s="98">
        <f t="shared" si="56"/>
        <v>1.2682237712376638E-3</v>
      </c>
      <c r="AM63" s="98" t="str">
        <f t="shared" si="40"/>
        <v>1+0.0198688497350212i</v>
      </c>
      <c r="AN63" s="98">
        <f t="shared" si="57"/>
        <v>1.0001973661182042</v>
      </c>
      <c r="AO63" s="98">
        <f t="shared" si="58"/>
        <v>1.9866235804319423E-2</v>
      </c>
      <c r="AP63" s="168" t="str">
        <f t="shared" si="59"/>
        <v>-0.364874090941284+19.6167214558216i</v>
      </c>
      <c r="AQ63" s="98">
        <f t="shared" si="60"/>
        <v>25.85403075940528</v>
      </c>
      <c r="AR63" s="169">
        <f t="shared" si="61"/>
        <v>91.065587596829104</v>
      </c>
      <c r="AS63" s="168" t="str">
        <f t="shared" si="62"/>
        <v>13.4468769101177+352.490120714003i</v>
      </c>
      <c r="AT63" s="190">
        <f t="shared" si="63"/>
        <v>50.949254630637981</v>
      </c>
      <c r="AU63" s="169">
        <f t="shared" si="64"/>
        <v>87.815326349733937</v>
      </c>
      <c r="AV63" s="225"/>
      <c r="AX63">
        <f t="shared" si="65"/>
        <v>0</v>
      </c>
      <c r="AY63">
        <f t="shared" si="66"/>
        <v>0</v>
      </c>
    </row>
    <row r="64" spans="1:51" x14ac:dyDescent="0.25">
      <c r="A64" s="98" t="s">
        <v>269</v>
      </c>
      <c r="B64" s="211">
        <f>(CCOMP+CHF)/(RCOMP*CHF*CCOMP)</f>
        <v>139631.61021984552</v>
      </c>
      <c r="E64" s="98" t="s">
        <v>280</v>
      </c>
      <c r="N64" s="170">
        <v>46</v>
      </c>
      <c r="O64" s="199">
        <f t="shared" si="41"/>
        <v>28.840315031266066</v>
      </c>
      <c r="P64" s="189" t="str">
        <f t="shared" si="32"/>
        <v>18.0065359477124</v>
      </c>
      <c r="Q64" s="160" t="str">
        <f t="shared" si="33"/>
        <v>1+0.0568498960498453i</v>
      </c>
      <c r="R64" s="160">
        <f t="shared" si="42"/>
        <v>1.0016146517902373</v>
      </c>
      <c r="S64" s="160">
        <f t="shared" si="43"/>
        <v>5.6788769943189592E-2</v>
      </c>
      <c r="T64" s="160" t="str">
        <f t="shared" si="34"/>
        <v>1+0.0000724836174635528i</v>
      </c>
      <c r="U64" s="160">
        <f t="shared" si="44"/>
        <v>1.0000000026269373</v>
      </c>
      <c r="V64" s="160">
        <f t="shared" si="45"/>
        <v>7.248361733661285E-5</v>
      </c>
      <c r="W64" s="98" t="str">
        <f t="shared" si="35"/>
        <v>1-0.00102400678411113i</v>
      </c>
      <c r="X64" s="160">
        <f t="shared" si="46"/>
        <v>1.0000005242948096</v>
      </c>
      <c r="Y64" s="160">
        <f t="shared" si="47"/>
        <v>-1.0240064261903001E-3</v>
      </c>
      <c r="Z64" s="98" t="str">
        <f t="shared" si="36"/>
        <v>0.999999989937074+0.000306080786543273i</v>
      </c>
      <c r="AA64" s="160">
        <f t="shared" si="48"/>
        <v>1.0000000367797974</v>
      </c>
      <c r="AB64" s="160">
        <f t="shared" si="49"/>
        <v>3.0608078006490305E-4</v>
      </c>
      <c r="AC64" s="171" t="str">
        <f t="shared" si="50"/>
        <v>17.9472392888698-1.04294377731597i</v>
      </c>
      <c r="AD64" s="190">
        <f t="shared" si="51"/>
        <v>25.094594327787899</v>
      </c>
      <c r="AE64" s="169">
        <f t="shared" si="52"/>
        <v>-3.3258122194296993</v>
      </c>
      <c r="AF64" s="98" t="str">
        <f t="shared" si="37"/>
        <v>-0.0000816326530612245</v>
      </c>
      <c r="AG64" s="98" t="str">
        <f t="shared" si="38"/>
        <v>4.25841252598372E-06i</v>
      </c>
      <c r="AH64" s="98">
        <f t="shared" si="53"/>
        <v>4.2584125259837197E-6</v>
      </c>
      <c r="AI64" s="98">
        <f t="shared" si="54"/>
        <v>1.5707963267948966</v>
      </c>
      <c r="AJ64" s="98" t="str">
        <f t="shared" si="39"/>
        <v>1+0.00129776519352297i</v>
      </c>
      <c r="AK64" s="98">
        <f t="shared" si="55"/>
        <v>1.0000008420968942</v>
      </c>
      <c r="AL64" s="98">
        <f t="shared" si="56"/>
        <v>1.297764464960707E-3</v>
      </c>
      <c r="AM64" s="98" t="str">
        <f t="shared" si="40"/>
        <v>1+0.0203316546985266i</v>
      </c>
      <c r="AN64" s="98">
        <f t="shared" si="57"/>
        <v>1.0002066667358203</v>
      </c>
      <c r="AO64" s="98">
        <f t="shared" si="58"/>
        <v>2.0328853852572631E-2</v>
      </c>
      <c r="AP64" s="168" t="str">
        <f t="shared" si="59"/>
        <v>-0.364874063283423+19.1702116716664i</v>
      </c>
      <c r="AQ64" s="98">
        <f t="shared" si="60"/>
        <v>25.654111198026982</v>
      </c>
      <c r="AR64" s="169">
        <f t="shared" si="61"/>
        <v>91.090401101446361</v>
      </c>
      <c r="AS64" s="168" t="str">
        <f t="shared" si="62"/>
        <v>13.4449708487446+344.432919223487i</v>
      </c>
      <c r="AT64" s="190">
        <f t="shared" si="63"/>
        <v>50.74870552581487</v>
      </c>
      <c r="AU64" s="169">
        <f t="shared" si="64"/>
        <v>87.764588882016682</v>
      </c>
      <c r="AV64" s="225"/>
      <c r="AX64">
        <f t="shared" si="65"/>
        <v>0</v>
      </c>
      <c r="AY64">
        <f t="shared" si="66"/>
        <v>0</v>
      </c>
    </row>
    <row r="65" spans="1:51" x14ac:dyDescent="0.25">
      <c r="N65" s="170">
        <v>47</v>
      </c>
      <c r="O65" s="199">
        <f t="shared" si="41"/>
        <v>29.512092266663863</v>
      </c>
      <c r="P65" s="189" t="str">
        <f t="shared" si="32"/>
        <v>18.0065359477124</v>
      </c>
      <c r="Q65" s="160" t="str">
        <f t="shared" si="33"/>
        <v>1+0.058174100239696i</v>
      </c>
      <c r="R65" s="160">
        <f t="shared" si="42"/>
        <v>1.0016906837635549</v>
      </c>
      <c r="S65" s="160">
        <f t="shared" si="43"/>
        <v>5.8108608405518784E-2</v>
      </c>
      <c r="T65" s="160" t="str">
        <f t="shared" si="34"/>
        <v>1+0.0000741719778056124i</v>
      </c>
      <c r="U65" s="160">
        <f t="shared" si="44"/>
        <v>1.0000000027507412</v>
      </c>
      <c r="V65" s="160">
        <f t="shared" si="45"/>
        <v>7.4171977669593793E-5</v>
      </c>
      <c r="W65" s="98" t="str">
        <f t="shared" si="35"/>
        <v>1-0.00104785896622887i</v>
      </c>
      <c r="X65" s="160">
        <f t="shared" si="46"/>
        <v>1.0000005490040558</v>
      </c>
      <c r="Y65" s="160">
        <f t="shared" si="47"/>
        <v>-1.0478585827098023E-3</v>
      </c>
      <c r="Z65" s="98" t="str">
        <f t="shared" si="36"/>
        <v>0.999999989462822+0.000313210323941512i</v>
      </c>
      <c r="AA65" s="160">
        <f t="shared" si="48"/>
        <v>1.0000000385131749</v>
      </c>
      <c r="AB65" s="160">
        <f t="shared" si="49"/>
        <v>3.1321031699981384E-4</v>
      </c>
      <c r="AC65" s="171" t="str">
        <f t="shared" si="50"/>
        <v>17.944454148981-1.06707503559425i</v>
      </c>
      <c r="AD65" s="190">
        <f t="shared" si="51"/>
        <v>25.093935212729292</v>
      </c>
      <c r="AE65" s="169">
        <f t="shared" si="52"/>
        <v>-3.403111777315901</v>
      </c>
      <c r="AF65" s="98" t="str">
        <f t="shared" si="37"/>
        <v>-0.0000816326530612245</v>
      </c>
      <c r="AG65" s="98" t="str">
        <f t="shared" si="38"/>
        <v>4.35760369607972E-06i</v>
      </c>
      <c r="AH65" s="98">
        <f t="shared" si="53"/>
        <v>4.3576036960797196E-6</v>
      </c>
      <c r="AI65" s="98">
        <f t="shared" si="54"/>
        <v>1.5707963267948966</v>
      </c>
      <c r="AJ65" s="98" t="str">
        <f t="shared" si="39"/>
        <v>1+0.00132799402815793i</v>
      </c>
      <c r="AK65" s="98">
        <f t="shared" si="55"/>
        <v>1.0000008817836807</v>
      </c>
      <c r="AL65" s="98">
        <f t="shared" si="56"/>
        <v>1.3279932474894373E-3</v>
      </c>
      <c r="AM65" s="98" t="str">
        <f t="shared" si="40"/>
        <v>1+0.0208052397744743i</v>
      </c>
      <c r="AN65" s="98">
        <f t="shared" si="57"/>
        <v>1.000216405585348</v>
      </c>
      <c r="AO65" s="98">
        <f t="shared" si="58"/>
        <v>2.0802238649031971E-2</v>
      </c>
      <c r="AP65" s="168" t="str">
        <f t="shared" si="59"/>
        <v>-0.364874034322092+18.7338661874838i</v>
      </c>
      <c r="AQ65" s="98">
        <f t="shared" si="60"/>
        <v>25.454195425994218</v>
      </c>
      <c r="AR65" s="169">
        <f t="shared" si="61"/>
        <v>91.115792070710441</v>
      </c>
      <c r="AS65" s="168" t="str">
        <f t="shared" si="62"/>
        <v>13.4429755497807+336.55835080761i</v>
      </c>
      <c r="AT65" s="190">
        <f t="shared" si="63"/>
        <v>50.548130638723507</v>
      </c>
      <c r="AU65" s="169">
        <f t="shared" si="64"/>
        <v>87.712680293394541</v>
      </c>
      <c r="AV65" s="225"/>
      <c r="AX65">
        <f t="shared" si="65"/>
        <v>0</v>
      </c>
      <c r="AY65">
        <f t="shared" si="66"/>
        <v>0</v>
      </c>
    </row>
    <row r="66" spans="1:51" x14ac:dyDescent="0.25">
      <c r="N66" s="170">
        <v>48</v>
      </c>
      <c r="O66" s="199">
        <f t="shared" si="41"/>
        <v>30.199517204020164</v>
      </c>
      <c r="P66" s="189" t="str">
        <f t="shared" si="32"/>
        <v>18.0065359477124</v>
      </c>
      <c r="Q66" s="160" t="str">
        <f t="shared" si="33"/>
        <v>1+0.0595291491075191i</v>
      </c>
      <c r="R66" s="160">
        <f t="shared" si="42"/>
        <v>1.0017702928283836</v>
      </c>
      <c r="S66" s="160">
        <f t="shared" si="43"/>
        <v>5.9458980038881712E-2</v>
      </c>
      <c r="T66" s="160" t="str">
        <f t="shared" si="34"/>
        <v>1+0.0000758996651120868i</v>
      </c>
      <c r="U66" s="160">
        <f t="shared" si="44"/>
        <v>1.0000000028803795</v>
      </c>
      <c r="V66" s="160">
        <f t="shared" si="45"/>
        <v>7.5899664966340237E-5</v>
      </c>
      <c r="W66" s="98" t="str">
        <f t="shared" si="35"/>
        <v>1-0.00107226673704056i</v>
      </c>
      <c r="X66" s="160">
        <f t="shared" si="46"/>
        <v>1.0000005748778125</v>
      </c>
      <c r="Y66" s="160">
        <f t="shared" si="47"/>
        <v>-1.072266326092488E-3</v>
      </c>
      <c r="Z66" s="98" t="str">
        <f t="shared" si="36"/>
        <v>0.99999998896622+0.000320505929599334i</v>
      </c>
      <c r="AA66" s="160">
        <f t="shared" si="48"/>
        <v>1.0000000403282447</v>
      </c>
      <c r="AB66" s="160">
        <f t="shared" si="49"/>
        <v>3.205059221611704E-4</v>
      </c>
      <c r="AC66" s="171" t="str">
        <f t="shared" si="50"/>
        <v>17.9415386556417-1.09175684924977i</v>
      </c>
      <c r="AD66" s="190">
        <f t="shared" si="51"/>
        <v>25.09324514179788</v>
      </c>
      <c r="AE66" s="169">
        <f t="shared" si="52"/>
        <v>-3.4821998515593777</v>
      </c>
      <c r="AF66" s="98" t="str">
        <f t="shared" si="37"/>
        <v>-0.0000816326530612245</v>
      </c>
      <c r="AG66" s="98" t="str">
        <f t="shared" si="38"/>
        <v>4.45910532533509E-06i</v>
      </c>
      <c r="AH66" s="98">
        <f t="shared" si="53"/>
        <v>4.4591053253350904E-6</v>
      </c>
      <c r="AI66" s="98">
        <f t="shared" si="54"/>
        <v>1.5707963267948966</v>
      </c>
      <c r="AJ66" s="98" t="str">
        <f t="shared" si="39"/>
        <v>1+0.0013589269828047i</v>
      </c>
      <c r="AK66" s="98">
        <f t="shared" si="55"/>
        <v>1.000000923340846</v>
      </c>
      <c r="AL66" s="98">
        <f t="shared" si="56"/>
        <v>1.3589261463033805E-3</v>
      </c>
      <c r="AM66" s="98" t="str">
        <f t="shared" si="40"/>
        <v>1+0.0212898560639403i</v>
      </c>
      <c r="AN66" s="98">
        <f t="shared" si="57"/>
        <v>1.0002266033110814</v>
      </c>
      <c r="AO66" s="98">
        <f t="shared" si="58"/>
        <v>2.1286640339437609E-2</v>
      </c>
      <c r="AP66" s="168" t="str">
        <f t="shared" si="59"/>
        <v>-0.364874003995857+18.3074536471223i</v>
      </c>
      <c r="AQ66" s="98">
        <f t="shared" si="60"/>
        <v>25.254283621738175</v>
      </c>
      <c r="AR66" s="169">
        <f t="shared" si="61"/>
        <v>91.141773918609545</v>
      </c>
      <c r="AS66" s="168" t="str">
        <f t="shared" si="62"/>
        <v>13.440886864438+328.862240989189i</v>
      </c>
      <c r="AT66" s="190">
        <f t="shared" si="63"/>
        <v>50.347528763536047</v>
      </c>
      <c r="AU66" s="169">
        <f t="shared" si="64"/>
        <v>87.659574067050158</v>
      </c>
      <c r="AV66" s="225"/>
      <c r="AX66">
        <f t="shared" si="65"/>
        <v>0</v>
      </c>
      <c r="AY66">
        <f t="shared" si="66"/>
        <v>0</v>
      </c>
    </row>
    <row r="67" spans="1:51" x14ac:dyDescent="0.25">
      <c r="N67" s="170">
        <v>49</v>
      </c>
      <c r="O67" s="199">
        <f t="shared" si="41"/>
        <v>30.902954325135919</v>
      </c>
      <c r="P67" s="189" t="str">
        <f t="shared" si="32"/>
        <v>18.0065359477124</v>
      </c>
      <c r="Q67" s="160" t="str">
        <f t="shared" si="33"/>
        <v>1+0.0609157611181603i</v>
      </c>
      <c r="R67" s="160">
        <f t="shared" si="42"/>
        <v>1.0018536469727526</v>
      </c>
      <c r="S67" s="160">
        <f t="shared" si="43"/>
        <v>6.0840581117795223E-2</v>
      </c>
      <c r="T67" s="160" t="str">
        <f t="shared" si="34"/>
        <v>1+0.0000776675954256544i</v>
      </c>
      <c r="U67" s="160">
        <f t="shared" si="44"/>
        <v>1.0000000030161276</v>
      </c>
      <c r="V67" s="160">
        <f t="shared" si="45"/>
        <v>7.766759526948415E-5</v>
      </c>
      <c r="W67" s="98" t="str">
        <f t="shared" si="35"/>
        <v>1-0.00109724303786935i</v>
      </c>
      <c r="X67" s="160">
        <f t="shared" si="46"/>
        <v>1.0000006019709609</v>
      </c>
      <c r="Y67" s="160">
        <f t="shared" si="47"/>
        <v>-1.0972425975305717E-3</v>
      </c>
      <c r="Z67" s="98" t="str">
        <f t="shared" si="36"/>
        <v>0.999999988446214+0.000327971471743427i</v>
      </c>
      <c r="AA67" s="160">
        <f t="shared" si="48"/>
        <v>1.0000000422288562</v>
      </c>
      <c r="AB67" s="160">
        <f t="shared" si="49"/>
        <v>3.2797146377329118E-4</v>
      </c>
      <c r="AC67" s="171" t="str">
        <f t="shared" si="50"/>
        <v>17.9384867524326-1.11700122402583i</v>
      </c>
      <c r="AD67" s="190">
        <f t="shared" si="51"/>
        <v>25.092522666399425</v>
      </c>
      <c r="AE67" s="169">
        <f t="shared" si="52"/>
        <v>-3.5631172463745253</v>
      </c>
      <c r="AF67" s="98" t="str">
        <f t="shared" si="37"/>
        <v>-0.0000816326530612245</v>
      </c>
      <c r="AG67" s="98" t="str">
        <f t="shared" si="38"/>
        <v>4.56297123125719E-06i</v>
      </c>
      <c r="AH67" s="98">
        <f t="shared" si="53"/>
        <v>4.5629712312571902E-6</v>
      </c>
      <c r="AI67" s="98">
        <f t="shared" si="54"/>
        <v>1.5707963267948966</v>
      </c>
      <c r="AJ67" s="98" t="str">
        <f t="shared" si="39"/>
        <v>1+0.00139058045852528i</v>
      </c>
      <c r="AK67" s="98">
        <f t="shared" si="55"/>
        <v>1.0000009668565384</v>
      </c>
      <c r="AL67" s="98">
        <f t="shared" si="56"/>
        <v>1.3905795621980143E-3</v>
      </c>
      <c r="AM67" s="98" t="str">
        <f t="shared" si="40"/>
        <v>1+0.0217857605168961i</v>
      </c>
      <c r="AN67" s="98">
        <f t="shared" si="57"/>
        <v>1.0002372815293876</v>
      </c>
      <c r="AO67" s="98">
        <f t="shared" si="58"/>
        <v>2.1782314850156994E-2</v>
      </c>
      <c r="AP67" s="168" t="str">
        <f t="shared" si="59"/>
        <v>-0.3648739722404+17.8907479610084i</v>
      </c>
      <c r="AQ67" s="98">
        <f t="shared" si="60"/>
        <v>25.054375972084134</v>
      </c>
      <c r="AR67" s="169">
        <f t="shared" si="61"/>
        <v>91.168360368948044</v>
      </c>
      <c r="AS67" s="168" t="str">
        <f t="shared" si="62"/>
        <v>13.4387004538421+321.340509963267i</v>
      </c>
      <c r="AT67" s="190">
        <f t="shared" si="63"/>
        <v>50.146898638483549</v>
      </c>
      <c r="AU67" s="169">
        <f t="shared" si="64"/>
        <v>87.605243122573512</v>
      </c>
      <c r="AV67" s="225"/>
      <c r="AX67">
        <f t="shared" si="65"/>
        <v>0</v>
      </c>
      <c r="AY67">
        <f t="shared" si="66"/>
        <v>0</v>
      </c>
    </row>
    <row r="68" spans="1:51" x14ac:dyDescent="0.25">
      <c r="A68" s="214" t="str">
        <f>"Crossover Frequency = "&amp;B68</f>
        <v>Crossover Frequency = 3.7 kHz</v>
      </c>
      <c r="B68" t="str">
        <f>ROUND(D68,1)&amp;" kHz"</f>
        <v>3.7 kHz</v>
      </c>
      <c r="C68" s="215"/>
      <c r="D68" s="216">
        <f>AY12</f>
        <v>3.7153522909717238</v>
      </c>
      <c r="N68" s="170">
        <v>50</v>
      </c>
      <c r="O68" s="199">
        <f t="shared" si="41"/>
        <v>31.622776601683803</v>
      </c>
      <c r="P68" s="189" t="str">
        <f t="shared" si="32"/>
        <v>18.0065359477124</v>
      </c>
      <c r="Q68" s="160" t="str">
        <f t="shared" si="33"/>
        <v>1+0.0623346714716618i</v>
      </c>
      <c r="R68" s="160">
        <f t="shared" si="42"/>
        <v>1.0019409220445485</v>
      </c>
      <c r="S68" s="160">
        <f t="shared" si="43"/>
        <v>6.2254123075680762E-2</v>
      </c>
      <c r="T68" s="160" t="str">
        <f t="shared" si="34"/>
        <v>1+0.0000794767061263688i</v>
      </c>
      <c r="U68" s="160">
        <f t="shared" si="44"/>
        <v>1.0000000031582734</v>
      </c>
      <c r="V68" s="160">
        <f t="shared" si="45"/>
        <v>7.9476705959029349E-5</v>
      </c>
      <c r="W68" s="98" t="str">
        <f t="shared" si="35"/>
        <v>1-0.00112280111148055i</v>
      </c>
      <c r="X68" s="160">
        <f t="shared" si="46"/>
        <v>1.0000006303409692</v>
      </c>
      <c r="Y68" s="160">
        <f t="shared" si="47"/>
        <v>-1.1228006396490642E-3</v>
      </c>
      <c r="Z68" s="98" t="str">
        <f t="shared" si="36"/>
        <v>0.999999987901701+0.000335610908703054i</v>
      </c>
      <c r="AA68" s="160">
        <f t="shared" si="48"/>
        <v>1.0000000442190411</v>
      </c>
      <c r="AB68" s="160">
        <f t="shared" si="49"/>
        <v>3.3561090016289959E-4</v>
      </c>
      <c r="AC68" s="171" t="str">
        <f t="shared" si="50"/>
        <v>17.9352921058233-1.14282038758301i</v>
      </c>
      <c r="AD68" s="190">
        <f t="shared" si="51"/>
        <v>25.091766270658962</v>
      </c>
      <c r="AE68" s="169">
        <f t="shared" si="52"/>
        <v>-3.6459056557278449</v>
      </c>
      <c r="AF68" s="98" t="str">
        <f t="shared" si="37"/>
        <v>-0.0000816326530612245</v>
      </c>
      <c r="AG68" s="98" t="str">
        <f t="shared" si="38"/>
        <v>4.66925648492417E-06i</v>
      </c>
      <c r="AH68" s="98">
        <f t="shared" si="53"/>
        <v>4.6692564849241702E-6</v>
      </c>
      <c r="AI68" s="98">
        <f t="shared" si="54"/>
        <v>1.5707963267948966</v>
      </c>
      <c r="AJ68" s="98" t="str">
        <f t="shared" si="39"/>
        <v>1+0.00142297123841147i</v>
      </c>
      <c r="AK68" s="98">
        <f t="shared" si="55"/>
        <v>1.0000010124230601</v>
      </c>
      <c r="AL68" s="98">
        <f t="shared" si="56"/>
        <v>1.4229702779795534E-3</v>
      </c>
      <c r="AM68" s="98" t="str">
        <f t="shared" si="40"/>
        <v>1+0.0222932160684465i</v>
      </c>
      <c r="AN68" s="98">
        <f t="shared" si="57"/>
        <v>1.0002484628744372</v>
      </c>
      <c r="AO68" s="98">
        <f t="shared" si="58"/>
        <v>2.2289524019547046E-2</v>
      </c>
      <c r="AP68" s="168" t="str">
        <f t="shared" si="59"/>
        <v>-0.364873938988358+17.4835281862714i</v>
      </c>
      <c r="AQ68" s="98">
        <f t="shared" si="60"/>
        <v>24.854472672645898</v>
      </c>
      <c r="AR68" s="169">
        <f t="shared" si="61"/>
        <v>91.195565462374731</v>
      </c>
      <c r="AS68" s="168" t="str">
        <f t="shared" si="62"/>
        <v>13.4364117805946+313.989170437546i</v>
      </c>
      <c r="AT68" s="190">
        <f t="shared" si="63"/>
        <v>49.946238943304849</v>
      </c>
      <c r="AU68" s="169">
        <f t="shared" si="64"/>
        <v>87.549659806646886</v>
      </c>
      <c r="AV68" s="225"/>
      <c r="AX68">
        <f t="shared" si="65"/>
        <v>0</v>
      </c>
      <c r="AY68">
        <f t="shared" si="66"/>
        <v>0</v>
      </c>
    </row>
    <row r="69" spans="1:51" x14ac:dyDescent="0.25">
      <c r="A69" s="214" t="str">
        <f>"Phase Margin = "&amp;B69</f>
        <v>Phase Margin = 58°</v>
      </c>
      <c r="B69" s="217" t="str">
        <f>ROUND(D69,0)&amp;"°"</f>
        <v>58°</v>
      </c>
      <c r="C69" s="218"/>
      <c r="D69" s="23">
        <f>AY14</f>
        <v>58.149240306580936</v>
      </c>
      <c r="N69" s="170">
        <v>51</v>
      </c>
      <c r="O69" s="199">
        <f t="shared" si="41"/>
        <v>32.359365692962832</v>
      </c>
      <c r="P69" s="189" t="str">
        <f t="shared" si="32"/>
        <v>18.0065359477124</v>
      </c>
      <c r="Q69" s="160" t="str">
        <f t="shared" si="33"/>
        <v>1+0.0637866324930745i</v>
      </c>
      <c r="R69" s="160">
        <f t="shared" si="42"/>
        <v>1.002032302116457</v>
      </c>
      <c r="S69" s="160">
        <f t="shared" si="43"/>
        <v>6.3700332783244454E-2</v>
      </c>
      <c r="T69" s="160" t="str">
        <f t="shared" si="34"/>
        <v>1+0.00008132795642867i</v>
      </c>
      <c r="U69" s="160">
        <f t="shared" si="44"/>
        <v>1.0000000033071181</v>
      </c>
      <c r="V69" s="160">
        <f t="shared" si="45"/>
        <v>8.132795624936256E-5</v>
      </c>
      <c r="W69" s="98" t="str">
        <f t="shared" si="35"/>
        <v>1-0.00114895450910309i</v>
      </c>
      <c r="X69" s="160">
        <f t="shared" si="46"/>
        <v>1.000000660048014</v>
      </c>
      <c r="Y69" s="160">
        <f t="shared" si="47"/>
        <v>-1.1489540035265621E-3</v>
      </c>
      <c r="Z69" s="98" t="str">
        <f t="shared" si="36"/>
        <v>0.999999987331526+0.000343428291008811i</v>
      </c>
      <c r="AA69" s="160">
        <f t="shared" si="48"/>
        <v>1.0000000463030205</v>
      </c>
      <c r="AB69" s="160">
        <f t="shared" si="49"/>
        <v>3.434282818578706E-4</v>
      </c>
      <c r="AC69" s="171" t="str">
        <f t="shared" si="50"/>
        <v>17.9319480929039-1.16922679063527i</v>
      </c>
      <c r="AD69" s="190">
        <f t="shared" si="51"/>
        <v>25.090974368344156</v>
      </c>
      <c r="AE69" s="169">
        <f t="shared" si="52"/>
        <v>-3.7306076797818433</v>
      </c>
      <c r="AF69" s="98" t="str">
        <f t="shared" si="37"/>
        <v>-0.0000816326530612245</v>
      </c>
      <c r="AG69" s="98" t="str">
        <f t="shared" si="38"/>
        <v>4.77801744018437E-06i</v>
      </c>
      <c r="AH69" s="98">
        <f t="shared" si="53"/>
        <v>4.7780174401843698E-6</v>
      </c>
      <c r="AI69" s="98">
        <f t="shared" si="54"/>
        <v>1.5707963267948966</v>
      </c>
      <c r="AJ69" s="98" t="str">
        <f t="shared" si="39"/>
        <v>1+0.00145611649648352i</v>
      </c>
      <c r="AK69" s="98">
        <f t="shared" si="55"/>
        <v>1.0000010601370637</v>
      </c>
      <c r="AL69" s="98">
        <f t="shared" si="56"/>
        <v>1.456115467362239E-3</v>
      </c>
      <c r="AM69" s="98" t="str">
        <f t="shared" si="40"/>
        <v>1+0.0228124917782419i</v>
      </c>
      <c r="AN69" s="98">
        <f t="shared" si="57"/>
        <v>1.0002601710460797</v>
      </c>
      <c r="AO69" s="98">
        <f t="shared" si="58"/>
        <v>2.2808535732143035E-2</v>
      </c>
      <c r="AP69" s="168" t="str">
        <f t="shared" si="59"/>
        <v>-0.364873904169202+17.085578409596i</v>
      </c>
      <c r="AQ69" s="98">
        <f t="shared" si="60"/>
        <v>24.654573928238062</v>
      </c>
      <c r="AR69" s="169">
        <f t="shared" si="61"/>
        <v>91.223403563561547</v>
      </c>
      <c r="AS69" s="168" t="str">
        <f t="shared" si="62"/>
        <v>13.4340160999819+306.804325522073i</v>
      </c>
      <c r="AT69" s="190">
        <f t="shared" si="63"/>
        <v>49.745548296582207</v>
      </c>
      <c r="AU69" s="169">
        <f t="shared" si="64"/>
        <v>87.492795883779692</v>
      </c>
      <c r="AV69" s="225"/>
      <c r="AX69">
        <f t="shared" si="65"/>
        <v>0</v>
      </c>
      <c r="AY69">
        <f t="shared" si="66"/>
        <v>0</v>
      </c>
    </row>
    <row r="70" spans="1:51" x14ac:dyDescent="0.25">
      <c r="N70" s="170">
        <v>52</v>
      </c>
      <c r="O70" s="199">
        <f t="shared" si="41"/>
        <v>33.113112148259127</v>
      </c>
      <c r="P70" s="189" t="str">
        <f t="shared" si="32"/>
        <v>18.0065359477124</v>
      </c>
      <c r="Q70" s="160" t="str">
        <f t="shared" si="33"/>
        <v>1+0.0652724140313512i</v>
      </c>
      <c r="R70" s="160">
        <f t="shared" si="42"/>
        <v>1.0021279798675817</v>
      </c>
      <c r="S70" s="160">
        <f t="shared" si="43"/>
        <v>6.5179952828126372E-2</v>
      </c>
      <c r="T70" s="160" t="str">
        <f t="shared" si="34"/>
        <v>1+0.0000832223278899728i</v>
      </c>
      <c r="U70" s="160">
        <f t="shared" si="44"/>
        <v>1.0000000034629779</v>
      </c>
      <c r="V70" s="160">
        <f t="shared" si="45"/>
        <v>8.3222327697841421E-5</v>
      </c>
      <c r="W70" s="98" t="str">
        <f t="shared" si="35"/>
        <v>1-0.00117571709761457i</v>
      </c>
      <c r="X70" s="160">
        <f t="shared" si="46"/>
        <v>1.000000691155108</v>
      </c>
      <c r="Y70" s="160">
        <f t="shared" si="47"/>
        <v>-1.1757165558795805E-3</v>
      </c>
      <c r="Z70" s="98" t="str">
        <f t="shared" si="36"/>
        <v>0.999999986734479+0.000351427763540273i</v>
      </c>
      <c r="AA70" s="160">
        <f t="shared" si="48"/>
        <v>1.0000000484852143</v>
      </c>
      <c r="AB70" s="160">
        <f t="shared" si="49"/>
        <v>3.5142775373486382E-4</v>
      </c>
      <c r="AC70" s="171" t="str">
        <f t="shared" si="50"/>
        <v>17.9284477886155-1.19623310783589i</v>
      </c>
      <c r="AD70" s="190">
        <f t="shared" si="51"/>
        <v>25.090145299653734</v>
      </c>
      <c r="AE70" s="169">
        <f t="shared" si="52"/>
        <v>-3.8172668414234123</v>
      </c>
      <c r="AF70" s="98" t="str">
        <f t="shared" si="37"/>
        <v>-0.0000816326530612245</v>
      </c>
      <c r="AG70" s="98" t="str">
        <f t="shared" si="38"/>
        <v>4.88931176353589E-06i</v>
      </c>
      <c r="AH70" s="98">
        <f t="shared" si="53"/>
        <v>4.8893117635358901E-6</v>
      </c>
      <c r="AI70" s="98">
        <f t="shared" si="54"/>
        <v>1.5707963267948966</v>
      </c>
      <c r="AJ70" s="98" t="str">
        <f t="shared" si="39"/>
        <v>1+0.001490033806796i</v>
      </c>
      <c r="AK70" s="98">
        <f t="shared" si="55"/>
        <v>1.0000011100997566</v>
      </c>
      <c r="AL70" s="98">
        <f t="shared" si="56"/>
        <v>1.4900327040727461E-3</v>
      </c>
      <c r="AM70" s="98" t="str">
        <f t="shared" si="40"/>
        <v>1+0.0233438629731374i</v>
      </c>
      <c r="AN70" s="98">
        <f t="shared" si="57"/>
        <v>1.0002724308599675</v>
      </c>
      <c r="AO70" s="98">
        <f t="shared" si="58"/>
        <v>2.3339624055721611E-2</v>
      </c>
      <c r="AP70" s="168" t="str">
        <f t="shared" si="59"/>
        <v>-0.36487386770908+16.696687632743i</v>
      </c>
      <c r="AQ70" s="98">
        <f t="shared" si="60"/>
        <v>24.454679953308357</v>
      </c>
      <c r="AR70" s="169">
        <f t="shared" si="61"/>
        <v>91.251889368535018</v>
      </c>
      <c r="AS70" s="168" t="str">
        <f t="shared" si="62"/>
        <v>13.4315084508288+299.782166667193i</v>
      </c>
      <c r="AT70" s="190">
        <f t="shared" si="63"/>
        <v>49.544825252962099</v>
      </c>
      <c r="AU70" s="169">
        <f t="shared" si="64"/>
        <v>87.434622527111628</v>
      </c>
      <c r="AV70" s="225"/>
      <c r="AX70">
        <f t="shared" si="65"/>
        <v>0</v>
      </c>
      <c r="AY70">
        <f t="shared" si="66"/>
        <v>0</v>
      </c>
    </row>
    <row r="71" spans="1:51" x14ac:dyDescent="0.25">
      <c r="N71" s="170">
        <v>53</v>
      </c>
      <c r="O71" s="199">
        <f t="shared" si="41"/>
        <v>33.884415613920268</v>
      </c>
      <c r="P71" s="189" t="str">
        <f t="shared" si="32"/>
        <v>18.0065359477124</v>
      </c>
      <c r="Q71" s="160" t="str">
        <f t="shared" si="33"/>
        <v>1+0.0667928038675294i</v>
      </c>
      <c r="R71" s="160">
        <f t="shared" si="42"/>
        <v>1.0022281569824738</v>
      </c>
      <c r="S71" s="160">
        <f t="shared" si="43"/>
        <v>6.6693741795487649E-2</v>
      </c>
      <c r="T71" s="160" t="str">
        <f t="shared" si="34"/>
        <v>1+0.0000851608249311i</v>
      </c>
      <c r="U71" s="160">
        <f t="shared" si="44"/>
        <v>1.0000000036261829</v>
      </c>
      <c r="V71" s="160">
        <f t="shared" si="45"/>
        <v>8.5160824725227501E-5</v>
      </c>
      <c r="W71" s="98" t="str">
        <f t="shared" si="35"/>
        <v>1-0.00120310306689365i</v>
      </c>
      <c r="X71" s="160">
        <f t="shared" si="46"/>
        <v>1.0000007237282329</v>
      </c>
      <c r="Y71" s="160">
        <f t="shared" si="47"/>
        <v>-1.203102486414173E-3</v>
      </c>
      <c r="Z71" s="98" t="str">
        <f t="shared" si="36"/>
        <v>0.999999986109295+0.000359613567723658i</v>
      </c>
      <c r="AA71" s="160">
        <f t="shared" si="48"/>
        <v>1.0000000507702529</v>
      </c>
      <c r="AB71" s="160">
        <f t="shared" si="49"/>
        <v>3.5961355721697254E-4</v>
      </c>
      <c r="AC71" s="171" t="str">
        <f t="shared" si="50"/>
        <v>17.9247839524582-1.22385223838852i</v>
      </c>
      <c r="AD71" s="190">
        <f t="shared" si="51"/>
        <v>25.089277327863147</v>
      </c>
      <c r="AE71" s="169">
        <f t="shared" si="52"/>
        <v>-3.9059276028575409</v>
      </c>
      <c r="AF71" s="98" t="str">
        <f t="shared" si="37"/>
        <v>-0.0000816326530612245</v>
      </c>
      <c r="AG71" s="98" t="str">
        <f t="shared" si="38"/>
        <v>5.00319846470213E-06i</v>
      </c>
      <c r="AH71" s="98">
        <f t="shared" si="53"/>
        <v>5.0031984647021303E-6</v>
      </c>
      <c r="AI71" s="98">
        <f t="shared" si="54"/>
        <v>1.5707963267948966</v>
      </c>
      <c r="AJ71" s="98" t="str">
        <f t="shared" si="39"/>
        <v>1+0.00152474115275575i</v>
      </c>
      <c r="AK71" s="98">
        <f t="shared" si="55"/>
        <v>1.0000011624171159</v>
      </c>
      <c r="AL71" s="98">
        <f t="shared" si="56"/>
        <v>1.5247399711665693E-3</v>
      </c>
      <c r="AM71" s="98" t="str">
        <f t="shared" si="40"/>
        <v>1+0.0238876113931736i</v>
      </c>
      <c r="AN71" s="98">
        <f t="shared" si="57"/>
        <v>1.0002852683000341</v>
      </c>
      <c r="AO71" s="98">
        <f t="shared" si="58"/>
        <v>2.3883069381286363E-2</v>
      </c>
      <c r="AP71" s="168" t="str">
        <f t="shared" si="59"/>
        <v>-0.36487382953065+16.3166496606746i</v>
      </c>
      <c r="AQ71" s="98">
        <f t="shared" si="60"/>
        <v>24.254790972389401</v>
      </c>
      <c r="AR71" s="169">
        <f t="shared" si="61"/>
        <v>91.281037912163086</v>
      </c>
      <c r="AS71" s="168" t="str">
        <f t="shared" si="62"/>
        <v>13.4288836459749+292.918971648543i</v>
      </c>
      <c r="AT71" s="190">
        <f t="shared" si="63"/>
        <v>49.344068300252545</v>
      </c>
      <c r="AU71" s="169">
        <f t="shared" si="64"/>
        <v>87.375110309305555</v>
      </c>
      <c r="AV71" s="225"/>
      <c r="AX71">
        <f t="shared" si="65"/>
        <v>0</v>
      </c>
      <c r="AY71">
        <f t="shared" si="66"/>
        <v>0</v>
      </c>
    </row>
    <row r="72" spans="1:51" x14ac:dyDescent="0.25">
      <c r="N72" s="170">
        <v>54</v>
      </c>
      <c r="O72" s="199">
        <f t="shared" si="41"/>
        <v>34.67368504525318</v>
      </c>
      <c r="P72" s="189" t="str">
        <f t="shared" si="32"/>
        <v>18.0065359477124</v>
      </c>
      <c r="Q72" s="160" t="str">
        <f t="shared" si="33"/>
        <v>1+0.0683486081324257i</v>
      </c>
      <c r="R72" s="160">
        <f t="shared" si="42"/>
        <v>1.0023330445683409</v>
      </c>
      <c r="S72" s="160">
        <f t="shared" si="43"/>
        <v>6.8242474549181739E-2</v>
      </c>
      <c r="T72" s="160" t="str">
        <f t="shared" si="34"/>
        <v>1+0.0000871444753688428i</v>
      </c>
      <c r="U72" s="160">
        <f t="shared" si="44"/>
        <v>1.0000000037970798</v>
      </c>
      <c r="V72" s="160">
        <f t="shared" si="45"/>
        <v>8.714447514824645E-5</v>
      </c>
      <c r="W72" s="98" t="str">
        <f t="shared" si="35"/>
        <v>1-0.00123112693734376i</v>
      </c>
      <c r="X72" s="160">
        <f t="shared" si="46"/>
        <v>1.0000007578364807</v>
      </c>
      <c r="Y72" s="160">
        <f t="shared" si="47"/>
        <v>-1.2311263153488197E-3</v>
      </c>
      <c r="Z72" s="98" t="str">
        <f t="shared" si="36"/>
        <v>0.999999985454646+0.000367990043780699i</v>
      </c>
      <c r="AA72" s="160">
        <f t="shared" si="48"/>
        <v>1.0000000531629809</v>
      </c>
      <c r="AB72" s="160">
        <f t="shared" si="49"/>
        <v>3.6799003252258278E-4</v>
      </c>
      <c r="AC72" s="171" t="str">
        <f t="shared" si="50"/>
        <v>17.9209490146649-1.25209730635786i</v>
      </c>
      <c r="AD72" s="190">
        <f t="shared" si="51"/>
        <v>25.088368635824203</v>
      </c>
      <c r="AE72" s="169">
        <f t="shared" si="52"/>
        <v>-3.9966353822465575</v>
      </c>
      <c r="AF72" s="98" t="str">
        <f t="shared" si="37"/>
        <v>-0.0000816326530612245</v>
      </c>
      <c r="AG72" s="98" t="str">
        <f t="shared" si="38"/>
        <v>5.11973792791952E-06i</v>
      </c>
      <c r="AH72" s="98">
        <f t="shared" si="53"/>
        <v>5.1197379279195198E-6</v>
      </c>
      <c r="AI72" s="98">
        <f t="shared" si="54"/>
        <v>1.5707963267948966</v>
      </c>
      <c r="AJ72" s="98" t="str">
        <f t="shared" si="39"/>
        <v>1+0.00156025693665704i</v>
      </c>
      <c r="AK72" s="98">
        <f t="shared" si="55"/>
        <v>1.0000012172001134</v>
      </c>
      <c r="AL72" s="98">
        <f t="shared" si="56"/>
        <v>1.5602556705615052E-3</v>
      </c>
      <c r="AM72" s="98" t="str">
        <f t="shared" si="40"/>
        <v>1+0.0244440253409604i</v>
      </c>
      <c r="AN72" s="98">
        <f t="shared" si="57"/>
        <v>1.0002987105734313</v>
      </c>
      <c r="AO72" s="98">
        <f t="shared" si="58"/>
        <v>2.4439158566028799E-2</v>
      </c>
      <c r="AP72" s="168" t="str">
        <f t="shared" si="59"/>
        <v>-0.364873789552935+15.9452629922271i</v>
      </c>
      <c r="AQ72" s="98">
        <f t="shared" si="60"/>
        <v>24.054907220571899</v>
      </c>
      <c r="AR72" s="169">
        <f t="shared" si="61"/>
        <v>91.310864575799911</v>
      </c>
      <c r="AS72" s="168" t="str">
        <f t="shared" si="62"/>
        <v>13.4261362623695+286.211102598185i</v>
      </c>
      <c r="AT72" s="190">
        <f t="shared" si="63"/>
        <v>49.143275856396109</v>
      </c>
      <c r="AU72" s="169">
        <f t="shared" si="64"/>
        <v>87.314229193553373</v>
      </c>
      <c r="AV72" s="225"/>
      <c r="AX72">
        <f t="shared" si="65"/>
        <v>0</v>
      </c>
      <c r="AY72">
        <f t="shared" si="66"/>
        <v>0</v>
      </c>
    </row>
    <row r="73" spans="1:51" x14ac:dyDescent="0.25">
      <c r="N73" s="170">
        <v>55</v>
      </c>
      <c r="O73" s="199">
        <f t="shared" si="41"/>
        <v>35.481338923357555</v>
      </c>
      <c r="P73" s="189" t="str">
        <f t="shared" si="32"/>
        <v>18.0065359477124</v>
      </c>
      <c r="Q73" s="160" t="str">
        <f t="shared" si="33"/>
        <v>1+0.0699406517340546i</v>
      </c>
      <c r="R73" s="160">
        <f t="shared" si="42"/>
        <v>1.0024428635912295</v>
      </c>
      <c r="S73" s="160">
        <f t="shared" si="43"/>
        <v>6.982694251310767E-2</v>
      </c>
      <c r="T73" s="160" t="str">
        <f t="shared" si="34"/>
        <v>1+0.0000891743309609196i</v>
      </c>
      <c r="U73" s="160">
        <f t="shared" si="44"/>
        <v>1.0000000039760306</v>
      </c>
      <c r="V73" s="160">
        <f t="shared" si="45"/>
        <v>8.9174330724546352E-5</v>
      </c>
      <c r="W73" s="98" t="str">
        <f t="shared" si="35"/>
        <v>1-0.00125980356759194i</v>
      </c>
      <c r="X73" s="160">
        <f t="shared" si="46"/>
        <v>1.0000007935521995</v>
      </c>
      <c r="Y73" s="160">
        <f t="shared" si="47"/>
        <v>-1.2598029011123819E-3</v>
      </c>
      <c r="Z73" s="98" t="str">
        <f t="shared" si="36"/>
        <v>0.999999984769144+0.000376561633029878i</v>
      </c>
      <c r="AA73" s="160">
        <f t="shared" si="48"/>
        <v>1.0000000556684743</v>
      </c>
      <c r="AB73" s="160">
        <f t="shared" si="49"/>
        <v>3.7656162096658938E-4</v>
      </c>
      <c r="AC73" s="171" t="str">
        <f t="shared" si="50"/>
        <v>17.9169350618188-1.28098166065176i</v>
      </c>
      <c r="AD73" s="190">
        <f t="shared" si="51"/>
        <v>25.087417322310269</v>
      </c>
      <c r="AE73" s="169">
        <f t="shared" si="52"/>
        <v>-4.0894365703723441</v>
      </c>
      <c r="AF73" s="98" t="str">
        <f t="shared" si="37"/>
        <v>-0.0000816326530612245</v>
      </c>
      <c r="AG73" s="98" t="str">
        <f t="shared" si="38"/>
        <v>5.23899194395403E-06i</v>
      </c>
      <c r="AH73" s="98">
        <f t="shared" si="53"/>
        <v>5.2389919439540304E-6</v>
      </c>
      <c r="AI73" s="98">
        <f t="shared" si="54"/>
        <v>1.5707963267948966</v>
      </c>
      <c r="AJ73" s="98" t="str">
        <f t="shared" si="39"/>
        <v>1+0.00159659998943859i</v>
      </c>
      <c r="AK73" s="98">
        <f t="shared" si="55"/>
        <v>1.0000012745649509</v>
      </c>
      <c r="AL73" s="98">
        <f t="shared" si="56"/>
        <v>1.5965986327928757E-3</v>
      </c>
      <c r="AM73" s="98" t="str">
        <f t="shared" si="40"/>
        <v>1+0.0250133998345379i</v>
      </c>
      <c r="AN73" s="98">
        <f t="shared" si="57"/>
        <v>1.0003127861680479</v>
      </c>
      <c r="AO73" s="98">
        <f t="shared" si="58"/>
        <v>2.500818507930843E-2</v>
      </c>
      <c r="AP73" s="168" t="str">
        <f t="shared" si="59"/>
        <v>-0.364873747691137+15.5823307132728i</v>
      </c>
      <c r="AQ73" s="98">
        <f t="shared" si="60"/>
        <v>23.855028944000239</v>
      </c>
      <c r="AR73" s="169">
        <f t="shared" si="61"/>
        <v>91.341385095091013</v>
      </c>
      <c r="AS73" s="168" t="str">
        <f t="shared" si="62"/>
        <v>13.4232606307686+279.655004080739i</v>
      </c>
      <c r="AT73" s="190">
        <f t="shared" si="63"/>
        <v>48.942446266310512</v>
      </c>
      <c r="AU73" s="169">
        <f t="shared" si="64"/>
        <v>87.251948524718671</v>
      </c>
      <c r="AV73" s="225"/>
      <c r="AX73">
        <f t="shared" si="65"/>
        <v>0</v>
      </c>
      <c r="AY73">
        <f t="shared" si="66"/>
        <v>0</v>
      </c>
    </row>
    <row r="74" spans="1:51" x14ac:dyDescent="0.25">
      <c r="N74" s="170">
        <v>56</v>
      </c>
      <c r="O74" s="199">
        <f t="shared" si="41"/>
        <v>36.307805477010156</v>
      </c>
      <c r="P74" s="189" t="str">
        <f t="shared" si="32"/>
        <v>18.0065359477124</v>
      </c>
      <c r="Q74" s="160" t="str">
        <f t="shared" si="33"/>
        <v>1+0.0715697787950071i</v>
      </c>
      <c r="R74" s="160">
        <f t="shared" si="42"/>
        <v>1.0025578453320119</v>
      </c>
      <c r="S74" s="160">
        <f t="shared" si="43"/>
        <v>7.1447953952325005E-2</v>
      </c>
      <c r="T74" s="160" t="str">
        <f t="shared" si="34"/>
        <v>1+0.000091251467963634i</v>
      </c>
      <c r="U74" s="160">
        <f t="shared" si="44"/>
        <v>1.0000000041634152</v>
      </c>
      <c r="V74" s="160">
        <f t="shared" si="45"/>
        <v>9.1251467710355496E-5</v>
      </c>
      <c r="W74" s="98" t="str">
        <f t="shared" si="35"/>
        <v>1-0.00128914816236712i</v>
      </c>
      <c r="X74" s="160">
        <f t="shared" si="46"/>
        <v>1.000000830951147</v>
      </c>
      <c r="Y74" s="160">
        <f t="shared" si="47"/>
        <v>-1.2891474482214392E-3</v>
      </c>
      <c r="Z74" s="98" t="str">
        <f t="shared" si="36"/>
        <v>0.999999984051336+0.000385332880241272i</v>
      </c>
      <c r="AA74" s="160">
        <f t="shared" si="48"/>
        <v>1.000000058292049</v>
      </c>
      <c r="AB74" s="160">
        <f t="shared" si="49"/>
        <v>3.8533286731522528E-4</v>
      </c>
      <c r="AC74" s="171" t="str">
        <f t="shared" si="50"/>
        <v>17.9127338219025-1.3105188746453i</v>
      </c>
      <c r="AD74" s="190">
        <f t="shared" si="51"/>
        <v>25.086421398203328</v>
      </c>
      <c r="AE74" s="169">
        <f t="shared" si="52"/>
        <v>-4.1843785472970731</v>
      </c>
      <c r="AF74" s="98" t="str">
        <f t="shared" si="37"/>
        <v>-0.0000816326530612245</v>
      </c>
      <c r="AG74" s="98" t="str">
        <f t="shared" si="38"/>
        <v>5.36102374286349E-06i</v>
      </c>
      <c r="AH74" s="98">
        <f t="shared" si="53"/>
        <v>5.3610237428634899E-6</v>
      </c>
      <c r="AI74" s="98">
        <f t="shared" si="54"/>
        <v>1.5707963267948966</v>
      </c>
      <c r="AJ74" s="98" t="str">
        <f t="shared" si="39"/>
        <v>1+0.00163378958066804i</v>
      </c>
      <c r="AK74" s="98">
        <f t="shared" si="55"/>
        <v>1.0000013346333063</v>
      </c>
      <c r="AL74" s="98">
        <f t="shared" si="56"/>
        <v>1.6337881269960714E-3</v>
      </c>
      <c r="AM74" s="98" t="str">
        <f t="shared" si="40"/>
        <v>1+0.0255960367637993i</v>
      </c>
      <c r="AN74" s="98">
        <f t="shared" si="57"/>
        <v>1.0003275249127226</v>
      </c>
      <c r="AO74" s="98">
        <f t="shared" si="58"/>
        <v>2.5590449151704189E-2</v>
      </c>
      <c r="AP74" s="168" t="str">
        <f t="shared" si="59"/>
        <v>-0.364873703856466+15.2276603923129i</v>
      </c>
      <c r="AQ74" s="98">
        <f t="shared" si="60"/>
        <v>23.655156400390574</v>
      </c>
      <c r="AR74" s="169">
        <f t="shared" si="61"/>
        <v>91.372615567941324</v>
      </c>
      <c r="AS74" s="168" t="str">
        <f t="shared" si="62"/>
        <v>13.4202508250222+273.247201213594i</v>
      </c>
      <c r="AT74" s="190">
        <f t="shared" si="63"/>
        <v>48.741577798593909</v>
      </c>
      <c r="AU74" s="169">
        <f t="shared" si="64"/>
        <v>87.188237020644237</v>
      </c>
      <c r="AV74" s="225"/>
      <c r="AX74">
        <f t="shared" si="65"/>
        <v>0</v>
      </c>
      <c r="AY74">
        <f t="shared" si="66"/>
        <v>0</v>
      </c>
    </row>
    <row r="75" spans="1:51" x14ac:dyDescent="0.25">
      <c r="N75" s="170">
        <v>57</v>
      </c>
      <c r="O75" s="199">
        <f t="shared" si="41"/>
        <v>37.15352290971726</v>
      </c>
      <c r="P75" s="189" t="str">
        <f t="shared" si="32"/>
        <v>18.0065359477124</v>
      </c>
      <c r="Q75" s="160" t="str">
        <f t="shared" si="33"/>
        <v>1+0.0732368531000144i</v>
      </c>
      <c r="R75" s="160">
        <f t="shared" si="42"/>
        <v>1.0026782318630405</v>
      </c>
      <c r="S75" s="160">
        <f t="shared" si="43"/>
        <v>7.3106334253456362E-2</v>
      </c>
      <c r="T75" s="160" t="str">
        <f t="shared" si="34"/>
        <v>1+0.0000933769877025184i</v>
      </c>
      <c r="U75" s="160">
        <f t="shared" si="44"/>
        <v>1.0000000043596309</v>
      </c>
      <c r="V75" s="160">
        <f t="shared" si="45"/>
        <v>9.3376987431125603E-5</v>
      </c>
      <c r="W75" s="98" t="str">
        <f t="shared" si="35"/>
        <v>1-0.00131917628056189i</v>
      </c>
      <c r="X75" s="160">
        <f t="shared" si="46"/>
        <v>1.000000870112651</v>
      </c>
      <c r="Y75" s="160">
        <f t="shared" si="47"/>
        <v>-1.3191755153410423E-3</v>
      </c>
      <c r="Z75" s="98" t="str">
        <f t="shared" si="36"/>
        <v>0.999999983299699+0.000394308436046252i</v>
      </c>
      <c r="AA75" s="160">
        <f t="shared" si="48"/>
        <v>1.0000000610392688</v>
      </c>
      <c r="AB75" s="160">
        <f t="shared" si="49"/>
        <v>3.9430842219574338E-4</v>
      </c>
      <c r="AC75" s="171" t="str">
        <f t="shared" si="50"/>
        <v>17.9083366487581-1.34072274541505i</v>
      </c>
      <c r="AD75" s="190">
        <f t="shared" si="51"/>
        <v>25.085378782514738</v>
      </c>
      <c r="AE75" s="169">
        <f t="shared" si="52"/>
        <v>-4.2815096989965964</v>
      </c>
      <c r="AF75" s="98" t="str">
        <f t="shared" si="37"/>
        <v>-0.0000816326530612245</v>
      </c>
      <c r="AG75" s="98" t="str">
        <f t="shared" si="38"/>
        <v>5.48589802752295E-06i</v>
      </c>
      <c r="AH75" s="98">
        <f t="shared" si="53"/>
        <v>5.4858980275229497E-6</v>
      </c>
      <c r="AI75" s="98">
        <f t="shared" si="54"/>
        <v>1.5707963267948966</v>
      </c>
      <c r="AJ75" s="98" t="str">
        <f t="shared" si="39"/>
        <v>1+0.00167184542875891i</v>
      </c>
      <c r="AK75" s="98">
        <f t="shared" si="55"/>
        <v>1.0000013975325923</v>
      </c>
      <c r="AL75" s="98">
        <f t="shared" si="56"/>
        <v>1.6718438711214498E-3</v>
      </c>
      <c r="AM75" s="98" t="str">
        <f t="shared" si="40"/>
        <v>1+0.0261922450505564i</v>
      </c>
      <c r="AN75" s="98">
        <f t="shared" si="57"/>
        <v>1.0003429580402854</v>
      </c>
      <c r="AO75" s="98">
        <f t="shared" si="58"/>
        <v>2.618625792718296E-2</v>
      </c>
      <c r="AP75" s="168" t="str">
        <f t="shared" si="59"/>
        <v>-0.364873657955941+14.8810639784481i</v>
      </c>
      <c r="AQ75" s="98">
        <f t="shared" si="60"/>
        <v>23.455289859573622</v>
      </c>
      <c r="AR75" s="169">
        <f t="shared" si="61"/>
        <v>91.404572462648503</v>
      </c>
      <c r="AS75" s="168" t="str">
        <f t="shared" si="62"/>
        <v>13.4171006509431+266.98429783018i</v>
      </c>
      <c r="AT75" s="190">
        <f t="shared" si="63"/>
        <v>48.540668642088349</v>
      </c>
      <c r="AU75" s="169">
        <f t="shared" si="64"/>
        <v>87.123062763651916</v>
      </c>
      <c r="AV75" s="225"/>
      <c r="AX75">
        <f t="shared" si="65"/>
        <v>0</v>
      </c>
      <c r="AY75">
        <f t="shared" si="66"/>
        <v>0</v>
      </c>
    </row>
    <row r="76" spans="1:51" x14ac:dyDescent="0.25">
      <c r="N76" s="170">
        <v>58</v>
      </c>
      <c r="O76" s="199">
        <f t="shared" si="41"/>
        <v>38.018939632056139</v>
      </c>
      <c r="P76" s="189" t="str">
        <f t="shared" si="32"/>
        <v>18.0065359477124</v>
      </c>
      <c r="Q76" s="160" t="str">
        <f t="shared" si="33"/>
        <v>1+0.0749427585539398i</v>
      </c>
      <c r="R76" s="160">
        <f t="shared" si="42"/>
        <v>1.0028042765463629</v>
      </c>
      <c r="S76" s="160">
        <f t="shared" si="43"/>
        <v>7.4802926203874548E-2</v>
      </c>
      <c r="T76" s="160" t="str">
        <f t="shared" si="34"/>
        <v>1+0.0000955520171562732i</v>
      </c>
      <c r="U76" s="160">
        <f t="shared" si="44"/>
        <v>1.0000000045650939</v>
      </c>
      <c r="V76" s="160">
        <f t="shared" si="45"/>
        <v>9.5552016865470577E-5</v>
      </c>
      <c r="W76" s="98" t="str">
        <f t="shared" si="35"/>
        <v>1-0.00134990384348197i</v>
      </c>
      <c r="X76" s="160">
        <f t="shared" si="46"/>
        <v>1.0000009111197783</v>
      </c>
      <c r="Y76" s="160">
        <f t="shared" si="47"/>
        <v>-1.3499030235330993E-3</v>
      </c>
      <c r="Z76" s="98" t="str">
        <f t="shared" si="36"/>
        <v>0.999999982512638+0.000403493059403314i</v>
      </c>
      <c r="AA76" s="160">
        <f t="shared" si="48"/>
        <v>1.0000000639159607</v>
      </c>
      <c r="AB76" s="160">
        <f t="shared" si="49"/>
        <v>4.0349304456222668E-4</v>
      </c>
      <c r="AC76" s="171" t="str">
        <f t="shared" si="50"/>
        <v>17.9037345059433-1.37160729254949i</v>
      </c>
      <c r="AD76" s="190">
        <f t="shared" si="51"/>
        <v>25.08428729823423</v>
      </c>
      <c r="AE76" s="169">
        <f t="shared" si="52"/>
        <v>-4.3808794339369141</v>
      </c>
      <c r="AF76" s="98" t="str">
        <f t="shared" si="37"/>
        <v>-0.0000816326530612245</v>
      </c>
      <c r="AG76" s="98" t="str">
        <f t="shared" si="38"/>
        <v>5.61368100793105E-06i</v>
      </c>
      <c r="AH76" s="98">
        <f t="shared" si="53"/>
        <v>5.6136810079310497E-6</v>
      </c>
      <c r="AI76" s="98">
        <f t="shared" si="54"/>
        <v>1.5707963267948966</v>
      </c>
      <c r="AJ76" s="98" t="str">
        <f t="shared" si="39"/>
        <v>1+0.00171078771142561i</v>
      </c>
      <c r="AK76" s="98">
        <f t="shared" si="55"/>
        <v>1.000001463396226</v>
      </c>
      <c r="AL76" s="98">
        <f t="shared" si="56"/>
        <v>1.7107860423871326E-3</v>
      </c>
      <c r="AM76" s="98" t="str">
        <f t="shared" si="40"/>
        <v>1+0.0268023408123346i</v>
      </c>
      <c r="AN76" s="98">
        <f t="shared" si="57"/>
        <v>1.0003591182535503</v>
      </c>
      <c r="AO76" s="98">
        <f t="shared" si="58"/>
        <v>2.6795925618434718E-2</v>
      </c>
      <c r="AP76" s="168" t="str">
        <f t="shared" si="59"/>
        <v>-0.364873609892203+14.5423577016716i</v>
      </c>
      <c r="AQ76" s="98">
        <f t="shared" si="60"/>
        <v>23.255429604062641</v>
      </c>
      <c r="AR76" s="169">
        <f t="shared" si="61"/>
        <v>91.43727262620412</v>
      </c>
      <c r="AS76" s="168" t="str">
        <f t="shared" si="62"/>
        <v>13.4138036347409+260.862974685375i</v>
      </c>
      <c r="AT76" s="190">
        <f t="shared" si="63"/>
        <v>48.339716902296857</v>
      </c>
      <c r="AU76" s="169">
        <f t="shared" si="64"/>
        <v>87.056393192267208</v>
      </c>
      <c r="AV76" s="225"/>
      <c r="AX76">
        <f t="shared" si="65"/>
        <v>0</v>
      </c>
      <c r="AY76">
        <f t="shared" si="66"/>
        <v>0</v>
      </c>
    </row>
    <row r="77" spans="1:51" x14ac:dyDescent="0.25">
      <c r="N77" s="170">
        <v>59</v>
      </c>
      <c r="O77" s="199">
        <f t="shared" si="41"/>
        <v>38.904514499428053</v>
      </c>
      <c r="P77" s="189" t="str">
        <f t="shared" si="32"/>
        <v>18.0065359477124</v>
      </c>
      <c r="Q77" s="160" t="str">
        <f t="shared" si="33"/>
        <v>1+0.0766883996504351i</v>
      </c>
      <c r="R77" s="160">
        <f t="shared" si="42"/>
        <v>1.0029362445544308</v>
      </c>
      <c r="S77" s="160">
        <f t="shared" si="43"/>
        <v>7.6538590269115359E-2</v>
      </c>
      <c r="T77" s="160" t="str">
        <f t="shared" si="34"/>
        <v>1+0.0000977777095543048i</v>
      </c>
      <c r="U77" s="160">
        <f t="shared" si="44"/>
        <v>1.0000000047802402</v>
      </c>
      <c r="V77" s="160">
        <f t="shared" si="45"/>
        <v>9.7777709242704167E-5</v>
      </c>
      <c r="W77" s="98" t="str">
        <f t="shared" si="35"/>
        <v>1-0.00138134714328796i</v>
      </c>
      <c r="X77" s="160">
        <f t="shared" si="46"/>
        <v>1.0000009540595101</v>
      </c>
      <c r="Y77" s="160">
        <f t="shared" si="47"/>
        <v>-1.3813462646969611E-3</v>
      </c>
      <c r="Z77" s="98" t="str">
        <f t="shared" si="36"/>
        <v>0.999999981688484+0.000412891620121333i</v>
      </c>
      <c r="AA77" s="160">
        <f t="shared" si="48"/>
        <v>1.000000066928227</v>
      </c>
      <c r="AB77" s="160">
        <f t="shared" si="49"/>
        <v>4.1289160421882149E-4</v>
      </c>
      <c r="AC77" s="171" t="str">
        <f t="shared" si="50"/>
        <v>17.898917949966-1.40318675649946i</v>
      </c>
      <c r="AD77" s="190">
        <f t="shared" si="51"/>
        <v>25.083144667999978</v>
      </c>
      <c r="AE77" s="169">
        <f t="shared" si="52"/>
        <v>-4.4825381995627547</v>
      </c>
      <c r="AF77" s="98" t="str">
        <f t="shared" si="37"/>
        <v>-0.0000816326530612245</v>
      </c>
      <c r="AG77" s="98" t="str">
        <f t="shared" si="38"/>
        <v>0.0000057444404363154i</v>
      </c>
      <c r="AH77" s="98">
        <f t="shared" si="53"/>
        <v>5.7444404363153996E-6</v>
      </c>
      <c r="AI77" s="98">
        <f t="shared" si="54"/>
        <v>1.5707963267948966</v>
      </c>
      <c r="AJ77" s="98" t="str">
        <f t="shared" si="39"/>
        <v>1+0.00175063707638186i</v>
      </c>
      <c r="AK77" s="98">
        <f t="shared" si="55"/>
        <v>1.0000015323639124</v>
      </c>
      <c r="AL77" s="98">
        <f t="shared" si="56"/>
        <v>1.7506352879750585E-3</v>
      </c>
      <c r="AM77" s="98" t="str">
        <f t="shared" si="40"/>
        <v>1+0.0274266475299825i</v>
      </c>
      <c r="AN77" s="98">
        <f t="shared" si="57"/>
        <v>1.0003760397944035</v>
      </c>
      <c r="AO77" s="98">
        <f t="shared" si="58"/>
        <v>2.7419773665419301E-2</v>
      </c>
      <c r="AP77" s="168" t="str">
        <f t="shared" si="59"/>
        <v>-0.364873559563305+14.2113619754317i</v>
      </c>
      <c r="AQ77" s="98">
        <f t="shared" si="60"/>
        <v>23.055575929647787</v>
      </c>
      <c r="AR77" s="169">
        <f t="shared" si="61"/>
        <v>91.470733292764834</v>
      </c>
      <c r="AS77" s="168" t="str">
        <f t="shared" si="62"/>
        <v>13.4103530110101+254.879987702095i</v>
      </c>
      <c r="AT77" s="190">
        <f t="shared" si="63"/>
        <v>48.138720597647769</v>
      </c>
      <c r="AU77" s="169">
        <f t="shared" si="64"/>
        <v>86.988195093202108</v>
      </c>
      <c r="AV77" s="225"/>
      <c r="AX77">
        <f t="shared" si="65"/>
        <v>0</v>
      </c>
      <c r="AY77">
        <f t="shared" si="66"/>
        <v>0</v>
      </c>
    </row>
    <row r="78" spans="1:51" x14ac:dyDescent="0.25">
      <c r="N78" s="170">
        <v>60</v>
      </c>
      <c r="O78" s="199">
        <f t="shared" si="41"/>
        <v>39.810717055349755</v>
      </c>
      <c r="P78" s="189" t="str">
        <f t="shared" si="32"/>
        <v>18.0065359477124</v>
      </c>
      <c r="Q78" s="160" t="str">
        <f t="shared" si="33"/>
        <v>1+0.0784747019515159i</v>
      </c>
      <c r="R78" s="160">
        <f t="shared" si="42"/>
        <v>1.0030744134142686</v>
      </c>
      <c r="S78" s="160">
        <f t="shared" si="43"/>
        <v>7.8314204867922552E-2</v>
      </c>
      <c r="T78" s="160" t="str">
        <f t="shared" si="34"/>
        <v>1+0.000100055244988183i</v>
      </c>
      <c r="U78" s="160">
        <f t="shared" si="44"/>
        <v>1.000000005005526</v>
      </c>
      <c r="V78" s="160">
        <f t="shared" si="45"/>
        <v>1.0005524465429691E-4</v>
      </c>
      <c r="W78" s="98" t="str">
        <f t="shared" si="35"/>
        <v>1-0.0014135228516336i</v>
      </c>
      <c r="X78" s="160">
        <f t="shared" si="46"/>
        <v>1.0000009990229271</v>
      </c>
      <c r="Y78" s="160">
        <f t="shared" si="47"/>
        <v>-1.4135219102064339E-3</v>
      </c>
      <c r="Z78" s="98" t="str">
        <f t="shared" si="36"/>
        <v>0.999999980825489+0.000422509101441607i</v>
      </c>
      <c r="AA78" s="160">
        <f t="shared" si="48"/>
        <v>1.0000000700824572</v>
      </c>
      <c r="AB78" s="160">
        <f t="shared" si="49"/>
        <v>4.2250908440175891E-4</v>
      </c>
      <c r="AC78" s="171" t="str">
        <f t="shared" si="50"/>
        <v>17.8938771128817-1.4354755964301i</v>
      </c>
      <c r="AD78" s="190">
        <f t="shared" si="51"/>
        <v>25.081948509583299</v>
      </c>
      <c r="AE78" s="169">
        <f t="shared" si="52"/>
        <v>-4.5865374986642831</v>
      </c>
      <c r="AF78" s="98" t="str">
        <f t="shared" si="37"/>
        <v>-0.0000816326530612245</v>
      </c>
      <c r="AG78" s="98" t="str">
        <f t="shared" si="38"/>
        <v>5.87824564305575E-06i</v>
      </c>
      <c r="AH78" s="98">
        <f t="shared" si="53"/>
        <v>5.8782456430557504E-6</v>
      </c>
      <c r="AI78" s="98">
        <f t="shared" si="54"/>
        <v>1.5707963267948966</v>
      </c>
      <c r="AJ78" s="98" t="str">
        <f t="shared" si="39"/>
        <v>1+0.00179141465228842i</v>
      </c>
      <c r="AK78" s="98">
        <f t="shared" si="55"/>
        <v>1.0000016045819409</v>
      </c>
      <c r="AL78" s="98">
        <f t="shared" si="56"/>
        <v>1.7914127359761726E-3</v>
      </c>
      <c r="AM78" s="98" t="str">
        <f t="shared" si="40"/>
        <v>1+0.0280654962191853i</v>
      </c>
      <c r="AN78" s="98">
        <f t="shared" si="57"/>
        <v>1.00039375851613</v>
      </c>
      <c r="AO78" s="98">
        <f t="shared" si="58"/>
        <v>2.8058130897171216E-2</v>
      </c>
      <c r="AP78" s="168" t="str">
        <f t="shared" si="59"/>
        <v>-0.364873506862492+13.8879013014125i</v>
      </c>
      <c r="AQ78" s="98">
        <f t="shared" si="60"/>
        <v>22.855729146018135</v>
      </c>
      <c r="AR78" s="169">
        <f t="shared" si="61"/>
        <v>91.5049720922961</v>
      </c>
      <c r="AS78" s="168" t="str">
        <f t="shared" si="62"/>
        <v>13.4067417102638+249.03216625819i</v>
      </c>
      <c r="AT78" s="190">
        <f t="shared" si="63"/>
        <v>47.937677655601433</v>
      </c>
      <c r="AU78" s="169">
        <f t="shared" si="64"/>
        <v>86.918434593631829</v>
      </c>
      <c r="AV78" s="225"/>
      <c r="AX78">
        <f t="shared" si="65"/>
        <v>0</v>
      </c>
      <c r="AY78">
        <f t="shared" si="66"/>
        <v>0</v>
      </c>
    </row>
    <row r="79" spans="1:51" x14ac:dyDescent="0.25">
      <c r="N79" s="170">
        <v>61</v>
      </c>
      <c r="O79" s="199">
        <f t="shared" si="41"/>
        <v>40.738027780411279</v>
      </c>
      <c r="P79" s="189" t="str">
        <f t="shared" si="32"/>
        <v>18.0065359477124</v>
      </c>
      <c r="Q79" s="160" t="str">
        <f t="shared" si="33"/>
        <v>1+0.0803026125783071i</v>
      </c>
      <c r="R79" s="160">
        <f t="shared" si="42"/>
        <v>1.0032190735761066</v>
      </c>
      <c r="S79" s="160">
        <f t="shared" si="43"/>
        <v>8.0130666644273194E-2</v>
      </c>
      <c r="T79" s="160" t="str">
        <f t="shared" si="34"/>
        <v>1+0.000102385831037342i</v>
      </c>
      <c r="U79" s="160">
        <f t="shared" si="44"/>
        <v>1.0000000052414291</v>
      </c>
      <c r="V79" s="160">
        <f t="shared" si="45"/>
        <v>1.0238583067957661E-4</v>
      </c>
      <c r="W79" s="98" t="str">
        <f t="shared" si="35"/>
        <v>1-0.00144644802850538i</v>
      </c>
      <c r="X79" s="160">
        <f t="shared" si="46"/>
        <v>1.0000010461054023</v>
      </c>
      <c r="Y79" s="160">
        <f t="shared" si="47"/>
        <v>-1.4464470197480541E-3</v>
      </c>
      <c r="Z79" s="98" t="str">
        <f t="shared" si="36"/>
        <v>0.999999979921822+0.000432350602680035i</v>
      </c>
      <c r="AA79" s="160">
        <f t="shared" si="48"/>
        <v>1.0000000733853414</v>
      </c>
      <c r="AB79" s="160">
        <f t="shared" si="49"/>
        <v>4.3235058442150893E-4</v>
      </c>
      <c r="AC79" s="171" t="str">
        <f t="shared" si="50"/>
        <v>17.8886016842379-1.4684884875331i</v>
      </c>
      <c r="AD79" s="190">
        <f t="shared" si="51"/>
        <v>25.080696331181002</v>
      </c>
      <c r="AE79" s="169">
        <f t="shared" si="52"/>
        <v>-4.6929299055848794</v>
      </c>
      <c r="AF79" s="98" t="str">
        <f t="shared" si="37"/>
        <v>-0.0000816326530612245</v>
      </c>
      <c r="AG79" s="98" t="str">
        <f t="shared" si="38"/>
        <v>6.01516757344382E-06i</v>
      </c>
      <c r="AH79" s="98">
        <f t="shared" si="53"/>
        <v>6.0151675734438203E-6</v>
      </c>
      <c r="AI79" s="98">
        <f t="shared" si="54"/>
        <v>1.5707963267948966</v>
      </c>
      <c r="AJ79" s="98" t="str">
        <f t="shared" si="39"/>
        <v>1+0.0018331420599558i</v>
      </c>
      <c r="AK79" s="98">
        <f t="shared" si="55"/>
        <v>1.0000016802034943</v>
      </c>
      <c r="AL79" s="98">
        <f t="shared" si="56"/>
        <v>1.8331400065904183E-3</v>
      </c>
      <c r="AM79" s="98" t="str">
        <f t="shared" si="40"/>
        <v>1+0.0287192256059743i</v>
      </c>
      <c r="AN79" s="98">
        <f t="shared" si="57"/>
        <v>1.0004123119591275</v>
      </c>
      <c r="AO79" s="98">
        <f t="shared" si="58"/>
        <v>2.8711333696908852E-2</v>
      </c>
      <c r="AP79" s="168" t="str">
        <f t="shared" si="59"/>
        <v>-0.364873451677985+13.5718041764825i</v>
      </c>
      <c r="AQ79" s="98">
        <f t="shared" si="60"/>
        <v>22.655889577412822</v>
      </c>
      <c r="AR79" s="169">
        <f t="shared" si="61"/>
        <v>91.540007059390405</v>
      </c>
      <c r="AS79" s="168" t="str">
        <f t="shared" si="62"/>
        <v>13.4029623459977+243.316411512767i</v>
      </c>
      <c r="AT79" s="190">
        <f t="shared" si="63"/>
        <v>47.736585908593803</v>
      </c>
      <c r="AU79" s="169">
        <f t="shared" si="64"/>
        <v>86.847077153805515</v>
      </c>
      <c r="AV79" s="225"/>
      <c r="AX79">
        <f t="shared" si="65"/>
        <v>0</v>
      </c>
      <c r="AY79">
        <f t="shared" si="66"/>
        <v>0</v>
      </c>
    </row>
    <row r="80" spans="1:51" x14ac:dyDescent="0.25">
      <c r="N80" s="170">
        <v>62</v>
      </c>
      <c r="O80" s="199">
        <f t="shared" si="41"/>
        <v>41.686938347033561</v>
      </c>
      <c r="P80" s="189" t="str">
        <f t="shared" si="32"/>
        <v>18.0065359477124</v>
      </c>
      <c r="Q80" s="160" t="str">
        <f t="shared" si="33"/>
        <v>1+0.0821731007132182i</v>
      </c>
      <c r="R80" s="160">
        <f t="shared" si="42"/>
        <v>1.0033705290075172</v>
      </c>
      <c r="S80" s="160">
        <f t="shared" si="43"/>
        <v>8.1988890735680109E-2</v>
      </c>
      <c r="T80" s="160" t="str">
        <f t="shared" si="34"/>
        <v>1+0.000104770703409353i</v>
      </c>
      <c r="U80" s="160">
        <f t="shared" si="44"/>
        <v>1.0000000054884501</v>
      </c>
      <c r="V80" s="160">
        <f t="shared" si="45"/>
        <v>1.0477070302600048E-4</v>
      </c>
      <c r="W80" s="98" t="str">
        <f t="shared" si="35"/>
        <v>1-0.00148014013126787i</v>
      </c>
      <c r="X80" s="160">
        <f t="shared" si="46"/>
        <v>1.0000010954068042</v>
      </c>
      <c r="Y80" s="160">
        <f t="shared" si="47"/>
        <v>-1.4801390503649851E-3</v>
      </c>
      <c r="Z80" s="98" t="str">
        <f t="shared" si="36"/>
        <v>0.999999978975567+0.000442421341930841i</v>
      </c>
      <c r="AA80" s="160">
        <f t="shared" si="48"/>
        <v>1.0000000768438861</v>
      </c>
      <c r="AB80" s="160">
        <f t="shared" si="49"/>
        <v>4.4242132236647772E-4</v>
      </c>
      <c r="AC80" s="171" t="str">
        <f t="shared" si="50"/>
        <v>17.8830808923481-1.50224031775538i</v>
      </c>
      <c r="AD80" s="190">
        <f t="shared" si="51"/>
        <v>25.079385526507263</v>
      </c>
      <c r="AE80" s="169">
        <f t="shared" si="52"/>
        <v>-4.8017690822303436</v>
      </c>
      <c r="AF80" s="98" t="str">
        <f t="shared" si="37"/>
        <v>-0.0000816326530612245</v>
      </c>
      <c r="AG80" s="98" t="str">
        <f t="shared" si="38"/>
        <v>6.15527882529949E-06i</v>
      </c>
      <c r="AH80" s="98">
        <f t="shared" si="53"/>
        <v>6.1552788252994896E-6</v>
      </c>
      <c r="AI80" s="98">
        <f t="shared" si="54"/>
        <v>1.5707963267948966</v>
      </c>
      <c r="AJ80" s="98" t="str">
        <f t="shared" si="39"/>
        <v>1+0.00187584142380788i</v>
      </c>
      <c r="AK80" s="98">
        <f t="shared" si="55"/>
        <v>1.0000017593889758</v>
      </c>
      <c r="AL80" s="98">
        <f t="shared" si="56"/>
        <v>1.875839223587442E-3</v>
      </c>
      <c r="AM80" s="98" t="str">
        <f t="shared" si="40"/>
        <v>1+0.0293881823063236i</v>
      </c>
      <c r="AN80" s="98">
        <f t="shared" si="57"/>
        <v>1.0004317394301672</v>
      </c>
      <c r="AO80" s="98">
        <f t="shared" si="58"/>
        <v>2.9379726170490034E-2</v>
      </c>
      <c r="AP80" s="168" t="str">
        <f t="shared" si="59"/>
        <v>-0.36487339389273+13.2629030017613i</v>
      </c>
      <c r="AQ80" s="98">
        <f t="shared" si="60"/>
        <v>22.45605756330238</v>
      </c>
      <c r="AR80" s="169">
        <f t="shared" si="61"/>
        <v>91.57585664226248</v>
      </c>
      <c r="AS80" s="168" t="str">
        <f t="shared" si="62"/>
        <v>13.3990072012754+237.729694771046i</v>
      </c>
      <c r="AT80" s="190">
        <f t="shared" si="63"/>
        <v>47.535443089809647</v>
      </c>
      <c r="AU80" s="169">
        <f t="shared" si="64"/>
        <v>86.774087560032143</v>
      </c>
      <c r="AV80" s="225"/>
      <c r="AX80">
        <f t="shared" si="65"/>
        <v>0</v>
      </c>
      <c r="AY80">
        <f t="shared" si="66"/>
        <v>0</v>
      </c>
    </row>
    <row r="81" spans="14:51" x14ac:dyDescent="0.25">
      <c r="N81" s="170">
        <v>63</v>
      </c>
      <c r="O81" s="199">
        <f t="shared" si="41"/>
        <v>42.657951880159267</v>
      </c>
      <c r="P81" s="189" t="str">
        <f t="shared" si="32"/>
        <v>18.0065359477124</v>
      </c>
      <c r="Q81" s="160" t="str">
        <f t="shared" si="33"/>
        <v>1+0.0840871581138168i</v>
      </c>
      <c r="R81" s="160">
        <f t="shared" si="42"/>
        <v>1.0035290978141382</v>
      </c>
      <c r="S81" s="160">
        <f t="shared" si="43"/>
        <v>8.388981103701533E-2</v>
      </c>
      <c r="T81" s="160" t="str">
        <f t="shared" si="34"/>
        <v>1+0.000107211126595116i</v>
      </c>
      <c r="U81" s="160">
        <f t="shared" si="44"/>
        <v>1.0000000057471128</v>
      </c>
      <c r="V81" s="160">
        <f t="shared" si="45"/>
        <v>1.0721112618434637E-4</v>
      </c>
      <c r="W81" s="98" t="str">
        <f t="shared" si="35"/>
        <v>1-0.00151461702391992i</v>
      </c>
      <c r="X81" s="160">
        <f t="shared" si="46"/>
        <v>1.0000011470317067</v>
      </c>
      <c r="Y81" s="160">
        <f t="shared" si="47"/>
        <v>-1.5146158657116833E-3</v>
      </c>
      <c r="Z81" s="98" t="str">
        <f t="shared" si="36"/>
        <v>0.999999977984716+0.000452726658833277i</v>
      </c>
      <c r="AA81" s="160">
        <f t="shared" si="48"/>
        <v>1.0000000804654268</v>
      </c>
      <c r="AB81" s="160">
        <f t="shared" si="49"/>
        <v>4.5272663786968424E-4</v>
      </c>
      <c r="AC81" s="171" t="str">
        <f t="shared" si="50"/>
        <v>17.8773034848839-1.53674618389762i</v>
      </c>
      <c r="AD81" s="190">
        <f t="shared" si="51"/>
        <v>25.078013369679375</v>
      </c>
      <c r="AE81" s="169">
        <f t="shared" si="52"/>
        <v>-4.9131097938356669</v>
      </c>
      <c r="AF81" s="98" t="str">
        <f t="shared" si="37"/>
        <v>-0.0000816326530612245</v>
      </c>
      <c r="AG81" s="98" t="str">
        <f t="shared" si="38"/>
        <v>6.29865368746308E-06i</v>
      </c>
      <c r="AH81" s="98">
        <f t="shared" si="53"/>
        <v>6.2986536874630803E-6</v>
      </c>
      <c r="AI81" s="98">
        <f t="shared" si="54"/>
        <v>1.5707963267948966</v>
      </c>
      <c r="AJ81" s="98" t="str">
        <f t="shared" si="39"/>
        <v>1+0.00191953538361256i</v>
      </c>
      <c r="AK81" s="98">
        <f t="shared" si="55"/>
        <v>1.0000018423063475</v>
      </c>
      <c r="AL81" s="98">
        <f t="shared" si="56"/>
        <v>1.9195330260341193E-3</v>
      </c>
      <c r="AM81" s="98" t="str">
        <f t="shared" si="40"/>
        <v>1+0.0300727210099302i</v>
      </c>
      <c r="AN81" s="98">
        <f t="shared" si="57"/>
        <v>1.0004520820853646</v>
      </c>
      <c r="AO81" s="98">
        <f t="shared" si="58"/>
        <v>3.0063660318257541E-2</v>
      </c>
      <c r="AP81" s="168" t="str">
        <f t="shared" si="59"/>
        <v>-0.364873333384158+12.9610339937567i</v>
      </c>
      <c r="AQ81" s="98">
        <f t="shared" si="60"/>
        <v>22.256233459101985</v>
      </c>
      <c r="AR81" s="169">
        <f t="shared" si="61"/>
        <v>91.612539711923347</v>
      </c>
      <c r="AS81" s="168" t="str">
        <f t="shared" si="62"/>
        <v>13.3948682148231+232.269055886969i</v>
      </c>
      <c r="AT81" s="190">
        <f t="shared" si="63"/>
        <v>47.334246828781346</v>
      </c>
      <c r="AU81" s="169">
        <f t="shared" si="64"/>
        <v>86.699429918087702</v>
      </c>
      <c r="AV81" s="225"/>
      <c r="AX81">
        <f t="shared" si="65"/>
        <v>0</v>
      </c>
      <c r="AY81">
        <f t="shared" si="66"/>
        <v>0</v>
      </c>
    </row>
    <row r="82" spans="14:51" x14ac:dyDescent="0.25">
      <c r="N82" s="170">
        <v>64</v>
      </c>
      <c r="O82" s="199">
        <f t="shared" si="41"/>
        <v>43.651583224016633</v>
      </c>
      <c r="P82" s="189" t="str">
        <f t="shared" si="32"/>
        <v>18.0065359477124</v>
      </c>
      <c r="Q82" s="160" t="str">
        <f t="shared" si="33"/>
        <v>1+0.0860457996386723i</v>
      </c>
      <c r="R82" s="160">
        <f t="shared" si="42"/>
        <v>1.0036951128881013</v>
      </c>
      <c r="S82" s="160">
        <f t="shared" si="43"/>
        <v>8.5834380459034618E-2</v>
      </c>
      <c r="T82" s="160" t="str">
        <f t="shared" si="34"/>
        <v>1+0.000109708394539307i</v>
      </c>
      <c r="U82" s="160">
        <f t="shared" si="44"/>
        <v>1.0000000060179659</v>
      </c>
      <c r="V82" s="160">
        <f t="shared" si="45"/>
        <v>1.0970839409915942E-4</v>
      </c>
      <c r="W82" s="98" t="str">
        <f t="shared" si="35"/>
        <v>1-0.00154989698656639i</v>
      </c>
      <c r="X82" s="160">
        <f t="shared" si="46"/>
        <v>1.0000012010896133</v>
      </c>
      <c r="Y82" s="160">
        <f t="shared" si="47"/>
        <v>-1.5498957455239853E-3</v>
      </c>
      <c r="Z82" s="98" t="str">
        <f t="shared" si="36"/>
        <v>0.999999976947167+0.000463272017402771i</v>
      </c>
      <c r="AA82" s="160">
        <f t="shared" si="48"/>
        <v>1.0000000842576449</v>
      </c>
      <c r="AB82" s="160">
        <f t="shared" si="49"/>
        <v>4.6327199493987698E-4</v>
      </c>
      <c r="AC82" s="171" t="str">
        <f t="shared" si="50"/>
        <v>17.8712577087676-1.57202138703324i</v>
      </c>
      <c r="AD82" s="190">
        <f t="shared" si="51"/>
        <v>25.076577009888052</v>
      </c>
      <c r="AE82" s="169">
        <f t="shared" si="52"/>
        <v>-5.0270079244442947</v>
      </c>
      <c r="AF82" s="98" t="str">
        <f t="shared" si="37"/>
        <v>-0.0000816326530612245</v>
      </c>
      <c r="AG82" s="98" t="str">
        <f t="shared" si="38"/>
        <v>0.0000064453681791843i</v>
      </c>
      <c r="AH82" s="98">
        <f t="shared" si="53"/>
        <v>6.4453681791843E-6</v>
      </c>
      <c r="AI82" s="98">
        <f t="shared" si="54"/>
        <v>1.5707963267948966</v>
      </c>
      <c r="AJ82" s="98" t="str">
        <f t="shared" si="39"/>
        <v>1+0.00196424710648567i</v>
      </c>
      <c r="AK82" s="98">
        <f t="shared" si="55"/>
        <v>1.0000019291314868</v>
      </c>
      <c r="AL82" s="98">
        <f t="shared" si="56"/>
        <v>1.9642445802951205E-3</v>
      </c>
      <c r="AM82" s="98" t="str">
        <f t="shared" si="40"/>
        <v>1+0.0307732046682757i</v>
      </c>
      <c r="AN82" s="98">
        <f t="shared" si="57"/>
        <v>1.0004733830170374</v>
      </c>
      <c r="AO82" s="98">
        <f t="shared" si="58"/>
        <v>3.0763496210316415E-2</v>
      </c>
      <c r="AP82" s="168" t="str">
        <f t="shared" si="59"/>
        <v>-0.364873270023927+12.6660370975243i</v>
      </c>
      <c r="AQ82" s="98">
        <f t="shared" si="60"/>
        <v>22.056417636917516</v>
      </c>
      <c r="AR82" s="169">
        <f t="shared" si="61"/>
        <v>91.650075571535481</v>
      </c>
      <c r="AS82" s="168" t="str">
        <f t="shared" si="62"/>
        <v>13.3905369666263+226.931601702702i</v>
      </c>
      <c r="AT82" s="190">
        <f t="shared" si="63"/>
        <v>47.132994646805571</v>
      </c>
      <c r="AU82" s="169">
        <f t="shared" si="64"/>
        <v>86.62306764709119</v>
      </c>
      <c r="AV82" s="225"/>
      <c r="AX82">
        <f t="shared" si="65"/>
        <v>0</v>
      </c>
      <c r="AY82">
        <f t="shared" si="66"/>
        <v>0</v>
      </c>
    </row>
    <row r="83" spans="14:51" x14ac:dyDescent="0.25">
      <c r="N83" s="170">
        <v>65</v>
      </c>
      <c r="O83" s="199">
        <f t="shared" si="41"/>
        <v>44.668359215096324</v>
      </c>
      <c r="P83" s="189" t="str">
        <f t="shared" ref="P83:P146" si="67">COMPLEX(Adc,0)</f>
        <v>18.0065359477124</v>
      </c>
      <c r="Q83" s="160" t="str">
        <f t="shared" ref="Q83:Q146" si="68">IMSUM(COMPLEX(1,0),IMDIV(COMPLEX(0,2*PI()*O83),COMPLEX(wp_lf,0)))</f>
        <v>1+0.0880500637854472i</v>
      </c>
      <c r="R83" s="160">
        <f t="shared" si="42"/>
        <v>1.003868922585325</v>
      </c>
      <c r="S83" s="160">
        <f t="shared" si="43"/>
        <v>8.7823571180719096E-2</v>
      </c>
      <c r="T83" s="160" t="str">
        <f t="shared" ref="T83:T146" si="69">IMSUM(COMPLEX(1,0),IMDIV(COMPLEX(0,2*PI()*O83),COMPLEX(wz_esr,0)))</f>
        <v>1+0.000112263831326445i</v>
      </c>
      <c r="U83" s="160">
        <f t="shared" si="44"/>
        <v>1.0000000063015839</v>
      </c>
      <c r="V83" s="160">
        <f t="shared" si="45"/>
        <v>1.1226383085481837E-4</v>
      </c>
      <c r="W83" s="98" t="str">
        <f t="shared" ref="W83:W146" si="70">IMSUB(COMPLEX(1,0),IMDIV(COMPLEX(0,2*PI()*O83),COMPLEX(wz_rhp,0)))</f>
        <v>1-0.00158599872511044i</v>
      </c>
      <c r="X83" s="160">
        <f t="shared" si="46"/>
        <v>1.0000012576951871</v>
      </c>
      <c r="Y83" s="160">
        <f t="shared" si="47"/>
        <v>-1.5859973953096351E-3</v>
      </c>
      <c r="Z83" s="98" t="str">
        <f t="shared" ref="Z83:Z146" si="71">IF(Dc_Mode_Loop="CCM",IMSUM(COMPLEX(1,0),IMDIV(COMPLEX(0,2*PI()*O83),COMPLEX(Q*(wsl/2),0)),IMDIV(IMPOWER(COMPLEX(0,2*PI()*O83),2),IMPOWER(COMPLEX(wsl/2,0),2))),COMPLEX(1,0))</f>
        <v>0.999999975860721+0.000474063008928023i</v>
      </c>
      <c r="AA83" s="160">
        <f t="shared" si="48"/>
        <v>1.0000000882285858</v>
      </c>
      <c r="AB83" s="160">
        <f t="shared" si="49"/>
        <v>4.740629848585983E-4</v>
      </c>
      <c r="AC83" s="171" t="str">
        <f t="shared" si="50"/>
        <v>17.8649312893557-1.60808142719486i</v>
      </c>
      <c r="AD83" s="190">
        <f t="shared" si="51"/>
        <v>25.075073465846273</v>
      </c>
      <c r="AE83" s="169">
        <f t="shared" si="52"/>
        <v>-5.1435204920477648</v>
      </c>
      <c r="AF83" s="98" t="str">
        <f t="shared" ref="AF83:AF146" si="72">COMPLEX(Adc_ea,0)</f>
        <v>-0.0000816326530612245</v>
      </c>
      <c r="AG83" s="98" t="str">
        <f t="shared" ref="AG83:AG146" si="73">COMPLEX(0,2*PI()*O83*wp0_ea)</f>
        <v>6.59550009042866E-06i</v>
      </c>
      <c r="AH83" s="98">
        <f t="shared" si="53"/>
        <v>6.5955000904286604E-6</v>
      </c>
      <c r="AI83" s="98">
        <f t="shared" si="54"/>
        <v>1.5707963267948966</v>
      </c>
      <c r="AJ83" s="98" t="str">
        <f t="shared" ref="AJ83:AJ146" si="74">IMSUM(COMPLEX(1,0),IMDIV(COMPLEX(0,2*PI()*O83),COMPLEX(wp1_ea,0)))</f>
        <v>1+0.00201000029917454i</v>
      </c>
      <c r="AK83" s="98">
        <f t="shared" si="55"/>
        <v>1.0000020200485611</v>
      </c>
      <c r="AL83" s="98">
        <f t="shared" si="56"/>
        <v>2.0099975923128927E-3</v>
      </c>
      <c r="AM83" s="98" t="str">
        <f t="shared" ref="AM83:AM146" si="75">IMSUM(COMPLEX(1,0),IMDIV(COMPLEX(0,2*PI()*O83),COMPLEX(wz_ea,0)))</f>
        <v>1+0.0314900046870679i</v>
      </c>
      <c r="AN83" s="98">
        <f t="shared" si="57"/>
        <v>1.000495687344624</v>
      </c>
      <c r="AO83" s="98">
        <f t="shared" si="58"/>
        <v>3.1479602165281041E-2</v>
      </c>
      <c r="AP83" s="168" t="str">
        <f t="shared" si="59"/>
        <v>-0.364873203677643+12.3777559018041i</v>
      </c>
      <c r="AQ83" s="98">
        <f t="shared" si="60"/>
        <v>21.856610486326353</v>
      </c>
      <c r="AR83" s="169">
        <f t="shared" si="61"/>
        <v>91.688483965950496</v>
      </c>
      <c r="AS83" s="168" t="str">
        <f t="shared" si="62"/>
        <v>13.3860046630146+221.714504524262i</v>
      </c>
      <c r="AT83" s="190">
        <f t="shared" si="63"/>
        <v>46.931683952172605</v>
      </c>
      <c r="AU83" s="169">
        <f t="shared" si="64"/>
        <v>86.544963473902726</v>
      </c>
      <c r="AV83" s="225"/>
      <c r="AX83">
        <f t="shared" si="65"/>
        <v>0</v>
      </c>
      <c r="AY83">
        <f t="shared" si="66"/>
        <v>0</v>
      </c>
    </row>
    <row r="84" spans="14:51" x14ac:dyDescent="0.25">
      <c r="N84" s="170">
        <v>66</v>
      </c>
      <c r="O84" s="199">
        <f t="shared" ref="O84:O118" si="76">10^(1+(N84/100))</f>
        <v>45.70881896148753</v>
      </c>
      <c r="P84" s="189" t="str">
        <f t="shared" si="67"/>
        <v>18.0065359477124</v>
      </c>
      <c r="Q84" s="160" t="str">
        <f t="shared" si="68"/>
        <v>1+0.0901010132415216i</v>
      </c>
      <c r="R84" s="160">
        <f t="shared" ref="R84:R147" si="77">IMABS(Q84)</f>
        <v>1.0040508914328738</v>
      </c>
      <c r="S84" s="160">
        <f t="shared" ref="S84:S147" si="78">IMARGUMENT(Q84)</f>
        <v>8.9858374894483534E-2</v>
      </c>
      <c r="T84" s="160" t="str">
        <f t="shared" si="69"/>
        <v>1+0.00011487879188294i</v>
      </c>
      <c r="U84" s="160">
        <f t="shared" ref="U84:U147" si="79">IMABS(T84)</f>
        <v>1.0000000065985684</v>
      </c>
      <c r="V84" s="160">
        <f t="shared" ref="V84:V147" si="80">IMARGUMENT(T84)</f>
        <v>1.1487879137758297E-4</v>
      </c>
      <c r="W84" s="98" t="str">
        <f t="shared" si="70"/>
        <v>1-0.00162294138117172i</v>
      </c>
      <c r="X84" s="160">
        <f t="shared" ref="X84:X147" si="81">IMABS(W84)</f>
        <v>1.000001316968496</v>
      </c>
      <c r="Y84" s="160">
        <f t="shared" ref="Y84:Y147" si="82">IMARGUMENT(W84)</f>
        <v>-1.6229399562645867E-3</v>
      </c>
      <c r="Z84" s="98" t="str">
        <f t="shared" si="71"/>
        <v>0.999999974723071+0.000485105354935575i</v>
      </c>
      <c r="AA84" s="160">
        <f t="shared" ref="AA84:AA147" si="83">IMABS(Z84)</f>
        <v>1.0000000923866699</v>
      </c>
      <c r="AB84" s="160">
        <f t="shared" ref="AB84:AB147" si="84">IMARGUMENT(Z84)</f>
        <v>4.8510532914472227E-4</v>
      </c>
      <c r="AC84" s="171" t="str">
        <f t="shared" ref="AC84:AC147" si="85">(IMDIV(IMPRODUCT(P84,T84,W84),IMPRODUCT(Q84,Z84)))</f>
        <v>17.8583114088978-1.64494199727248i</v>
      </c>
      <c r="AD84" s="190">
        <f t="shared" ref="AD84:AD147" si="86">20*LOG(IMABS(AC84))</f>
        <v>25.07349962000735</v>
      </c>
      <c r="AE84" s="169">
        <f t="shared" ref="AE84:AE147" si="87">(180/PI())*IMARGUMENT(AC84)</f>
        <v>-5.2627056633331186</v>
      </c>
      <c r="AF84" s="98" t="str">
        <f t="shared" si="72"/>
        <v>-0.0000816326530612245</v>
      </c>
      <c r="AG84" s="98" t="str">
        <f t="shared" si="73"/>
        <v>6.74912902312273E-06i</v>
      </c>
      <c r="AH84" s="98">
        <f t="shared" ref="AH84:AH147" si="88">IMABS(AG84)</f>
        <v>6.7491290231227302E-6</v>
      </c>
      <c r="AI84" s="98">
        <f t="shared" ref="AI84:AI147" si="89">IMARGUMENT(AG84)</f>
        <v>1.5707963267948966</v>
      </c>
      <c r="AJ84" s="98" t="str">
        <f t="shared" si="74"/>
        <v>1+0.00205681922062753i</v>
      </c>
      <c r="AK84" s="98">
        <f t="shared" ref="AK84:AK147" si="90">IMABS(AJ84)</f>
        <v>1.0000021152504159</v>
      </c>
      <c r="AL84" s="98">
        <f t="shared" ref="AL84:AL147" si="91">IMARGUMENT(AJ84)</f>
        <v>2.0568163201733496E-3</v>
      </c>
      <c r="AM84" s="98" t="str">
        <f t="shared" si="75"/>
        <v>1+0.0322235011231647i</v>
      </c>
      <c r="AN84" s="98">
        <f t="shared" ref="AN84:AN147" si="92">IMABS(AM84)</f>
        <v>1.0005190423098576</v>
      </c>
      <c r="AO84" s="98">
        <f t="shared" ref="AO84:AO147" si="93">IMARGUMENT(AM84)</f>
        <v>3.2212354932529864E-2</v>
      </c>
      <c r="AP84" s="168" t="str">
        <f t="shared" ref="AP84:AP147" si="94">IMPRODUCT(AF84,IMDIV(AM84,IMPRODUCT(AG84,AJ84)))</f>
        <v>-0.364873134204581+12.0960375560894i</v>
      </c>
      <c r="AQ84" s="98">
        <f t="shared" ref="AQ84:AQ147" si="95">20*LOG(IMABS(AP84))</f>
        <v>21.656812415194644</v>
      </c>
      <c r="AR84" s="169">
        <f t="shared" ref="AR84:AR147" si="96">(180/PI())*IMARGUMENT(AP84)</f>
        <v>91.727785091431812</v>
      </c>
      <c r="AS84" s="168" t="str">
        <f t="shared" ref="AS84:AS147" si="97">IMPRODUCT(AC84,AP84)</f>
        <v>13.3812621212307+216.615000632497i</v>
      </c>
      <c r="AT84" s="190">
        <f t="shared" ref="AT84:AT147" si="98">20*LOG(IMABS(AS84))</f>
        <v>46.73031203520199</v>
      </c>
      <c r="AU84" s="169">
        <f t="shared" ref="AU84:AU147" si="99">(180/PI())*IMARGUMENT(AS84)</f>
        <v>86.46507942809869</v>
      </c>
      <c r="AV84" s="225"/>
      <c r="AX84">
        <f t="shared" ref="AX84:AX147" si="100">SUM((AT85&lt;0)*(AT84&gt;0))*O84</f>
        <v>0</v>
      </c>
      <c r="AY84">
        <f t="shared" ref="AY84:AY147" si="101">IF(AX84&gt;0,AU84,0)</f>
        <v>0</v>
      </c>
    </row>
    <row r="85" spans="14:51" x14ac:dyDescent="0.25">
      <c r="N85" s="170">
        <v>67</v>
      </c>
      <c r="O85" s="199">
        <f t="shared" si="76"/>
        <v>46.773514128719818</v>
      </c>
      <c r="P85" s="189" t="str">
        <f t="shared" si="67"/>
        <v>18.0065359477124</v>
      </c>
      <c r="Q85" s="160" t="str">
        <f t="shared" si="68"/>
        <v>1+0.0921997354474444i</v>
      </c>
      <c r="R85" s="160">
        <f t="shared" si="77"/>
        <v>1.0042414008676293</v>
      </c>
      <c r="S85" s="160">
        <f t="shared" si="78"/>
        <v>9.1939803043229754E-2</v>
      </c>
      <c r="T85" s="160" t="str">
        <f t="shared" si="69"/>
        <v>1+0.000117554662695492i</v>
      </c>
      <c r="U85" s="160">
        <f t="shared" si="79"/>
        <v>1.0000000069095494</v>
      </c>
      <c r="V85" s="160">
        <f t="shared" si="80"/>
        <v>1.1755466215399217E-4</v>
      </c>
      <c r="W85" s="98" t="str">
        <f t="shared" si="70"/>
        <v>1-0.00166074454223547i</v>
      </c>
      <c r="X85" s="160">
        <f t="shared" si="81"/>
        <v>1.0000013790352664</v>
      </c>
      <c r="Y85" s="160">
        <f t="shared" si="82"/>
        <v>-1.6607430154200824E-3</v>
      </c>
      <c r="Z85" s="98" t="str">
        <f t="shared" si="71"/>
        <v>0.999999973531806+0.000496404910223441i</v>
      </c>
      <c r="AA85" s="160">
        <f t="shared" si="83"/>
        <v>1.0000000967407192</v>
      </c>
      <c r="AB85" s="160">
        <f t="shared" si="84"/>
        <v>4.9640488258804452E-4</v>
      </c>
      <c r="AC85" s="171" t="str">
        <f t="shared" si="85"/>
        <v>17.8513846842633-1.68261897606405i</v>
      </c>
      <c r="AD85" s="190">
        <f t="shared" si="86"/>
        <v>25.071852212545544</v>
      </c>
      <c r="AE85" s="169">
        <f t="shared" si="87"/>
        <v>-5.3846227679790024</v>
      </c>
      <c r="AF85" s="98" t="str">
        <f t="shared" si="72"/>
        <v>-0.0000816326530612245</v>
      </c>
      <c r="AG85" s="98" t="str">
        <f t="shared" si="73"/>
        <v>6.90633643336014E-06i</v>
      </c>
      <c r="AH85" s="98">
        <f t="shared" si="88"/>
        <v>6.9063364333601404E-6</v>
      </c>
      <c r="AI85" s="98">
        <f t="shared" si="89"/>
        <v>1.5707963267948966</v>
      </c>
      <c r="AJ85" s="98" t="str">
        <f t="shared" si="74"/>
        <v>1+0.00210472869485651i</v>
      </c>
      <c r="AK85" s="98">
        <f t="shared" si="90"/>
        <v>1.0000022149389864</v>
      </c>
      <c r="AL85" s="98">
        <f t="shared" si="91"/>
        <v>2.1047255869642342E-3</v>
      </c>
      <c r="AM85" s="98" t="str">
        <f t="shared" si="75"/>
        <v>1+0.0329740828860854i</v>
      </c>
      <c r="AN85" s="98">
        <f t="shared" si="92"/>
        <v>1.00054349737639</v>
      </c>
      <c r="AO85" s="98">
        <f t="shared" si="93"/>
        <v>3.2962139878003609E-2</v>
      </c>
      <c r="AP85" s="168" t="str">
        <f t="shared" si="94"/>
        <v>-0.364873061457383+11.8207326895834i</v>
      </c>
      <c r="AQ85" s="98">
        <f t="shared" si="95"/>
        <v>21.457023850532337</v>
      </c>
      <c r="AR85" s="169">
        <f t="shared" si="96"/>
        <v>91.767999605563233</v>
      </c>
      <c r="AS85" s="168" t="str">
        <f t="shared" si="97"/>
        <v>13.3762997534731+211.630388828662i</v>
      </c>
      <c r="AT85" s="190">
        <f t="shared" si="98"/>
        <v>46.52887606307786</v>
      </c>
      <c r="AU85" s="169">
        <f t="shared" si="99"/>
        <v>86.383376837584208</v>
      </c>
      <c r="AV85" s="225"/>
      <c r="AX85">
        <f t="shared" si="100"/>
        <v>0</v>
      </c>
      <c r="AY85">
        <f t="shared" si="101"/>
        <v>0</v>
      </c>
    </row>
    <row r="86" spans="14:51" x14ac:dyDescent="0.25">
      <c r="N86" s="170">
        <v>68</v>
      </c>
      <c r="O86" s="199">
        <f t="shared" si="76"/>
        <v>47.863009232263877</v>
      </c>
      <c r="P86" s="189" t="str">
        <f t="shared" si="67"/>
        <v>18.0065359477124</v>
      </c>
      <c r="Q86" s="160" t="str">
        <f t="shared" si="68"/>
        <v>1+0.0943473431735093i</v>
      </c>
      <c r="R86" s="160">
        <f t="shared" si="77"/>
        <v>1.0044408500075552</v>
      </c>
      <c r="S86" s="160">
        <f t="shared" si="78"/>
        <v>9.4068887048145408E-2</v>
      </c>
      <c r="T86" s="160" t="str">
        <f t="shared" si="69"/>
        <v>1+0.000120292862546224i</v>
      </c>
      <c r="U86" s="160">
        <f t="shared" si="79"/>
        <v>1.0000000072351862</v>
      </c>
      <c r="V86" s="160">
        <f t="shared" si="80"/>
        <v>1.2029286196599648E-4</v>
      </c>
      <c r="W86" s="98" t="str">
        <f t="shared" si="70"/>
        <v>1-0.00169942825203807i</v>
      </c>
      <c r="X86" s="160">
        <f t="shared" si="81"/>
        <v>1.0000014440271494</v>
      </c>
      <c r="Y86" s="160">
        <f t="shared" si="82"/>
        <v>-1.6994266160260344E-3</v>
      </c>
      <c r="Z86" s="98" t="str">
        <f t="shared" si="71"/>
        <v>0.999999972284399+0.000507967665965405i</v>
      </c>
      <c r="AA86" s="160">
        <f t="shared" si="83"/>
        <v>1.0000001012999691</v>
      </c>
      <c r="AB86" s="160">
        <f t="shared" si="84"/>
        <v>5.0796763635354409E-4</v>
      </c>
      <c r="AC86" s="171" t="str">
        <f t="shared" si="85"/>
        <v>17.8441371439254-1.72112842041553i</v>
      </c>
      <c r="AD86" s="190">
        <f t="shared" si="86"/>
        <v>25.070127835090656</v>
      </c>
      <c r="AE86" s="169">
        <f t="shared" si="87"/>
        <v>-5.5093323124381675</v>
      </c>
      <c r="AF86" s="98" t="str">
        <f t="shared" si="72"/>
        <v>-0.0000816326530612245</v>
      </c>
      <c r="AG86" s="98" t="str">
        <f t="shared" si="73"/>
        <v>7.06720567459069E-06i</v>
      </c>
      <c r="AH86" s="98">
        <f t="shared" si="88"/>
        <v>7.0672056745906902E-6</v>
      </c>
      <c r="AI86" s="98">
        <f t="shared" si="89"/>
        <v>1.5707963267948966</v>
      </c>
      <c r="AJ86" s="98" t="str">
        <f t="shared" si="74"/>
        <v>1+0.00215375412409888i</v>
      </c>
      <c r="AK86" s="98">
        <f t="shared" si="90"/>
        <v>1.0000023193257239</v>
      </c>
      <c r="AL86" s="98">
        <f t="shared" si="91"/>
        <v>2.1537507939327245E-3</v>
      </c>
      <c r="AM86" s="98" t="str">
        <f t="shared" si="75"/>
        <v>1+0.0337421479442159i</v>
      </c>
      <c r="AN86" s="98">
        <f t="shared" si="92"/>
        <v>1.0005691043340732</v>
      </c>
      <c r="AO86" s="98">
        <f t="shared" si="93"/>
        <v>3.3729351173579634E-2</v>
      </c>
      <c r="AP86" s="168" t="str">
        <f t="shared" si="94"/>
        <v>-0.364872985281747+11.5516953320009i</v>
      </c>
      <c r="AQ86" s="98">
        <f t="shared" si="95"/>
        <v>21.25724523938791</v>
      </c>
      <c r="AR86" s="169">
        <f t="shared" si="96"/>
        <v>91.809148637345459</v>
      </c>
      <c r="AS86" s="168" t="str">
        <f t="shared" si="97"/>
        <v>13.3711075504072+206.758029013877i</v>
      </c>
      <c r="AT86" s="190">
        <f t="shared" si="98"/>
        <v>46.327373074478551</v>
      </c>
      <c r="AU86" s="169">
        <f t="shared" si="99"/>
        <v>86.299816324907283</v>
      </c>
      <c r="AV86" s="225"/>
      <c r="AX86">
        <f t="shared" si="100"/>
        <v>0</v>
      </c>
      <c r="AY86">
        <f t="shared" si="101"/>
        <v>0</v>
      </c>
    </row>
    <row r="87" spans="14:51" x14ac:dyDescent="0.25">
      <c r="N87" s="170">
        <v>69</v>
      </c>
      <c r="O87" s="199">
        <f t="shared" si="76"/>
        <v>48.977881936844632</v>
      </c>
      <c r="P87" s="189" t="str">
        <f t="shared" si="67"/>
        <v>18.0065359477124</v>
      </c>
      <c r="Q87" s="160" t="str">
        <f t="shared" si="68"/>
        <v>1+0.0965449751097597i</v>
      </c>
      <c r="R87" s="160">
        <f t="shared" si="77"/>
        <v>1.0046496564568885</v>
      </c>
      <c r="S87" s="160">
        <f t="shared" si="78"/>
        <v>9.6246678526066262E-2</v>
      </c>
      <c r="T87" s="160" t="str">
        <f t="shared" si="69"/>
        <v>1+0.000123094843264944i</v>
      </c>
      <c r="U87" s="160">
        <f t="shared" si="79"/>
        <v>1.0000000075761701</v>
      </c>
      <c r="V87" s="160">
        <f t="shared" si="80"/>
        <v>1.2309484264321903E-4</v>
      </c>
      <c r="W87" s="98" t="str">
        <f t="shared" si="70"/>
        <v>1-0.00173901302119449i</v>
      </c>
      <c r="X87" s="160">
        <f t="shared" si="81"/>
        <v>1.0000015120820007</v>
      </c>
      <c r="Y87" s="160">
        <f t="shared" si="82"/>
        <v>-1.7390112681761531E-3</v>
      </c>
      <c r="Z87" s="98" t="str">
        <f t="shared" si="71"/>
        <v>0.999999970978203+0.00051979975288761i</v>
      </c>
      <c r="AA87" s="160">
        <f t="shared" si="83"/>
        <v>1.0000001060740893</v>
      </c>
      <c r="AB87" s="160">
        <f t="shared" si="84"/>
        <v>5.1979972115792953E-4</v>
      </c>
      <c r="AC87" s="171" t="str">
        <f t="shared" si="85"/>
        <v>17.8365542041956-1.76048655638396i</v>
      </c>
      <c r="AD87" s="190">
        <f t="shared" si="86"/>
        <v>25.068322924208637</v>
      </c>
      <c r="AE87" s="169">
        <f t="shared" si="87"/>
        <v>-5.6368959931393334</v>
      </c>
      <c r="AF87" s="98" t="str">
        <f t="shared" si="72"/>
        <v>-0.0000816326530612245</v>
      </c>
      <c r="AG87" s="98" t="str">
        <f t="shared" si="73"/>
        <v>7.23182204181543E-06i</v>
      </c>
      <c r="AH87" s="98">
        <f t="shared" si="88"/>
        <v>7.2318220418154299E-6</v>
      </c>
      <c r="AI87" s="98">
        <f t="shared" si="89"/>
        <v>1.5707963267948966</v>
      </c>
      <c r="AJ87" s="98" t="str">
        <f t="shared" si="74"/>
        <v>1+0.00220392150228616i</v>
      </c>
      <c r="AK87" s="98">
        <f t="shared" si="90"/>
        <v>1.000002428632045</v>
      </c>
      <c r="AL87" s="98">
        <f t="shared" si="91"/>
        <v>2.203917933949303E-3</v>
      </c>
      <c r="AM87" s="98" t="str">
        <f t="shared" si="75"/>
        <v>1+0.0345281035358167i</v>
      </c>
      <c r="AN87" s="98">
        <f t="shared" si="92"/>
        <v>1.0005959174081114</v>
      </c>
      <c r="AO87" s="98">
        <f t="shared" si="93"/>
        <v>3.4514391990051962E-2</v>
      </c>
      <c r="AP87" s="168" t="str">
        <f t="shared" si="94"/>
        <v>-0.364872905516099+11.2887828361727i</v>
      </c>
      <c r="AQ87" s="98">
        <f t="shared" si="95"/>
        <v>21.057477049784339</v>
      </c>
      <c r="AR87" s="169">
        <f t="shared" si="96"/>
        <v>91.851253797481633</v>
      </c>
      <c r="AS87" s="168" t="str">
        <f t="shared" si="97"/>
        <v>13.3656750641398+201.995340801737i</v>
      </c>
      <c r="AT87" s="190">
        <f t="shared" si="98"/>
        <v>46.125799973992969</v>
      </c>
      <c r="AU87" s="169">
        <f t="shared" si="99"/>
        <v>86.214357804342299</v>
      </c>
      <c r="AV87" s="225"/>
      <c r="AX87">
        <f t="shared" si="100"/>
        <v>0</v>
      </c>
      <c r="AY87">
        <f t="shared" si="101"/>
        <v>0</v>
      </c>
    </row>
    <row r="88" spans="14:51" x14ac:dyDescent="0.25">
      <c r="N88" s="170">
        <v>70</v>
      </c>
      <c r="O88" s="199">
        <f t="shared" si="76"/>
        <v>50.118723362727238</v>
      </c>
      <c r="P88" s="189" t="str">
        <f t="shared" si="67"/>
        <v>18.0065359477124</v>
      </c>
      <c r="Q88" s="160" t="str">
        <f t="shared" si="68"/>
        <v>1+0.0987937964697368i</v>
      </c>
      <c r="R88" s="160">
        <f t="shared" si="77"/>
        <v>1.004868257146629</v>
      </c>
      <c r="S88" s="160">
        <f t="shared" si="78"/>
        <v>9.8474249495137472E-2</v>
      </c>
      <c r="T88" s="160" t="str">
        <f t="shared" si="69"/>
        <v>1+0.000125962090498914i</v>
      </c>
      <c r="U88" s="160">
        <f t="shared" si="79"/>
        <v>1.0000000079332241</v>
      </c>
      <c r="V88" s="160">
        <f t="shared" si="80"/>
        <v>1.2596208983272367E-4</v>
      </c>
      <c r="W88" s="98" t="str">
        <f t="shared" si="70"/>
        <v>1-0.0017795198380733i</v>
      </c>
      <c r="X88" s="160">
        <f t="shared" si="81"/>
        <v>1.0000015833441736</v>
      </c>
      <c r="Y88" s="160">
        <f t="shared" si="82"/>
        <v>-1.7795179596804703E-3</v>
      </c>
      <c r="Z88" s="98" t="str">
        <f t="shared" si="71"/>
        <v>0.999999969610448+0.000531907444519159i</v>
      </c>
      <c r="AA88" s="160">
        <f t="shared" si="83"/>
        <v>1.0000001110732071</v>
      </c>
      <c r="AB88" s="160">
        <f t="shared" si="84"/>
        <v>5.3190741052019388E-4</v>
      </c>
      <c r="AC88" s="171" t="str">
        <f t="shared" si="85"/>
        <v>17.8286206447021-1.80070976935275i</v>
      </c>
      <c r="AD88" s="190">
        <f t="shared" si="86"/>
        <v>25.066433754619432</v>
      </c>
      <c r="AE88" s="169">
        <f t="shared" si="87"/>
        <v>-5.767376709035573</v>
      </c>
      <c r="AF88" s="98" t="str">
        <f t="shared" si="72"/>
        <v>-0.0000816326530612245</v>
      </c>
      <c r="AG88" s="98" t="str">
        <f t="shared" si="73"/>
        <v>7.40027281681122E-06i</v>
      </c>
      <c r="AH88" s="98">
        <f t="shared" si="88"/>
        <v>7.4002728168112202E-6</v>
      </c>
      <c r="AI88" s="98">
        <f t="shared" si="89"/>
        <v>1.5707963267948966</v>
      </c>
      <c r="AJ88" s="98" t="str">
        <f t="shared" si="74"/>
        <v>1+0.0022552574288263i</v>
      </c>
      <c r="AK88" s="98">
        <f t="shared" si="90"/>
        <v>1.0000025430898014</v>
      </c>
      <c r="AL88" s="98">
        <f t="shared" si="91"/>
        <v>2.2552536052849953E-3</v>
      </c>
      <c r="AM88" s="98" t="str">
        <f t="shared" si="75"/>
        <v>1+0.0353323663849455i</v>
      </c>
      <c r="AN88" s="98">
        <f t="shared" si="92"/>
        <v>1.000623993373315</v>
      </c>
      <c r="AO88" s="98">
        <f t="shared" si="93"/>
        <v>3.5317674693744049E-2</v>
      </c>
      <c r="AP88" s="168" t="str">
        <f t="shared" si="94"/>
        <v>-0.364872821991247+11.0318558024125i</v>
      </c>
      <c r="AQ88" s="98">
        <f t="shared" si="95"/>
        <v>20.857719771698761</v>
      </c>
      <c r="AR88" s="169">
        <f t="shared" si="96"/>
        <v>91.894337188853029</v>
      </c>
      <c r="AS88" s="168" t="str">
        <f t="shared" si="97"/>
        <v>13.3599913906511+197.339802163399i</v>
      </c>
      <c r="AT88" s="190">
        <f t="shared" si="98"/>
        <v>45.924153526318186</v>
      </c>
      <c r="AU88" s="169">
        <f t="shared" si="99"/>
        <v>86.12696047981747</v>
      </c>
      <c r="AV88" s="225"/>
      <c r="AX88">
        <f t="shared" si="100"/>
        <v>0</v>
      </c>
      <c r="AY88">
        <f t="shared" si="101"/>
        <v>0</v>
      </c>
    </row>
    <row r="89" spans="14:51" x14ac:dyDescent="0.25">
      <c r="N89" s="170">
        <v>71</v>
      </c>
      <c r="O89" s="199">
        <f t="shared" si="76"/>
        <v>51.28613839913649</v>
      </c>
      <c r="P89" s="189" t="str">
        <f t="shared" si="67"/>
        <v>18.0065359477124</v>
      </c>
      <c r="Q89" s="160" t="str">
        <f t="shared" si="68"/>
        <v>1+0.101094999608293i</v>
      </c>
      <c r="R89" s="160">
        <f t="shared" si="77"/>
        <v>1.0050971092117422</v>
      </c>
      <c r="S89" s="160">
        <f t="shared" si="78"/>
        <v>0.10075269256741953</v>
      </c>
      <c r="T89" s="160" t="str">
        <f t="shared" si="69"/>
        <v>1+0.000128896124500573i</v>
      </c>
      <c r="U89" s="160">
        <f t="shared" si="79"/>
        <v>1.0000000083071054</v>
      </c>
      <c r="V89" s="160">
        <f t="shared" si="80"/>
        <v>1.2889612378673722E-4</v>
      </c>
      <c r="W89" s="98" t="str">
        <f t="shared" si="70"/>
        <v>1-0.00182097017992499i</v>
      </c>
      <c r="X89" s="160">
        <f t="shared" si="81"/>
        <v>1.0000016579648237</v>
      </c>
      <c r="Y89" s="160">
        <f t="shared" si="82"/>
        <v>-1.8209681671909903E-3</v>
      </c>
      <c r="Z89" s="98" t="str">
        <f t="shared" si="71"/>
        <v>0.999999968178232+0.000544297160518419i</v>
      </c>
      <c r="AA89" s="160">
        <f t="shared" si="83"/>
        <v>1.0000001163079253</v>
      </c>
      <c r="AB89" s="160">
        <f t="shared" si="84"/>
        <v>5.4429712408787204E-4</v>
      </c>
      <c r="AC89" s="171" t="str">
        <f t="shared" si="85"/>
        <v>17.8203205831127-1.84181459302534i</v>
      </c>
      <c r="AD89" s="190">
        <f t="shared" si="86"/>
        <v>25.064456432145409</v>
      </c>
      <c r="AE89" s="169">
        <f t="shared" si="87"/>
        <v>-5.9008385734227424</v>
      </c>
      <c r="AF89" s="98" t="str">
        <f t="shared" si="72"/>
        <v>-0.0000816326530612245</v>
      </c>
      <c r="AG89" s="98" t="str">
        <f t="shared" si="73"/>
        <v>7.57264731440868E-06i</v>
      </c>
      <c r="AH89" s="98">
        <f t="shared" si="88"/>
        <v>7.5726473144086803E-6</v>
      </c>
      <c r="AI89" s="98">
        <f t="shared" si="89"/>
        <v>1.5707963267948966</v>
      </c>
      <c r="AJ89" s="98" t="str">
        <f t="shared" si="74"/>
        <v>1+0.00230778912270706i</v>
      </c>
      <c r="AK89" s="98">
        <f t="shared" si="90"/>
        <v>1.0000026629417718</v>
      </c>
      <c r="AL89" s="98">
        <f t="shared" si="91"/>
        <v>2.3077850257093267E-3</v>
      </c>
      <c r="AM89" s="98" t="str">
        <f t="shared" si="75"/>
        <v>1+0.0361553629224108i</v>
      </c>
      <c r="AN89" s="98">
        <f t="shared" si="92"/>
        <v>1.0006533916736859</v>
      </c>
      <c r="AO89" s="98">
        <f t="shared" si="93"/>
        <v>3.6139621046779924E-2</v>
      </c>
      <c r="AP89" s="168" t="str">
        <f t="shared" si="94"/>
        <v>-0.364872734530032+10.7807780046047i</v>
      </c>
      <c r="AQ89" s="98">
        <f t="shared" si="95"/>
        <v>20.657973918086729</v>
      </c>
      <c r="AR89" s="169">
        <f t="shared" si="96"/>
        <v>91.938421417186007</v>
      </c>
      <c r="AS89" s="168" t="str">
        <f t="shared" si="97"/>
        <v>13.3540451516854+192.78894810448i</v>
      </c>
      <c r="AT89" s="190">
        <f t="shared" si="98"/>
        <v>45.722430350232131</v>
      </c>
      <c r="AU89" s="169">
        <f t="shared" si="99"/>
        <v>86.037582843763275</v>
      </c>
      <c r="AV89" s="225"/>
      <c r="AX89">
        <f t="shared" si="100"/>
        <v>0</v>
      </c>
      <c r="AY89">
        <f t="shared" si="101"/>
        <v>0</v>
      </c>
    </row>
    <row r="90" spans="14:51" x14ac:dyDescent="0.25">
      <c r="N90" s="170">
        <v>72</v>
      </c>
      <c r="O90" s="199">
        <f t="shared" si="76"/>
        <v>52.480746024977286</v>
      </c>
      <c r="P90" s="189" t="str">
        <f t="shared" si="67"/>
        <v>18.0065359477124</v>
      </c>
      <c r="Q90" s="160" t="str">
        <f t="shared" si="68"/>
        <v>1+0.103449804653792i</v>
      </c>
      <c r="R90" s="160">
        <f t="shared" si="77"/>
        <v>1.005336690906538</v>
      </c>
      <c r="S90" s="160">
        <f t="shared" si="78"/>
        <v>0.10308312112698009</v>
      </c>
      <c r="T90" s="160" t="str">
        <f t="shared" si="69"/>
        <v>1+0.000131898500933584i</v>
      </c>
      <c r="U90" s="160">
        <f t="shared" si="79"/>
        <v>1.0000000086986072</v>
      </c>
      <c r="V90" s="160">
        <f t="shared" si="80"/>
        <v>1.3189850016869517E-4</v>
      </c>
      <c r="W90" s="98" t="str">
        <f t="shared" si="70"/>
        <v>1-0.00186338602426947i</v>
      </c>
      <c r="X90" s="160">
        <f t="shared" si="81"/>
        <v>1.0000017361022306</v>
      </c>
      <c r="Y90" s="160">
        <f t="shared" si="82"/>
        <v>-1.8633838675863354E-3</v>
      </c>
      <c r="Z90" s="98" t="str">
        <f t="shared" si="71"/>
        <v>0.999999966678519+0.000556975470076812i</v>
      </c>
      <c r="AA90" s="160">
        <f t="shared" si="83"/>
        <v>1.0000001217893493</v>
      </c>
      <c r="AB90" s="160">
        <f t="shared" si="84"/>
        <v>5.5697543104077764E-4</v>
      </c>
      <c r="AC90" s="171" t="str">
        <f t="shared" si="85"/>
        <v>17.8116374490973-1.88381769721801i</v>
      </c>
      <c r="AD90" s="190">
        <f t="shared" si="86"/>
        <v>25.062386886379961</v>
      </c>
      <c r="AE90" s="169">
        <f t="shared" si="87"/>
        <v>-6.0373469249446021</v>
      </c>
      <c r="AF90" s="98" t="str">
        <f t="shared" si="72"/>
        <v>-0.0000816326530612245</v>
      </c>
      <c r="AG90" s="98" t="str">
        <f t="shared" si="73"/>
        <v>7.74903692984808E-06i</v>
      </c>
      <c r="AH90" s="98">
        <f t="shared" si="88"/>
        <v>7.7490369298480802E-6</v>
      </c>
      <c r="AI90" s="98">
        <f t="shared" si="89"/>
        <v>1.5707963267948966</v>
      </c>
      <c r="AJ90" s="98" t="str">
        <f t="shared" si="74"/>
        <v>1+0.00236154443692789i</v>
      </c>
      <c r="AK90" s="98">
        <f t="shared" si="90"/>
        <v>1.000002788442176</v>
      </c>
      <c r="AL90" s="98">
        <f t="shared" si="91"/>
        <v>2.3615400469163862E-3</v>
      </c>
      <c r="AM90" s="98" t="str">
        <f t="shared" si="75"/>
        <v>1+0.0369975295118704i</v>
      </c>
      <c r="AN90" s="98">
        <f t="shared" si="92"/>
        <v>1.0006841745475852</v>
      </c>
      <c r="AO90" s="98">
        <f t="shared" si="93"/>
        <v>3.6980662411030485E-2</v>
      </c>
      <c r="AP90" s="168" t="str">
        <f t="shared" si="94"/>
        <v>-0.364872642946941+10.5354163179765i</v>
      </c>
      <c r="AQ90" s="98">
        <f t="shared" si="95"/>
        <v>20.458240025955064</v>
      </c>
      <c r="AR90" s="169">
        <f t="shared" si="96"/>
        <v>91.983529601910689</v>
      </c>
      <c r="AS90" s="168" t="str">
        <f t="shared" si="97"/>
        <v>13.3478244760987+188.340369373115i</v>
      </c>
      <c r="AT90" s="190">
        <f t="shared" si="98"/>
        <v>45.520626912335018</v>
      </c>
      <c r="AU90" s="169">
        <f t="shared" si="99"/>
        <v>85.946182676966075</v>
      </c>
      <c r="AV90" s="225"/>
      <c r="AX90">
        <f t="shared" si="100"/>
        <v>0</v>
      </c>
      <c r="AY90">
        <f t="shared" si="101"/>
        <v>0</v>
      </c>
    </row>
    <row r="91" spans="14:51" x14ac:dyDescent="0.25">
      <c r="N91" s="170">
        <v>73</v>
      </c>
      <c r="O91" s="199">
        <f t="shared" si="76"/>
        <v>53.703179637025293</v>
      </c>
      <c r="P91" s="189" t="str">
        <f t="shared" si="67"/>
        <v>18.0065359477124</v>
      </c>
      <c r="Q91" s="160" t="str">
        <f t="shared" si="68"/>
        <v>1+0.105859460155038i</v>
      </c>
      <c r="R91" s="160">
        <f t="shared" si="77"/>
        <v>1.0055875025597305</v>
      </c>
      <c r="S91" s="160">
        <f t="shared" si="78"/>
        <v>0.10546666949192623</v>
      </c>
      <c r="T91" s="160" t="str">
        <f t="shared" si="69"/>
        <v>1+0.000134970811697673i</v>
      </c>
      <c r="U91" s="160">
        <f t="shared" si="79"/>
        <v>1.0000000091085599</v>
      </c>
      <c r="V91" s="160">
        <f t="shared" si="80"/>
        <v>1.3497081087807984E-4</v>
      </c>
      <c r="W91" s="98" t="str">
        <f t="shared" si="70"/>
        <v>1-0.00190678986054884i</v>
      </c>
      <c r="X91" s="160">
        <f t="shared" si="81"/>
        <v>1.0000018179221337</v>
      </c>
      <c r="Y91" s="160">
        <f t="shared" si="82"/>
        <v>-1.9067875496214528E-3</v>
      </c>
      <c r="Z91" s="98" t="str">
        <f t="shared" si="71"/>
        <v>0.999999965108125+0.000569949095401879i</v>
      </c>
      <c r="AA91" s="160">
        <f t="shared" si="83"/>
        <v>1.0000001275291031</v>
      </c>
      <c r="AB91" s="160">
        <f t="shared" si="84"/>
        <v>5.6994905357401527E-4</v>
      </c>
      <c r="AC91" s="171" t="str">
        <f t="shared" si="85"/>
        <v>17.8025539575375-1.92673587436953i</v>
      </c>
      <c r="AD91" s="190">
        <f t="shared" si="86"/>
        <v>25.060220863070228</v>
      </c>
      <c r="AE91" s="169">
        <f t="shared" si="87"/>
        <v>-6.1769683376964313</v>
      </c>
      <c r="AF91" s="98" t="str">
        <f t="shared" si="72"/>
        <v>-0.0000816326530612245</v>
      </c>
      <c r="AG91" s="98" t="str">
        <f t="shared" si="73"/>
        <v>7.92953518723831E-06i</v>
      </c>
      <c r="AH91" s="98">
        <f t="shared" si="88"/>
        <v>7.9295351872383101E-6</v>
      </c>
      <c r="AI91" s="98">
        <f t="shared" si="89"/>
        <v>1.5707963267948966</v>
      </c>
      <c r="AJ91" s="98" t="str">
        <f t="shared" si="74"/>
        <v>1+0.00241655187326791i</v>
      </c>
      <c r="AK91" s="98">
        <f t="shared" si="90"/>
        <v>1.0000029198572153</v>
      </c>
      <c r="AL91" s="98">
        <f t="shared" si="91"/>
        <v>2.4165471692865759E-3</v>
      </c>
      <c r="AM91" s="98" t="str">
        <f t="shared" si="75"/>
        <v>1+0.0378593126811973i</v>
      </c>
      <c r="AN91" s="98">
        <f t="shared" si="92"/>
        <v>1.0007164071587378</v>
      </c>
      <c r="AO91" s="98">
        <f t="shared" si="93"/>
        <v>3.7841239955753274E-2</v>
      </c>
      <c r="AP91" s="168" t="str">
        <f t="shared" si="94"/>
        <v>-0.364872547047722+10.2956406485123i</v>
      </c>
      <c r="AQ91" s="98">
        <f t="shared" si="95"/>
        <v>20.258518657482529</v>
      </c>
      <c r="AR91" s="169">
        <f t="shared" si="96"/>
        <v>92.029685387212083</v>
      </c>
      <c r="AS91" s="168" t="str">
        <f t="shared" si="97"/>
        <v>13.3413169806646+183.991711198526i</v>
      </c>
      <c r="AT91" s="190">
        <f t="shared" si="98"/>
        <v>45.318739520552747</v>
      </c>
      <c r="AU91" s="169">
        <f t="shared" si="99"/>
        <v>85.852717049515661</v>
      </c>
      <c r="AV91" s="225"/>
      <c r="AX91">
        <f t="shared" si="100"/>
        <v>0</v>
      </c>
      <c r="AY91">
        <f t="shared" si="101"/>
        <v>0</v>
      </c>
    </row>
    <row r="92" spans="14:51" x14ac:dyDescent="0.25">
      <c r="N92" s="170">
        <v>74</v>
      </c>
      <c r="O92" s="199">
        <f t="shared" si="76"/>
        <v>54.95408738576247</v>
      </c>
      <c r="P92" s="189" t="str">
        <f t="shared" si="67"/>
        <v>18.0065359477124</v>
      </c>
      <c r="Q92" s="160" t="str">
        <f t="shared" si="68"/>
        <v>1+0.108325243743274i</v>
      </c>
      <c r="R92" s="160">
        <f t="shared" si="77"/>
        <v>1.0058500675707289</v>
      </c>
      <c r="S92" s="160">
        <f t="shared" si="78"/>
        <v>0.10790449305871397</v>
      </c>
      <c r="T92" s="160" t="str">
        <f t="shared" si="69"/>
        <v>1+0.000138114685772674i</v>
      </c>
      <c r="U92" s="160">
        <f t="shared" si="79"/>
        <v>1.0000000095378332</v>
      </c>
      <c r="V92" s="160">
        <f t="shared" si="80"/>
        <v>1.3811468489446411E-4</v>
      </c>
      <c r="W92" s="98" t="str">
        <f t="shared" si="70"/>
        <v>1-0.00195120470205163i</v>
      </c>
      <c r="X92" s="160">
        <f t="shared" si="81"/>
        <v>1.0000019035980827</v>
      </c>
      <c r="Y92" s="160">
        <f t="shared" si="82"/>
        <v>-1.9512022258485761E-3</v>
      </c>
      <c r="Z92" s="98" t="str">
        <f t="shared" si="71"/>
        <v>0.999999963463722+0.000583224915281499i</v>
      </c>
      <c r="AA92" s="160">
        <f t="shared" si="83"/>
        <v>1.0000001335393647</v>
      </c>
      <c r="AB92" s="160">
        <f t="shared" si="84"/>
        <v>5.8322487046213556E-4</v>
      </c>
      <c r="AC92" s="171" t="str">
        <f t="shared" si="85"/>
        <v>17.7930520809856-1.97058602467978i</v>
      </c>
      <c r="AD92" s="190">
        <f t="shared" si="86"/>
        <v>25.057953916203903</v>
      </c>
      <c r="AE92" s="169">
        <f t="shared" si="87"/>
        <v>-6.3197706303319654</v>
      </c>
      <c r="AF92" s="98" t="str">
        <f t="shared" si="72"/>
        <v>-0.0000816326530612245</v>
      </c>
      <c r="AG92" s="98" t="str">
        <f t="shared" si="73"/>
        <v>8.11423778914462E-06i</v>
      </c>
      <c r="AH92" s="98">
        <f t="shared" si="88"/>
        <v>8.1142377891446206E-6</v>
      </c>
      <c r="AI92" s="98">
        <f t="shared" si="89"/>
        <v>1.5707963267948966</v>
      </c>
      <c r="AJ92" s="98" t="str">
        <f t="shared" si="74"/>
        <v>1+0.00247284059739798i</v>
      </c>
      <c r="AK92" s="98">
        <f t="shared" si="90"/>
        <v>1.000003057465636</v>
      </c>
      <c r="AL92" s="98">
        <f t="shared" si="91"/>
        <v>2.4728355569920012E-3</v>
      </c>
      <c r="AM92" s="98" t="str">
        <f t="shared" si="75"/>
        <v>1+0.0387411693592352i</v>
      </c>
      <c r="AN92" s="98">
        <f t="shared" si="92"/>
        <v>1.000750157733348</v>
      </c>
      <c r="AO92" s="98">
        <f t="shared" si="93"/>
        <v>3.8721804868937032E-2</v>
      </c>
      <c r="AP92" s="168" t="str">
        <f t="shared" si="94"/>
        <v>-0.364872446628967+10.0613238639771i</v>
      </c>
      <c r="AQ92" s="98">
        <f t="shared" si="95"/>
        <v>20.058810401193892</v>
      </c>
      <c r="AR92" s="169">
        <f t="shared" si="96"/>
        <v>92.076912953273691</v>
      </c>
      <c r="AS92" s="168" t="str">
        <f t="shared" si="97"/>
        <v>13.3345097503446+179.740672059526i</v>
      </c>
      <c r="AT92" s="190">
        <f t="shared" si="98"/>
        <v>45.116764317397809</v>
      </c>
      <c r="AU92" s="169">
        <f t="shared" si="99"/>
        <v>85.757142322941732</v>
      </c>
      <c r="AV92" s="225"/>
      <c r="AX92">
        <f t="shared" si="100"/>
        <v>0</v>
      </c>
      <c r="AY92">
        <f t="shared" si="101"/>
        <v>0</v>
      </c>
    </row>
    <row r="93" spans="14:51" x14ac:dyDescent="0.25">
      <c r="N93" s="170">
        <v>75</v>
      </c>
      <c r="O93" s="199">
        <f t="shared" si="76"/>
        <v>56.234132519034915</v>
      </c>
      <c r="P93" s="189" t="str">
        <f t="shared" si="67"/>
        <v>18.0065359477124</v>
      </c>
      <c r="Q93" s="160" t="str">
        <f t="shared" si="68"/>
        <v>1+0.110848462809597i</v>
      </c>
      <c r="R93" s="160">
        <f t="shared" si="77"/>
        <v>1.0061249334487494</v>
      </c>
      <c r="S93" s="160">
        <f t="shared" si="78"/>
        <v>0.11039776842696049</v>
      </c>
      <c r="T93" s="160" t="str">
        <f t="shared" si="69"/>
        <v>1+0.000141331790082236i</v>
      </c>
      <c r="U93" s="160">
        <f t="shared" si="79"/>
        <v>1.0000000099873374</v>
      </c>
      <c r="V93" s="160">
        <f t="shared" si="80"/>
        <v>1.4133178914121718E-4</v>
      </c>
      <c r="W93" s="98" t="str">
        <f t="shared" si="70"/>
        <v>1-0.00199665409811469i</v>
      </c>
      <c r="X93" s="160">
        <f t="shared" si="81"/>
        <v>1.0000019933118072</v>
      </c>
      <c r="Y93" s="160">
        <f t="shared" si="82"/>
        <v>-1.9966514448156E-3</v>
      </c>
      <c r="Z93" s="98" t="str">
        <f t="shared" si="71"/>
        <v>0.99999996174182+0.000596809968731094i</v>
      </c>
      <c r="AA93" s="160">
        <f t="shared" si="83"/>
        <v>1.0000001398328804</v>
      </c>
      <c r="AB93" s="160">
        <f t="shared" si="84"/>
        <v>5.9680992070628141E-4</v>
      </c>
      <c r="AC93" s="171" t="str">
        <f t="shared" si="85"/>
        <v>17.7831130213867-2.01538513978609i</v>
      </c>
      <c r="AD93" s="190">
        <f t="shared" si="86"/>
        <v>25.055581399793859</v>
      </c>
      <c r="AE93" s="169">
        <f t="shared" si="87"/>
        <v>-6.4658228740732682</v>
      </c>
      <c r="AF93" s="98" t="str">
        <f t="shared" si="72"/>
        <v>-0.0000816326530612245</v>
      </c>
      <c r="AG93" s="98" t="str">
        <f t="shared" si="73"/>
        <v>8.30324266733137E-06i</v>
      </c>
      <c r="AH93" s="98">
        <f t="shared" si="88"/>
        <v>8.3032426673313706E-6</v>
      </c>
      <c r="AI93" s="98">
        <f t="shared" si="89"/>
        <v>1.5707963267948966</v>
      </c>
      <c r="AJ93" s="98" t="str">
        <f t="shared" si="74"/>
        <v>1+0.00253044045434471i</v>
      </c>
      <c r="AK93" s="98">
        <f t="shared" si="90"/>
        <v>1.0000032015593214</v>
      </c>
      <c r="AL93" s="98">
        <f t="shared" si="91"/>
        <v>2.5304350534533313E-3</v>
      </c>
      <c r="AM93" s="98" t="str">
        <f t="shared" si="75"/>
        <v>1+0.0396435671180672i</v>
      </c>
      <c r="AN93" s="98">
        <f t="shared" si="92"/>
        <v>1.0007854977036013</v>
      </c>
      <c r="AO93" s="98">
        <f t="shared" si="93"/>
        <v>3.9622818572355119E-2</v>
      </c>
      <c r="AP93" s="168" t="str">
        <f t="shared" si="94"/>
        <v>-0.364872341477679+9.83234172650849i</v>
      </c>
      <c r="AQ93" s="98">
        <f t="shared" si="95"/>
        <v>19.859115873186553</v>
      </c>
      <c r="AR93" s="169">
        <f t="shared" si="96"/>
        <v>92.125237027713681</v>
      </c>
      <c r="AS93" s="168" t="str">
        <f t="shared" si="97"/>
        <v>13.3273893180284+175.58500248233i</v>
      </c>
      <c r="AT93" s="190">
        <f t="shared" si="98"/>
        <v>44.914697272980405</v>
      </c>
      <c r="AU93" s="169">
        <f t="shared" si="99"/>
        <v>85.659414153640398</v>
      </c>
      <c r="AV93" s="225"/>
      <c r="AX93">
        <f t="shared" si="100"/>
        <v>0</v>
      </c>
      <c r="AY93">
        <f t="shared" si="101"/>
        <v>0</v>
      </c>
    </row>
    <row r="94" spans="14:51" x14ac:dyDescent="0.25">
      <c r="N94" s="170">
        <v>76</v>
      </c>
      <c r="O94" s="199">
        <f t="shared" si="76"/>
        <v>57.543993733715695</v>
      </c>
      <c r="P94" s="189" t="str">
        <f t="shared" si="67"/>
        <v>18.0065359477124</v>
      </c>
      <c r="Q94" s="160" t="str">
        <f t="shared" si="68"/>
        <v>1+0.113430455198154i</v>
      </c>
      <c r="R94" s="160">
        <f t="shared" si="77"/>
        <v>1.0064126728963922</v>
      </c>
      <c r="S94" s="160">
        <f t="shared" si="78"/>
        <v>0.1129476935028743</v>
      </c>
      <c r="T94" s="160" t="str">
        <f t="shared" si="69"/>
        <v>1+0.000144623830377647i</v>
      </c>
      <c r="U94" s="160">
        <f t="shared" si="79"/>
        <v>1.000000010458026</v>
      </c>
      <c r="V94" s="160">
        <f t="shared" si="80"/>
        <v>1.4462382936932712E-4</v>
      </c>
      <c r="W94" s="98" t="str">
        <f t="shared" si="70"/>
        <v>1-0.00204316214660941i</v>
      </c>
      <c r="X94" s="160">
        <f t="shared" si="81"/>
        <v>1.0000020872536004</v>
      </c>
      <c r="Y94" s="160">
        <f t="shared" si="82"/>
        <v>-2.0431593035485328E-3</v>
      </c>
      <c r="Z94" s="98" t="str">
        <f t="shared" si="71"/>
        <v>0.999999959938768+0.000610711458725825i</v>
      </c>
      <c r="AA94" s="160">
        <f t="shared" si="83"/>
        <v>1.0000001464230011</v>
      </c>
      <c r="AB94" s="160">
        <f t="shared" si="84"/>
        <v>6.1071140726631128E-4</v>
      </c>
      <c r="AC94" s="171" t="str">
        <f t="shared" si="85"/>
        <v>17.7727171810744-2.06115028488016i</v>
      </c>
      <c r="AD94" s="190">
        <f t="shared" si="86"/>
        <v>25.053098459350647</v>
      </c>
      <c r="AE94" s="169">
        <f t="shared" si="87"/>
        <v>-6.6151953995150707</v>
      </c>
      <c r="AF94" s="98" t="str">
        <f t="shared" si="72"/>
        <v>-0.0000816326530612245</v>
      </c>
      <c r="AG94" s="98" t="str">
        <f t="shared" si="73"/>
        <v>8.49665003468674E-06i</v>
      </c>
      <c r="AH94" s="98">
        <f t="shared" si="88"/>
        <v>8.4966500346867406E-6</v>
      </c>
      <c r="AI94" s="98">
        <f t="shared" si="89"/>
        <v>1.5707963267948966</v>
      </c>
      <c r="AJ94" s="98" t="str">
        <f t="shared" si="74"/>
        <v>1+0.00258938198431467i</v>
      </c>
      <c r="AK94" s="98">
        <f t="shared" si="90"/>
        <v>1.0000033524439109</v>
      </c>
      <c r="AL94" s="98">
        <f t="shared" si="91"/>
        <v>2.5893761971563399E-3</v>
      </c>
      <c r="AM94" s="98" t="str">
        <f t="shared" si="75"/>
        <v>1+0.0405669844209299i</v>
      </c>
      <c r="AN94" s="98">
        <f t="shared" si="92"/>
        <v>1.0008225018578509</v>
      </c>
      <c r="AO94" s="98">
        <f t="shared" si="93"/>
        <v>4.0544752940332995E-2</v>
      </c>
      <c r="AP94" s="168" t="str">
        <f t="shared" si="94"/>
        <v>-0.36487223137083+9.60857282674466i</v>
      </c>
      <c r="AQ94" s="98">
        <f t="shared" si="95"/>
        <v>19.659435718414798</v>
      </c>
      <c r="AR94" s="169">
        <f t="shared" si="96"/>
        <v>92.174682897213003</v>
      </c>
      <c r="AS94" s="168" t="str">
        <f t="shared" si="97"/>
        <v>13.3199416437552+171.522503867124i</v>
      </c>
      <c r="AT94" s="190">
        <f t="shared" si="98"/>
        <v>44.712534177765434</v>
      </c>
      <c r="AU94" s="169">
        <f t="shared" si="99"/>
        <v>85.559487497697944</v>
      </c>
      <c r="AV94" s="225"/>
      <c r="AX94">
        <f t="shared" si="100"/>
        <v>0</v>
      </c>
      <c r="AY94">
        <f t="shared" si="101"/>
        <v>0</v>
      </c>
    </row>
    <row r="95" spans="14:51" x14ac:dyDescent="0.25">
      <c r="N95" s="170">
        <v>77</v>
      </c>
      <c r="O95" s="199">
        <f t="shared" si="76"/>
        <v>58.884365535558949</v>
      </c>
      <c r="P95" s="189" t="str">
        <f t="shared" si="67"/>
        <v>18.0065359477124</v>
      </c>
      <c r="Q95" s="160" t="str">
        <f t="shared" si="68"/>
        <v>1+0.116072589915487i</v>
      </c>
      <c r="R95" s="160">
        <f t="shared" si="77"/>
        <v>1.0067138849393551</v>
      </c>
      <c r="S95" s="160">
        <f t="shared" si="78"/>
        <v>0.11555548757929049</v>
      </c>
      <c r="T95" s="160" t="str">
        <f t="shared" si="69"/>
        <v>1+0.000147992552142246i</v>
      </c>
      <c r="U95" s="160">
        <f t="shared" si="79"/>
        <v>1.0000000109508977</v>
      </c>
      <c r="V95" s="160">
        <f t="shared" si="80"/>
        <v>1.479925510618118E-4</v>
      </c>
      <c r="W95" s="98" t="str">
        <f t="shared" si="70"/>
        <v>1-0.00209075350671871i</v>
      </c>
      <c r="X95" s="160">
        <f t="shared" si="81"/>
        <v>1.0000021856227244</v>
      </c>
      <c r="Y95" s="160">
        <f t="shared" si="82"/>
        <v>-2.0907504603244536E-3</v>
      </c>
      <c r="Z95" s="98" t="str">
        <f t="shared" si="71"/>
        <v>0.99999995805074+0.000624936756019693i</v>
      </c>
      <c r="AA95" s="160">
        <f t="shared" si="83"/>
        <v>1.0000001533237037</v>
      </c>
      <c r="AB95" s="160">
        <f t="shared" si="84"/>
        <v>6.2493670087983126E-4</v>
      </c>
      <c r="AC95" s="171" t="str">
        <f t="shared" si="85"/>
        <v>17.7618441330624-2.10789857916486i</v>
      </c>
      <c r="AD95" s="190">
        <f t="shared" si="86"/>
        <v>25.050500023036918</v>
      </c>
      <c r="AE95" s="169">
        <f t="shared" si="87"/>
        <v>-6.767959802109373</v>
      </c>
      <c r="AF95" s="98" t="str">
        <f t="shared" si="72"/>
        <v>-0.0000816326530612245</v>
      </c>
      <c r="AG95" s="98" t="str">
        <f t="shared" si="73"/>
        <v>8.69456243835698E-06i</v>
      </c>
      <c r="AH95" s="98">
        <f t="shared" si="88"/>
        <v>8.6945624383569796E-6</v>
      </c>
      <c r="AI95" s="98">
        <f t="shared" si="89"/>
        <v>1.5707963267948966</v>
      </c>
      <c r="AJ95" s="98" t="str">
        <f t="shared" si="74"/>
        <v>1+0.00264969643888723i</v>
      </c>
      <c r="AK95" s="98">
        <f t="shared" si="90"/>
        <v>1.0000035104394476</v>
      </c>
      <c r="AL95" s="98">
        <f t="shared" si="91"/>
        <v>2.6496902378365323E-3</v>
      </c>
      <c r="AM95" s="98" t="str">
        <f t="shared" si="75"/>
        <v>1+0.0415119108759001i</v>
      </c>
      <c r="AN95" s="98">
        <f t="shared" si="92"/>
        <v>1.0008612484977968</v>
      </c>
      <c r="AO95" s="98">
        <f t="shared" si="93"/>
        <v>4.1488090522220258E-2</v>
      </c>
      <c r="AP95" s="168" t="str">
        <f t="shared" si="94"/>
        <v>-0.364872116074876+9.3898985194511i</v>
      </c>
      <c r="AQ95" s="98">
        <f t="shared" si="95"/>
        <v>19.459770612032166</v>
      </c>
      <c r="AR95" s="169">
        <f t="shared" si="96"/>
        <v>92.22527641933489</v>
      </c>
      <c r="AS95" s="168" t="str">
        <f t="shared" si="97"/>
        <v>13.3121520934306+167.551027342815i</v>
      </c>
      <c r="AT95" s="190">
        <f t="shared" si="98"/>
        <v>44.510270635069091</v>
      </c>
      <c r="AU95" s="169">
        <f t="shared" si="99"/>
        <v>85.457316617225516</v>
      </c>
      <c r="AV95" s="225"/>
      <c r="AX95">
        <f t="shared" si="100"/>
        <v>0</v>
      </c>
      <c r="AY95">
        <f t="shared" si="101"/>
        <v>0</v>
      </c>
    </row>
    <row r="96" spans="14:51" x14ac:dyDescent="0.25">
      <c r="N96" s="170">
        <v>78</v>
      </c>
      <c r="O96" s="199">
        <f t="shared" si="76"/>
        <v>60.255958607435822</v>
      </c>
      <c r="P96" s="189" t="str">
        <f t="shared" si="67"/>
        <v>18.0065359477124</v>
      </c>
      <c r="Q96" s="160" t="str">
        <f t="shared" si="68"/>
        <v>1+0.118776267856396i</v>
      </c>
      <c r="R96" s="160">
        <f t="shared" si="77"/>
        <v>1.007029196104013</v>
      </c>
      <c r="S96" s="160">
        <f t="shared" si="78"/>
        <v>0.11822239139016159</v>
      </c>
      <c r="T96" s="160" t="str">
        <f t="shared" si="69"/>
        <v>1+0.000151439741516905i</v>
      </c>
      <c r="U96" s="160">
        <f t="shared" si="79"/>
        <v>1.0000000114669976</v>
      </c>
      <c r="V96" s="160">
        <f t="shared" si="80"/>
        <v>1.514397403591989E-4</v>
      </c>
      <c r="W96" s="98" t="str">
        <f t="shared" si="70"/>
        <v>1-0.00213945341201167i</v>
      </c>
      <c r="X96" s="160">
        <f t="shared" si="81"/>
        <v>1.0000022886278321</v>
      </c>
      <c r="Y96" s="160">
        <f t="shared" si="82"/>
        <v>-2.1394501477418164E-3</v>
      </c>
      <c r="Z96" s="98" t="str">
        <f t="shared" si="71"/>
        <v>0.999999956073732+0.000639493403053619i</v>
      </c>
      <c r="AA96" s="160">
        <f t="shared" si="83"/>
        <v>1.0000001605496265</v>
      </c>
      <c r="AB96" s="160">
        <f t="shared" si="84"/>
        <v>6.3949334397019335E-4</v>
      </c>
      <c r="AC96" s="171" t="str">
        <f t="shared" si="85"/>
        <v>17.7504725906545-2.15564717454438i</v>
      </c>
      <c r="AD96" s="190">
        <f t="shared" si="86"/>
        <v>25.04778079249515</v>
      </c>
      <c r="AE96" s="169">
        <f t="shared" si="87"/>
        <v>-6.9241889462072921</v>
      </c>
      <c r="AF96" s="98" t="str">
        <f t="shared" si="72"/>
        <v>-0.0000816326530612245</v>
      </c>
      <c r="AG96" s="98" t="str">
        <f t="shared" si="73"/>
        <v>8.89708481411816E-06i</v>
      </c>
      <c r="AH96" s="98">
        <f t="shared" si="88"/>
        <v>8.8970848141181595E-6</v>
      </c>
      <c r="AI96" s="98">
        <f t="shared" si="89"/>
        <v>1.5707963267948966</v>
      </c>
      <c r="AJ96" s="98" t="str">
        <f t="shared" si="74"/>
        <v>1+0.00271141579758457i</v>
      </c>
      <c r="AK96" s="98">
        <f t="shared" si="90"/>
        <v>1.0000036758810575</v>
      </c>
      <c r="AL96" s="98">
        <f t="shared" si="91"/>
        <v>2.711409153040354E-3</v>
      </c>
      <c r="AM96" s="98" t="str">
        <f t="shared" si="75"/>
        <v>1+0.0424788474954918i</v>
      </c>
      <c r="AN96" s="98">
        <f t="shared" si="92"/>
        <v>1.0009018196029744</v>
      </c>
      <c r="AO96" s="98">
        <f t="shared" si="93"/>
        <v>4.2453324768559404E-2</v>
      </c>
      <c r="AP96" s="168" t="str">
        <f t="shared" si="94"/>
        <v>-0.364871995345269+9.1762028606138i</v>
      </c>
      <c r="AQ96" s="98">
        <f t="shared" si="95"/>
        <v>19.260121260796282</v>
      </c>
      <c r="AR96" s="169">
        <f t="shared" si="96"/>
        <v>92.277044034534313</v>
      </c>
      <c r="AS96" s="168" t="str">
        <f t="shared" si="97"/>
        <v>13.3040054170546+163.668472649447i</v>
      </c>
      <c r="AT96" s="190">
        <f t="shared" si="98"/>
        <v>44.307902053291429</v>
      </c>
      <c r="AU96" s="169">
        <f t="shared" si="99"/>
        <v>85.352855088327019</v>
      </c>
      <c r="AV96" s="225"/>
      <c r="AX96">
        <f t="shared" si="100"/>
        <v>0</v>
      </c>
      <c r="AY96">
        <f t="shared" si="101"/>
        <v>0</v>
      </c>
    </row>
    <row r="97" spans="14:51" x14ac:dyDescent="0.25">
      <c r="N97" s="170">
        <v>79</v>
      </c>
      <c r="O97" s="199">
        <f t="shared" si="76"/>
        <v>61.659500186148257</v>
      </c>
      <c r="P97" s="189" t="str">
        <f t="shared" si="67"/>
        <v>18.0065359477124</v>
      </c>
      <c r="Q97" s="160" t="str">
        <f t="shared" si="68"/>
        <v>1+0.121542922546712i</v>
      </c>
      <c r="R97" s="160">
        <f t="shared" si="77"/>
        <v>1.007359261644621</v>
      </c>
      <c r="S97" s="160">
        <f t="shared" si="78"/>
        <v>0.1209496671372319</v>
      </c>
      <c r="T97" s="160" t="str">
        <f t="shared" si="69"/>
        <v>1+0.000154967226247058i</v>
      </c>
      <c r="U97" s="160">
        <f t="shared" si="79"/>
        <v>1.0000000120074206</v>
      </c>
      <c r="V97" s="160">
        <f t="shared" si="80"/>
        <v>1.5496722500655359E-4</v>
      </c>
      <c r="W97" s="98" t="str">
        <f t="shared" si="70"/>
        <v>1-0.00218928768382269i</v>
      </c>
      <c r="X97" s="160">
        <f t="shared" si="81"/>
        <v>1.0000023964874096</v>
      </c>
      <c r="Y97" s="160">
        <f t="shared" si="82"/>
        <v>-2.1892841860949772E-3</v>
      </c>
      <c r="Z97" s="98" t="str">
        <f t="shared" si="71"/>
        <v>0.999999954003551+0.000654389117954541i</v>
      </c>
      <c r="AA97" s="160">
        <f t="shared" si="83"/>
        <v>1.0000001681160968</v>
      </c>
      <c r="AB97" s="160">
        <f t="shared" si="84"/>
        <v>6.5438905464551013E-4</v>
      </c>
      <c r="AC97" s="171" t="str">
        <f t="shared" si="85"/>
        <v>17.7385803764037-2.20441323243695i</v>
      </c>
      <c r="AD97" s="190">
        <f t="shared" si="86"/>
        <v>25.044935233341882</v>
      </c>
      <c r="AE97" s="169">
        <f t="shared" si="87"/>
        <v>-7.083956967528577</v>
      </c>
      <c r="AF97" s="98" t="str">
        <f t="shared" si="72"/>
        <v>-0.0000816326530612245</v>
      </c>
      <c r="AG97" s="98" t="str">
        <f t="shared" si="73"/>
        <v>9.10432454201463E-06i</v>
      </c>
      <c r="AH97" s="98">
        <f t="shared" si="88"/>
        <v>9.1043245420146305E-6</v>
      </c>
      <c r="AI97" s="98">
        <f t="shared" si="89"/>
        <v>1.5707963267948966</v>
      </c>
      <c r="AJ97" s="98" t="str">
        <f t="shared" si="74"/>
        <v>1+0.00277457278482763i</v>
      </c>
      <c r="AK97" s="98">
        <f t="shared" si="90"/>
        <v>1.0000038491196612</v>
      </c>
      <c r="AL97" s="98">
        <f t="shared" si="91"/>
        <v>2.7745656650717079E-3</v>
      </c>
      <c r="AM97" s="98" t="str">
        <f t="shared" si="75"/>
        <v>1+0.0434683069622997i</v>
      </c>
      <c r="AN97" s="98">
        <f t="shared" si="92"/>
        <v>1.0009443010028924</v>
      </c>
      <c r="AO97" s="98">
        <f t="shared" si="93"/>
        <v>4.3440960260931159E-2</v>
      </c>
      <c r="AP97" s="168" t="str">
        <f t="shared" si="94"/>
        <v>-0.364871868925937+8.96737254596376i</v>
      </c>
      <c r="AQ97" s="98">
        <f t="shared" si="95"/>
        <v>19.06048840453721</v>
      </c>
      <c r="AR97" s="169">
        <f t="shared" si="96"/>
        <v>92.330012778356362</v>
      </c>
      <c r="AS97" s="168" t="str">
        <f t="shared" si="97"/>
        <v>13.295485726483+159.872787047738i</v>
      </c>
      <c r="AT97" s="190">
        <f t="shared" si="98"/>
        <v>44.10542363787907</v>
      </c>
      <c r="AU97" s="169">
        <f t="shared" si="99"/>
        <v>85.24605581082777</v>
      </c>
      <c r="AV97" s="225"/>
      <c r="AX97">
        <f t="shared" si="100"/>
        <v>0</v>
      </c>
      <c r="AY97">
        <f t="shared" si="101"/>
        <v>0</v>
      </c>
    </row>
    <row r="98" spans="14:51" x14ac:dyDescent="0.25">
      <c r="N98" s="170">
        <v>80</v>
      </c>
      <c r="O98" s="199">
        <f t="shared" si="76"/>
        <v>63.095734448019364</v>
      </c>
      <c r="P98" s="189" t="str">
        <f t="shared" si="67"/>
        <v>18.0065359477124</v>
      </c>
      <c r="Q98" s="160" t="str">
        <f t="shared" si="68"/>
        <v>1+0.124374020903373i</v>
      </c>
      <c r="R98" s="160">
        <f t="shared" si="77"/>
        <v>1.0077047668219461</v>
      </c>
      <c r="S98" s="160">
        <f t="shared" si="78"/>
        <v>0.12373859848647432</v>
      </c>
      <c r="T98" s="160" t="str">
        <f t="shared" si="69"/>
        <v>1+0.0001585768766518i</v>
      </c>
      <c r="U98" s="160">
        <f t="shared" si="79"/>
        <v>1.0000000125733128</v>
      </c>
      <c r="V98" s="160">
        <f t="shared" si="80"/>
        <v>1.5857687532257555E-4</v>
      </c>
      <c r="W98" s="98" t="str">
        <f t="shared" si="70"/>
        <v>1-0.00224028274494232i</v>
      </c>
      <c r="X98" s="160">
        <f t="shared" si="81"/>
        <v>1.00000250943024</v>
      </c>
      <c r="Y98" s="160">
        <f t="shared" si="82"/>
        <v>-2.2402789970600596E-3</v>
      </c>
      <c r="Z98" s="98" t="str">
        <f t="shared" si="71"/>
        <v>0.999999951835805+0.000669631798627665i</v>
      </c>
      <c r="AA98" s="160">
        <f t="shared" si="83"/>
        <v>1.0000001760391637</v>
      </c>
      <c r="AB98" s="160">
        <f t="shared" si="84"/>
        <v>6.6963173079081703E-4</v>
      </c>
      <c r="AC98" s="171" t="str">
        <f t="shared" si="85"/>
        <v>17.7261443904566-2.25421389859403i</v>
      </c>
      <c r="AD98" s="190">
        <f t="shared" si="86"/>
        <v>25.041957565321358</v>
      </c>
      <c r="AE98" s="169">
        <f t="shared" si="87"/>
        <v>-7.2473392739201916</v>
      </c>
      <c r="AF98" s="98" t="str">
        <f t="shared" si="72"/>
        <v>-0.0000816326530612245</v>
      </c>
      <c r="AG98" s="98" t="str">
        <f t="shared" si="73"/>
        <v>9.31639150329325E-06i</v>
      </c>
      <c r="AH98" s="98">
        <f t="shared" si="88"/>
        <v>9.3163915032932501E-6</v>
      </c>
      <c r="AI98" s="98">
        <f t="shared" si="89"/>
        <v>1.5707963267948966</v>
      </c>
      <c r="AJ98" s="98" t="str">
        <f t="shared" si="74"/>
        <v>1+0.002839200887287i</v>
      </c>
      <c r="AK98" s="98">
        <f t="shared" si="90"/>
        <v>1.0000040305227167</v>
      </c>
      <c r="AL98" s="98">
        <f t="shared" si="91"/>
        <v>2.8391932583327418E-3</v>
      </c>
      <c r="AM98" s="98" t="str">
        <f t="shared" si="75"/>
        <v>1+0.0444808139008299i</v>
      </c>
      <c r="AN98" s="98">
        <f t="shared" si="92"/>
        <v>1.0009887825571675</v>
      </c>
      <c r="AO98" s="98">
        <f t="shared" si="93"/>
        <v>4.4451512945450369E-2</v>
      </c>
      <c r="AP98" s="168" t="str">
        <f t="shared" si="94"/>
        <v>-0.364871736548739+8.76329685090172i</v>
      </c>
      <c r="AQ98" s="98">
        <f t="shared" si="95"/>
        <v>18.860872817693636</v>
      </c>
      <c r="AR98" s="169">
        <f t="shared" si="96"/>
        <v>92.384210293820985</v>
      </c>
      <c r="AS98" s="168" t="str">
        <f t="shared" si="97"/>
        <v>13.2865764727484+156.16196425525i</v>
      </c>
      <c r="AT98" s="190">
        <f t="shared" si="98"/>
        <v>43.902830383015008</v>
      </c>
      <c r="AU98" s="169">
        <f t="shared" si="99"/>
        <v>85.136871019900795</v>
      </c>
      <c r="AV98" s="225"/>
      <c r="AX98">
        <f t="shared" si="100"/>
        <v>0</v>
      </c>
      <c r="AY98">
        <f t="shared" si="101"/>
        <v>0</v>
      </c>
    </row>
    <row r="99" spans="14:51" x14ac:dyDescent="0.25">
      <c r="N99" s="170">
        <v>81</v>
      </c>
      <c r="O99" s="199">
        <f t="shared" si="76"/>
        <v>64.565422903465588</v>
      </c>
      <c r="P99" s="189" t="str">
        <f t="shared" si="67"/>
        <v>18.0065359477124</v>
      </c>
      <c r="Q99" s="160" t="str">
        <f t="shared" si="68"/>
        <v>1+0.127271064012201i</v>
      </c>
      <c r="R99" s="160">
        <f t="shared" si="77"/>
        <v>1.0080664282351623</v>
      </c>
      <c r="S99" s="160">
        <f t="shared" si="78"/>
        <v>0.1265904905317157</v>
      </c>
      <c r="T99" s="160" t="str">
        <f t="shared" si="69"/>
        <v>1+0.000162270606615556i</v>
      </c>
      <c r="U99" s="160">
        <f t="shared" si="79"/>
        <v>1.0000000131658748</v>
      </c>
      <c r="V99" s="160">
        <f t="shared" si="80"/>
        <v>1.6227060519126635E-4</v>
      </c>
      <c r="W99" s="98" t="str">
        <f t="shared" si="70"/>
        <v>1-0.00229246563362697i</v>
      </c>
      <c r="X99" s="160">
        <f t="shared" si="81"/>
        <v>1.0000026276958882</v>
      </c>
      <c r="Y99" s="160">
        <f t="shared" si="82"/>
        <v>-2.2924616176993439E-3</v>
      </c>
      <c r="Z99" s="98" t="str">
        <f t="shared" si="71"/>
        <v>0.999999949565897+0.000685229526944046i</v>
      </c>
      <c r="AA99" s="160">
        <f t="shared" si="83"/>
        <v>1.0000001843356334</v>
      </c>
      <c r="AB99" s="160">
        <f t="shared" si="84"/>
        <v>6.8522945425555405E-4</v>
      </c>
      <c r="AC99" s="171" t="str">
        <f t="shared" si="85"/>
        <v>17.7131405783268-2.30506627580549i</v>
      </c>
      <c r="AD99" s="190">
        <f t="shared" si="86"/>
        <v>25.038841752112223</v>
      </c>
      <c r="AE99" s="169">
        <f t="shared" si="87"/>
        <v>-7.4144125442584459</v>
      </c>
      <c r="AF99" s="98" t="str">
        <f t="shared" si="72"/>
        <v>-0.0000816326530612245</v>
      </c>
      <c r="AG99" s="98" t="str">
        <f t="shared" si="73"/>
        <v>9.53339813866395E-06i</v>
      </c>
      <c r="AH99" s="98">
        <f t="shared" si="88"/>
        <v>9.5333981386639492E-6</v>
      </c>
      <c r="AI99" s="98">
        <f t="shared" si="89"/>
        <v>1.5707963267948966</v>
      </c>
      <c r="AJ99" s="98" t="str">
        <f t="shared" si="74"/>
        <v>1+0.00290533437163809i</v>
      </c>
      <c r="AK99" s="98">
        <f t="shared" si="90"/>
        <v>1.0000042204749993</v>
      </c>
      <c r="AL99" s="98">
        <f t="shared" si="91"/>
        <v>2.905326197068187E-3</v>
      </c>
      <c r="AM99" s="98" t="str">
        <f t="shared" si="75"/>
        <v>1+0.0455169051556636i</v>
      </c>
      <c r="AN99" s="98">
        <f t="shared" si="92"/>
        <v>1.0010353583440246</v>
      </c>
      <c r="AO99" s="98">
        <f t="shared" si="93"/>
        <v>4.5485510369879592E-2</v>
      </c>
      <c r="AP99" s="168" t="str">
        <f t="shared" si="94"/>
        <v>-0.364871597932898+8.56386757179053i</v>
      </c>
      <c r="AQ99" s="98">
        <f t="shared" si="95"/>
        <v>18.661275310919084</v>
      </c>
      <c r="AR99" s="169">
        <f t="shared" si="96"/>
        <v>92.439664843991835</v>
      </c>
      <c r="AS99" s="168" t="str">
        <f t="shared" si="97"/>
        <v>13.2772604229744+152.534043408694i</v>
      </c>
      <c r="AT99" s="190">
        <f t="shared" si="98"/>
        <v>43.700117063031286</v>
      </c>
      <c r="AU99" s="169">
        <f t="shared" si="99"/>
        <v>85.02525229973341</v>
      </c>
      <c r="AV99" s="225"/>
      <c r="AX99">
        <f t="shared" si="100"/>
        <v>0</v>
      </c>
      <c r="AY99">
        <f t="shared" si="101"/>
        <v>0</v>
      </c>
    </row>
    <row r="100" spans="14:51" x14ac:dyDescent="0.25">
      <c r="N100" s="170">
        <v>82</v>
      </c>
      <c r="O100" s="199">
        <f t="shared" si="76"/>
        <v>66.069344800759623</v>
      </c>
      <c r="P100" s="189" t="str">
        <f t="shared" si="67"/>
        <v>18.0065359477124</v>
      </c>
      <c r="Q100" s="160" t="str">
        <f t="shared" si="68"/>
        <v>1+0.130235587923801i</v>
      </c>
      <c r="R100" s="160">
        <f t="shared" si="77"/>
        <v>1.0084449952088899</v>
      </c>
      <c r="S100" s="160">
        <f t="shared" si="78"/>
        <v>0.12950666972273625</v>
      </c>
      <c r="T100" s="160" t="str">
        <f t="shared" si="69"/>
        <v>1+0.000166050374602846i</v>
      </c>
      <c r="U100" s="160">
        <f t="shared" si="79"/>
        <v>1.0000000137863634</v>
      </c>
      <c r="V100" s="160">
        <f t="shared" si="80"/>
        <v>1.6605037307669215E-4</v>
      </c>
      <c r="W100" s="98" t="str">
        <f t="shared" si="70"/>
        <v>1-0.00234586401793494i</v>
      </c>
      <c r="X100" s="160">
        <f t="shared" si="81"/>
        <v>1.0000027515352099</v>
      </c>
      <c r="Y100" s="160">
        <f t="shared" si="82"/>
        <v>-2.3458597147915997E-3</v>
      </c>
      <c r="Z100" s="98" t="str">
        <f t="shared" si="71"/>
        <v>0.999999947189011+0.000701190573025699i</v>
      </c>
      <c r="AA100" s="160">
        <f t="shared" si="83"/>
        <v>1.0000001930231035</v>
      </c>
      <c r="AB100" s="160">
        <f t="shared" si="84"/>
        <v>7.0119049513857736E-4</v>
      </c>
      <c r="AC100" s="171" t="str">
        <f t="shared" si="85"/>
        <v>17.6995438981492-2.3569873943644i</v>
      </c>
      <c r="AD100" s="190">
        <f t="shared" si="86"/>
        <v>25.035581490781563</v>
      </c>
      <c r="AE100" s="169">
        <f t="shared" si="87"/>
        <v>-7.5852547253369957</v>
      </c>
      <c r="AF100" s="98" t="str">
        <f t="shared" si="72"/>
        <v>-0.0000816326530612245</v>
      </c>
      <c r="AG100" s="98" t="str">
        <f t="shared" si="73"/>
        <v>0.0000097554595079172i</v>
      </c>
      <c r="AH100" s="98">
        <f t="shared" si="88"/>
        <v>9.7554595079171992E-6</v>
      </c>
      <c r="AI100" s="98">
        <f t="shared" si="89"/>
        <v>1.5707963267948966</v>
      </c>
      <c r="AJ100" s="98" t="str">
        <f t="shared" si="74"/>
        <v>1+0.00297300830272967i</v>
      </c>
      <c r="AK100" s="98">
        <f t="shared" si="90"/>
        <v>1.0000044193794186</v>
      </c>
      <c r="AL100" s="98">
        <f t="shared" si="91"/>
        <v>2.9729995435222975E-3</v>
      </c>
      <c r="AM100" s="98" t="str">
        <f t="shared" si="75"/>
        <v>1+0.0465771300760983i</v>
      </c>
      <c r="AN100" s="98">
        <f t="shared" si="92"/>
        <v>1.0010841268575412</v>
      </c>
      <c r="AO100" s="98">
        <f t="shared" si="93"/>
        <v>4.6543491924313785E-2</v>
      </c>
      <c r="AP100" s="168" t="str">
        <f t="shared" si="94"/>
        <v>-0.364871452784407+8.36897896858416i</v>
      </c>
      <c r="AQ100" s="98">
        <f t="shared" si="95"/>
        <v>18.461696732761503</v>
      </c>
      <c r="AR100" s="169">
        <f t="shared" si="96"/>
        <v>92.49640532472624</v>
      </c>
      <c r="AS100" s="168" t="str">
        <f t="shared" si="97"/>
        <v>13.2675196369146+148.987108051919i</v>
      </c>
      <c r="AT100" s="190">
        <f t="shared" si="98"/>
        <v>43.49727822354307</v>
      </c>
      <c r="AU100" s="169">
        <f t="shared" si="99"/>
        <v>84.911150599389231</v>
      </c>
      <c r="AV100" s="225"/>
      <c r="AX100">
        <f t="shared" si="100"/>
        <v>0</v>
      </c>
      <c r="AY100">
        <f t="shared" si="101"/>
        <v>0</v>
      </c>
    </row>
    <row r="101" spans="14:51" x14ac:dyDescent="0.25">
      <c r="N101" s="170">
        <v>83</v>
      </c>
      <c r="O101" s="199">
        <f t="shared" si="76"/>
        <v>67.60829753919819</v>
      </c>
      <c r="P101" s="189" t="str">
        <f t="shared" si="67"/>
        <v>18.0065359477124</v>
      </c>
      <c r="Q101" s="160" t="str">
        <f t="shared" si="68"/>
        <v>1+0.133269164467989i</v>
      </c>
      <c r="R101" s="160">
        <f t="shared" si="77"/>
        <v>1.0088412512372777</v>
      </c>
      <c r="S101" s="160">
        <f t="shared" si="78"/>
        <v>0.13248848375494501</v>
      </c>
      <c r="T101" s="160" t="str">
        <f t="shared" si="69"/>
        <v>1+0.000169918184696686i</v>
      </c>
      <c r="U101" s="160">
        <f t="shared" si="79"/>
        <v>1.0000000144360948</v>
      </c>
      <c r="V101" s="160">
        <f t="shared" si="80"/>
        <v>1.699181830613827E-4</v>
      </c>
      <c r="W101" s="98" t="str">
        <f t="shared" si="70"/>
        <v>1-0.00240050621039639i</v>
      </c>
      <c r="X101" s="160">
        <f t="shared" si="81"/>
        <v>1.0000028812108823</v>
      </c>
      <c r="Y101" s="160">
        <f t="shared" si="82"/>
        <v>-2.4005015994959453E-3</v>
      </c>
      <c r="Z101" s="98" t="str">
        <f t="shared" si="71"/>
        <v>0.999999944700106+0.000717523399630524i</v>
      </c>
      <c r="AA101" s="160">
        <f t="shared" si="83"/>
        <v>1.0000002021200016</v>
      </c>
      <c r="AB101" s="160">
        <f t="shared" si="84"/>
        <v>7.1752331617297026E-4</v>
      </c>
      <c r="AC101" s="171" t="str">
        <f t="shared" si="85"/>
        <v>17.6853282874739-2.40999418016148i</v>
      </c>
      <c r="AD101" s="190">
        <f t="shared" si="86"/>
        <v>25.032170200880511</v>
      </c>
      <c r="AE101" s="169">
        <f t="shared" si="87"/>
        <v>-7.7599450265784586</v>
      </c>
      <c r="AF101" s="98" t="str">
        <f t="shared" si="72"/>
        <v>-0.0000816326530612245</v>
      </c>
      <c r="AG101" s="98" t="str">
        <f t="shared" si="73"/>
        <v>9.98269335093032E-06i</v>
      </c>
      <c r="AH101" s="98">
        <f t="shared" si="88"/>
        <v>9.98269335093032E-6</v>
      </c>
      <c r="AI101" s="98">
        <f t="shared" si="89"/>
        <v>1.5707963267948966</v>
      </c>
      <c r="AJ101" s="98" t="str">
        <f t="shared" si="74"/>
        <v>1+0.00304225856217577i</v>
      </c>
      <c r="AK101" s="98">
        <f t="shared" si="90"/>
        <v>1.000004627657872</v>
      </c>
      <c r="AL101" s="98">
        <f t="shared" si="91"/>
        <v>3.0422491765183177E-3</v>
      </c>
      <c r="AM101" s="98" t="str">
        <f t="shared" si="75"/>
        <v>1+0.0476620508074205i</v>
      </c>
      <c r="AN101" s="98">
        <f t="shared" si="92"/>
        <v>1.0011351912140383</v>
      </c>
      <c r="AO101" s="98">
        <f t="shared" si="93"/>
        <v>4.7626009085386084E-2</v>
      </c>
      <c r="AP101" s="168" t="str">
        <f t="shared" si="94"/>
        <v>-0.364871300795403+8.1785277087627i</v>
      </c>
      <c r="AQ101" s="98">
        <f t="shared" si="95"/>
        <v>18.262137971419129</v>
      </c>
      <c r="AR101" s="169">
        <f t="shared" si="96"/>
        <v>92.554461277602698</v>
      </c>
      <c r="AS101" s="168" t="str">
        <f t="shared" si="97"/>
        <v>13.2573354431632+145.519285149095i</v>
      </c>
      <c r="AT101" s="190">
        <f t="shared" si="98"/>
        <v>43.294308172299637</v>
      </c>
      <c r="AU101" s="169">
        <f t="shared" si="99"/>
        <v>84.794516251024234</v>
      </c>
      <c r="AV101" s="225"/>
      <c r="AX101">
        <f t="shared" si="100"/>
        <v>0</v>
      </c>
      <c r="AY101">
        <f t="shared" si="101"/>
        <v>0</v>
      </c>
    </row>
    <row r="102" spans="14:51" x14ac:dyDescent="0.25">
      <c r="N102" s="170">
        <v>84</v>
      </c>
      <c r="O102" s="199">
        <f t="shared" si="76"/>
        <v>69.183097091893657</v>
      </c>
      <c r="P102" s="189" t="str">
        <f t="shared" si="67"/>
        <v>18.0065359477124</v>
      </c>
      <c r="Q102" s="160" t="str">
        <f t="shared" si="68"/>
        <v>1+0.136373402087205i</v>
      </c>
      <c r="R102" s="160">
        <f t="shared" si="77"/>
        <v>1.0092560154870707</v>
      </c>
      <c r="S102" s="160">
        <f t="shared" si="78"/>
        <v>0.13553730141760542</v>
      </c>
      <c r="T102" s="160" t="str">
        <f t="shared" si="69"/>
        <v>1+0.000173876087661186i</v>
      </c>
      <c r="U102" s="160">
        <f t="shared" si="79"/>
        <v>1.0000000151164468</v>
      </c>
      <c r="V102" s="160">
        <f t="shared" si="80"/>
        <v>1.7387608590892695E-4</v>
      </c>
      <c r="W102" s="98" t="str">
        <f t="shared" si="70"/>
        <v>1-0.00245642118302506i</v>
      </c>
      <c r="X102" s="160">
        <f t="shared" si="81"/>
        <v>1.000003016997963</v>
      </c>
      <c r="Y102" s="160">
        <f t="shared" si="82"/>
        <v>-2.4564162423570237E-3</v>
      </c>
      <c r="Z102" s="98" t="str">
        <f t="shared" si="71"/>
        <v>0.999999942093902+0.000734236666639379i</v>
      </c>
      <c r="AA102" s="160">
        <f t="shared" si="83"/>
        <v>1.0000002116456226</v>
      </c>
      <c r="AB102" s="160">
        <f t="shared" si="84"/>
        <v>7.3423657721300025E-4</v>
      </c>
      <c r="AC102" s="171" t="str">
        <f t="shared" si="85"/>
        <v>17.6704666296703-2.46410342027346i</v>
      </c>
      <c r="AD102" s="190">
        <f t="shared" si="86"/>
        <v>25.028601013177312</v>
      </c>
      <c r="AE102" s="169">
        <f t="shared" si="87"/>
        <v>-7.9385639123933736</v>
      </c>
      <c r="AF102" s="98" t="str">
        <f t="shared" si="72"/>
        <v>-0.0000816326530612245</v>
      </c>
      <c r="AG102" s="98" t="str">
        <f t="shared" si="73"/>
        <v>0.0000102152201500947i</v>
      </c>
      <c r="AH102" s="98">
        <f t="shared" si="88"/>
        <v>1.02152201500947E-5</v>
      </c>
      <c r="AI102" s="98">
        <f t="shared" si="89"/>
        <v>1.5707963267948966</v>
      </c>
      <c r="AJ102" s="98" t="str">
        <f t="shared" si="74"/>
        <v>1+0.00311312186738059i</v>
      </c>
      <c r="AK102" s="98">
        <f t="shared" si="90"/>
        <v>1.00000484575214</v>
      </c>
      <c r="AL102" s="98">
        <f t="shared" si="91"/>
        <v>3.1131118104700695E-3</v>
      </c>
      <c r="AM102" s="98" t="str">
        <f t="shared" si="75"/>
        <v>1+0.0487722425889627i</v>
      </c>
      <c r="AN102" s="98">
        <f t="shared" si="92"/>
        <v>1.0011886593680317</v>
      </c>
      <c r="AO102" s="98">
        <f t="shared" si="93"/>
        <v>4.8733625663928734E-2</v>
      </c>
      <c r="AP102" s="168" t="str">
        <f t="shared" si="94"/>
        <v>-0.364871141643513+7.9924128125445i</v>
      </c>
      <c r="AQ102" s="98">
        <f t="shared" si="95"/>
        <v>18.062599956576907</v>
      </c>
      <c r="AR102" s="169">
        <f t="shared" si="96"/>
        <v>92.613862903021285</v>
      </c>
      <c r="AS102" s="168" t="str">
        <f t="shared" si="97"/>
        <v>13.2466884150869+142.1287441227i</v>
      </c>
      <c r="AT102" s="190">
        <f t="shared" si="98"/>
        <v>43.091200969754226</v>
      </c>
      <c r="AU102" s="169">
        <f t="shared" si="99"/>
        <v>84.675298990627937</v>
      </c>
      <c r="AV102" s="225"/>
      <c r="AX102">
        <f t="shared" si="100"/>
        <v>0</v>
      </c>
      <c r="AY102">
        <f t="shared" si="101"/>
        <v>0</v>
      </c>
    </row>
    <row r="103" spans="14:51" x14ac:dyDescent="0.25">
      <c r="N103" s="170">
        <v>85</v>
      </c>
      <c r="O103" s="199">
        <f t="shared" si="76"/>
        <v>70.794578438413865</v>
      </c>
      <c r="P103" s="189" t="str">
        <f t="shared" si="67"/>
        <v>18.0065359477124</v>
      </c>
      <c r="Q103" s="160" t="str">
        <f t="shared" si="68"/>
        <v>1+0.139549946689322i</v>
      </c>
      <c r="R103" s="160">
        <f t="shared" si="77"/>
        <v>1.0096901443616217</v>
      </c>
      <c r="S103" s="160">
        <f t="shared" si="78"/>
        <v>0.13865451239735915</v>
      </c>
      <c r="T103" s="160" t="str">
        <f t="shared" si="69"/>
        <v>1+0.000177926182028886i</v>
      </c>
      <c r="U103" s="160">
        <f t="shared" si="79"/>
        <v>1.0000000158288629</v>
      </c>
      <c r="V103" s="160">
        <f t="shared" si="80"/>
        <v>1.7792618015130657E-4</v>
      </c>
      <c r="W103" s="98" t="str">
        <f t="shared" si="70"/>
        <v>1-0.00251363858267955i</v>
      </c>
      <c r="X103" s="160">
        <f t="shared" si="81"/>
        <v>1.000003159184472</v>
      </c>
      <c r="Y103" s="160">
        <f t="shared" si="82"/>
        <v>-2.5136332886592718E-3</v>
      </c>
      <c r="Z103" s="98" t="str">
        <f t="shared" si="71"/>
        <v>0.999999939364872+0.000751339235647657i</v>
      </c>
      <c r="AA103" s="160">
        <f t="shared" si="83"/>
        <v>1.0000002216201729</v>
      </c>
      <c r="AB103" s="160">
        <f t="shared" si="84"/>
        <v>7.5133913982556666E-4</v>
      </c>
      <c r="AC103" s="171" t="str">
        <f t="shared" si="85"/>
        <v>17.6549307200193-2.51933172590593i</v>
      </c>
      <c r="AD103" s="190">
        <f t="shared" si="86"/>
        <v>25.024866758023588</v>
      </c>
      <c r="AE103" s="169">
        <f t="shared" si="87"/>
        <v>-8.1211930920042548</v>
      </c>
      <c r="AF103" s="98" t="str">
        <f t="shared" si="72"/>
        <v>-0.0000816326530612245</v>
      </c>
      <c r="AG103" s="98" t="str">
        <f t="shared" si="73"/>
        <v>0.000010453163194197i</v>
      </c>
      <c r="AH103" s="98">
        <f t="shared" si="88"/>
        <v>1.0453163194197E-5</v>
      </c>
      <c r="AI103" s="98">
        <f t="shared" si="89"/>
        <v>1.5707963267948966</v>
      </c>
      <c r="AJ103" s="98" t="str">
        <f t="shared" si="74"/>
        <v>1+0.00318563579100653i</v>
      </c>
      <c r="AK103" s="98">
        <f t="shared" si="90"/>
        <v>1.000005074124823</v>
      </c>
      <c r="AL103" s="98">
        <f t="shared" si="91"/>
        <v>3.1856250148357091E-3</v>
      </c>
      <c r="AM103" s="98" t="str">
        <f t="shared" si="75"/>
        <v>1+0.0499082940591025i</v>
      </c>
      <c r="AN103" s="98">
        <f t="shared" si="92"/>
        <v>1.0012446443381806</v>
      </c>
      <c r="AO103" s="98">
        <f t="shared" si="93"/>
        <v>4.9866918056013614E-2</v>
      </c>
      <c r="AP103" s="168" t="str">
        <f t="shared" si="94"/>
        <v>-0.364870974991176+7.81053559934492i</v>
      </c>
      <c r="AQ103" s="98">
        <f t="shared" si="95"/>
        <v>17.863083661325458</v>
      </c>
      <c r="AR103" s="169">
        <f t="shared" si="96"/>
        <v>92.674641073472898</v>
      </c>
      <c r="AS103" s="168" t="str">
        <f t="shared" si="97"/>
        <v>13.2355583465322+138.813695915836i</v>
      </c>
      <c r="AT103" s="190">
        <f t="shared" si="98"/>
        <v>42.887950419349025</v>
      </c>
      <c r="AU103" s="169">
        <f t="shared" si="99"/>
        <v>84.553447981468651</v>
      </c>
      <c r="AV103" s="225"/>
      <c r="AX103">
        <f t="shared" si="100"/>
        <v>0</v>
      </c>
      <c r="AY103">
        <f t="shared" si="101"/>
        <v>0</v>
      </c>
    </row>
    <row r="104" spans="14:51" x14ac:dyDescent="0.25">
      <c r="N104" s="170">
        <v>86</v>
      </c>
      <c r="O104" s="199">
        <f t="shared" si="76"/>
        <v>72.443596007499011</v>
      </c>
      <c r="P104" s="189" t="str">
        <f t="shared" si="67"/>
        <v>18.0065359477124</v>
      </c>
      <c r="Q104" s="160" t="str">
        <f t="shared" si="68"/>
        <v>1+0.142800482520336i</v>
      </c>
      <c r="R104" s="160">
        <f t="shared" si="77"/>
        <v>1.0101445331278296</v>
      </c>
      <c r="S104" s="160">
        <f t="shared" si="78"/>
        <v>0.14184152703368075</v>
      </c>
      <c r="T104" s="160" t="str">
        <f t="shared" si="69"/>
        <v>1+0.000182070615213428i</v>
      </c>
      <c r="U104" s="160">
        <f t="shared" si="79"/>
        <v>1.0000000165748544</v>
      </c>
      <c r="V104" s="160">
        <f t="shared" si="80"/>
        <v>1.8207061320156539E-4</v>
      </c>
      <c r="W104" s="98" t="str">
        <f t="shared" si="70"/>
        <v>1-0.0025721887467825i</v>
      </c>
      <c r="X104" s="160">
        <f t="shared" si="81"/>
        <v>1.0000033080720028</v>
      </c>
      <c r="Y104" s="160">
        <f t="shared" si="82"/>
        <v>-2.5721830741385829E-3</v>
      </c>
      <c r="Z104" s="98" t="str">
        <f t="shared" si="71"/>
        <v>0.999999936507226+0.000768840174663824i</v>
      </c>
      <c r="AA104" s="160">
        <f t="shared" si="83"/>
        <v>1.000000232064808</v>
      </c>
      <c r="AB104" s="160">
        <f t="shared" si="84"/>
        <v>7.6884007198860596E-4</v>
      </c>
      <c r="AC104" s="171" t="str">
        <f t="shared" si="85"/>
        <v>17.6386912315851-2.57569549254642i</v>
      </c>
      <c r="AD104" s="190">
        <f t="shared" si="86"/>
        <v>25.020959953351287</v>
      </c>
      <c r="AE104" s="169">
        <f t="shared" si="87"/>
        <v>-8.3079155065394819</v>
      </c>
      <c r="AF104" s="98" t="str">
        <f t="shared" si="72"/>
        <v>-0.0000816326530612245</v>
      </c>
      <c r="AG104" s="98" t="str">
        <f t="shared" si="73"/>
        <v>0.0000106966486437889i</v>
      </c>
      <c r="AH104" s="98">
        <f t="shared" si="88"/>
        <v>1.0696648643788901E-5</v>
      </c>
      <c r="AI104" s="98">
        <f t="shared" si="89"/>
        <v>1.5707963267948966</v>
      </c>
      <c r="AJ104" s="98" t="str">
        <f t="shared" si="74"/>
        <v>1+0.00325983878089573i</v>
      </c>
      <c r="AK104" s="98">
        <f t="shared" si="90"/>
        <v>1.0000053132603235</v>
      </c>
      <c r="AL104" s="98">
        <f t="shared" si="91"/>
        <v>3.2598272340239728E-3</v>
      </c>
      <c r="AM104" s="98" t="str">
        <f t="shared" si="75"/>
        <v>1+0.0510708075673667i</v>
      </c>
      <c r="AN104" s="98">
        <f t="shared" si="92"/>
        <v>1.0013032644436863</v>
      </c>
      <c r="AO104" s="98">
        <f t="shared" si="93"/>
        <v>5.1026475497285347E-2</v>
      </c>
      <c r="AP104" s="168" t="str">
        <f t="shared" si="94"/>
        <v>-0.364870800484918+7.63279963545467i</v>
      </c>
      <c r="AQ104" s="98">
        <f t="shared" si="95"/>
        <v>17.663590104167611</v>
      </c>
      <c r="AR104" s="169">
        <f t="shared" si="96"/>
        <v>92.736827346970784</v>
      </c>
      <c r="AS104" s="168" t="str">
        <f t="shared" si="97"/>
        <v>13.2239242273758+135.572392078511i</v>
      </c>
      <c r="AT104" s="190">
        <f t="shared" si="98"/>
        <v>42.684550057518891</v>
      </c>
      <c r="AU104" s="169">
        <f t="shared" si="99"/>
        <v>84.428911840431311</v>
      </c>
      <c r="AV104" s="225"/>
      <c r="AX104">
        <f t="shared" si="100"/>
        <v>0</v>
      </c>
      <c r="AY104">
        <f t="shared" si="101"/>
        <v>0</v>
      </c>
    </row>
    <row r="105" spans="14:51" x14ac:dyDescent="0.25">
      <c r="N105" s="170">
        <v>87</v>
      </c>
      <c r="O105" s="199">
        <f t="shared" si="76"/>
        <v>74.131024130091816</v>
      </c>
      <c r="P105" s="189" t="str">
        <f t="shared" si="67"/>
        <v>18.0065359477124</v>
      </c>
      <c r="Q105" s="160" t="str">
        <f t="shared" si="68"/>
        <v>1+0.14612673305737i</v>
      </c>
      <c r="R105" s="160">
        <f t="shared" si="77"/>
        <v>1.0106201176080061</v>
      </c>
      <c r="S105" s="160">
        <f t="shared" si="78"/>
        <v>0.14509977602265239</v>
      </c>
      <c r="T105" s="160" t="str">
        <f t="shared" si="69"/>
        <v>1+0.000186311584648147i</v>
      </c>
      <c r="U105" s="160">
        <f t="shared" si="79"/>
        <v>1.0000000173560031</v>
      </c>
      <c r="V105" s="160">
        <f t="shared" si="80"/>
        <v>1.8631158249239737E-4</v>
      </c>
      <c r="W105" s="98" t="str">
        <f t="shared" si="70"/>
        <v>1-0.00263210271940595i</v>
      </c>
      <c r="X105" s="160">
        <f t="shared" si="81"/>
        <v>1.0000034639763631</v>
      </c>
      <c r="Y105" s="160">
        <f t="shared" si="82"/>
        <v>-2.6320966410596186E-3</v>
      </c>
      <c r="Z105" s="98" t="str">
        <f t="shared" si="71"/>
        <v>0.999999933514904+0.000786748762917403i</v>
      </c>
      <c r="AA105" s="160">
        <f t="shared" si="83"/>
        <v>1.0000002430016848</v>
      </c>
      <c r="AB105" s="160">
        <f t="shared" si="84"/>
        <v>7.8674865289892577E-4</v>
      </c>
      <c r="AC105" s="171" t="str">
        <f t="shared" si="85"/>
        <v>17.6217176809679-2.63321085717949i</v>
      </c>
      <c r="AD105" s="190">
        <f t="shared" si="86"/>
        <v>25.016872792298027</v>
      </c>
      <c r="AE105" s="169">
        <f t="shared" si="87"/>
        <v>-8.4988153131922921</v>
      </c>
      <c r="AF105" s="98" t="str">
        <f t="shared" si="72"/>
        <v>-0.0000816326530612245</v>
      </c>
      <c r="AG105" s="98" t="str">
        <f t="shared" si="73"/>
        <v>0.0000109458055980787i</v>
      </c>
      <c r="AH105" s="98">
        <f t="shared" si="88"/>
        <v>1.09458055980787E-5</v>
      </c>
      <c r="AI105" s="98">
        <f t="shared" si="89"/>
        <v>1.5707963267948966</v>
      </c>
      <c r="AJ105" s="98" t="str">
        <f t="shared" si="74"/>
        <v>1+0.00333577018045564i</v>
      </c>
      <c r="AK105" s="98">
        <f t="shared" si="90"/>
        <v>1.0000055636658711</v>
      </c>
      <c r="AL105" s="98">
        <f t="shared" si="91"/>
        <v>3.3357578077633549E-3</v>
      </c>
      <c r="AM105" s="98" t="str">
        <f t="shared" si="75"/>
        <v>1+0.0522603994938053i</v>
      </c>
      <c r="AN105" s="98">
        <f t="shared" si="92"/>
        <v>1.0013646435516146</v>
      </c>
      <c r="AO105" s="98">
        <f t="shared" si="93"/>
        <v>5.221290032048502E-2</v>
      </c>
      <c r="AP105" s="168" t="str">
        <f t="shared" si="94"/>
        <v>-0.364870617754609+7.4591106829095i</v>
      </c>
      <c r="AQ105" s="98">
        <f t="shared" si="95"/>
        <v>17.464120351115767</v>
      </c>
      <c r="AR105" s="169">
        <f t="shared" si="96"/>
        <v>92.800453980638409</v>
      </c>
      <c r="AS105" s="168" t="str">
        <f t="shared" si="97"/>
        <v>13.2117642189887+132.40312387746i</v>
      </c>
      <c r="AT105" s="190">
        <f t="shared" si="98"/>
        <v>42.480993143413784</v>
      </c>
      <c r="AU105" s="169">
        <f t="shared" si="99"/>
        <v>84.301638667446127</v>
      </c>
      <c r="AV105" s="225"/>
      <c r="AX105">
        <f t="shared" si="100"/>
        <v>0</v>
      </c>
      <c r="AY105">
        <f t="shared" si="101"/>
        <v>0</v>
      </c>
    </row>
    <row r="106" spans="14:51" x14ac:dyDescent="0.25">
      <c r="N106" s="170">
        <v>88</v>
      </c>
      <c r="O106" s="199">
        <f t="shared" si="76"/>
        <v>75.857757502918361</v>
      </c>
      <c r="P106" s="189" t="str">
        <f t="shared" si="67"/>
        <v>18.0065359477124</v>
      </c>
      <c r="Q106" s="160" t="str">
        <f t="shared" si="68"/>
        <v>1+0.149530461922488i</v>
      </c>
      <c r="R106" s="160">
        <f t="shared" si="77"/>
        <v>1.0111178759386823</v>
      </c>
      <c r="S106" s="160">
        <f t="shared" si="78"/>
        <v>0.14843071006531081</v>
      </c>
      <c r="T106" s="160" t="str">
        <f t="shared" si="69"/>
        <v>1+0.000190651338951172i</v>
      </c>
      <c r="U106" s="160">
        <f t="shared" si="79"/>
        <v>1.0000000181739663</v>
      </c>
      <c r="V106" s="160">
        <f t="shared" si="80"/>
        <v>1.9065133664124468E-4</v>
      </c>
      <c r="W106" s="98" t="str">
        <f t="shared" si="70"/>
        <v>1-0.00269341226773123i</v>
      </c>
      <c r="X106" s="160">
        <f t="shared" si="81"/>
        <v>1.0000036272282435</v>
      </c>
      <c r="Y106" s="160">
        <f t="shared" si="82"/>
        <v>-2.6934057546670678E-3</v>
      </c>
      <c r="Z106" s="98" t="str">
        <f t="shared" si="71"/>
        <v>0.999999930381558+0.000805074495778931i</v>
      </c>
      <c r="AA106" s="160">
        <f t="shared" si="83"/>
        <v>1.0000002544540001</v>
      </c>
      <c r="AB106" s="160">
        <f t="shared" si="84"/>
        <v>8.0507437789201035E-4</v>
      </c>
      <c r="AC106" s="171" t="str">
        <f t="shared" si="85"/>
        <v>17.6039783940538-2.69189365241251i</v>
      </c>
      <c r="AD106" s="190">
        <f t="shared" si="86"/>
        <v>25.012597130460765</v>
      </c>
      <c r="AE106" s="169">
        <f t="shared" si="87"/>
        <v>-8.6939778662302185</v>
      </c>
      <c r="AF106" s="98" t="str">
        <f t="shared" si="72"/>
        <v>-0.0000816326530612245</v>
      </c>
      <c r="AG106" s="98" t="str">
        <f t="shared" si="73"/>
        <v>0.0000112007661633813i</v>
      </c>
      <c r="AH106" s="98">
        <f t="shared" si="88"/>
        <v>1.12007661633813E-5</v>
      </c>
      <c r="AI106" s="98">
        <f t="shared" si="89"/>
        <v>1.5707963267948966</v>
      </c>
      <c r="AJ106" s="98" t="str">
        <f t="shared" si="74"/>
        <v>1+0.00341347024951937i</v>
      </c>
      <c r="AK106" s="98">
        <f t="shared" si="90"/>
        <v>1.0000058258726019</v>
      </c>
      <c r="AL106" s="98">
        <f t="shared" si="91"/>
        <v>3.4134569919449E-3</v>
      </c>
      <c r="AM106" s="98" t="str">
        <f t="shared" si="75"/>
        <v>1+0.0534777005758036i</v>
      </c>
      <c r="AN106" s="98">
        <f t="shared" si="92"/>
        <v>1.0014289113356352</v>
      </c>
      <c r="AO106" s="98">
        <f t="shared" si="93"/>
        <v>5.3426808216047263E-2</v>
      </c>
      <c r="AP106" s="168" t="str">
        <f t="shared" si="94"/>
        <v>-0.364870426412687+7.28937664952406i</v>
      </c>
      <c r="AQ106" s="98">
        <f t="shared" si="95"/>
        <v>17.264675517883997</v>
      </c>
      <c r="AR106" s="169">
        <f t="shared" si="96"/>
        <v>92.865553944446503</v>
      </c>
      <c r="AS106" s="168" t="str">
        <f t="shared" si="97"/>
        <v>13.1990556296996+129.304221429155i</v>
      </c>
      <c r="AT106" s="190">
        <f t="shared" si="98"/>
        <v>42.277272648344749</v>
      </c>
      <c r="AU106" s="169">
        <f t="shared" si="99"/>
        <v>84.171576078216304</v>
      </c>
      <c r="AV106" s="225"/>
      <c r="AX106">
        <f t="shared" si="100"/>
        <v>0</v>
      </c>
      <c r="AY106">
        <f t="shared" si="101"/>
        <v>0</v>
      </c>
    </row>
    <row r="107" spans="14:51" x14ac:dyDescent="0.25">
      <c r="N107" s="170">
        <v>89</v>
      </c>
      <c r="O107" s="199">
        <f t="shared" si="76"/>
        <v>77.624711662869217</v>
      </c>
      <c r="P107" s="189" t="str">
        <f t="shared" si="67"/>
        <v>18.0065359477124</v>
      </c>
      <c r="Q107" s="160" t="str">
        <f t="shared" si="68"/>
        <v>1+0.153013473817786i</v>
      </c>
      <c r="R107" s="160">
        <f t="shared" si="77"/>
        <v>1.0116388303983721</v>
      </c>
      <c r="S107" s="160">
        <f t="shared" si="78"/>
        <v>0.15183579945658823</v>
      </c>
      <c r="T107" s="160" t="str">
        <f t="shared" si="69"/>
        <v>1+0.000195092179117677i</v>
      </c>
      <c r="U107" s="160">
        <f t="shared" si="79"/>
        <v>1.000000019030479</v>
      </c>
      <c r="V107" s="160">
        <f t="shared" si="80"/>
        <v>1.950921766425453E-4</v>
      </c>
      <c r="W107" s="98" t="str">
        <f t="shared" si="70"/>
        <v>1-0.00275614989889238i</v>
      </c>
      <c r="X107" s="160">
        <f t="shared" si="81"/>
        <v>1.0000037981739196</v>
      </c>
      <c r="Y107" s="160">
        <f t="shared" si="82"/>
        <v>-2.7561429200198256E-3</v>
      </c>
      <c r="Z107" s="98" t="str">
        <f t="shared" si="71"/>
        <v>0.999999927100542+0.000823827089794542i</v>
      </c>
      <c r="AA107" s="160">
        <f t="shared" si="83"/>
        <v>1.0000002664460461</v>
      </c>
      <c r="AB107" s="160">
        <f t="shared" si="84"/>
        <v>8.2382696347643237E-4</v>
      </c>
      <c r="AC107" s="171" t="str">
        <f t="shared" si="85"/>
        <v>17.5854404718907-2.75175935735708i</v>
      </c>
      <c r="AD107" s="190">
        <f t="shared" si="86"/>
        <v>25.008124472778054</v>
      </c>
      <c r="AE107" s="169">
        <f t="shared" si="87"/>
        <v>-8.8934896946278776</v>
      </c>
      <c r="AF107" s="98" t="str">
        <f t="shared" si="72"/>
        <v>-0.0000816326530612245</v>
      </c>
      <c r="AG107" s="98" t="str">
        <f t="shared" si="73"/>
        <v>0.0000114616655231635i</v>
      </c>
      <c r="AH107" s="98">
        <f t="shared" si="88"/>
        <v>1.14616655231635E-5</v>
      </c>
      <c r="AI107" s="98">
        <f t="shared" si="89"/>
        <v>1.5707963267948966</v>
      </c>
      <c r="AJ107" s="98" t="str">
        <f t="shared" si="74"/>
        <v>1+0.00349298018569201i</v>
      </c>
      <c r="AK107" s="98">
        <f t="shared" si="90"/>
        <v>1.0000061004366811</v>
      </c>
      <c r="AL107" s="98">
        <f t="shared" si="91"/>
        <v>3.4929659799497054E-3</v>
      </c>
      <c r="AM107" s="98" t="str">
        <f t="shared" si="75"/>
        <v>1+0.0547233562425083i</v>
      </c>
      <c r="AN107" s="98">
        <f t="shared" si="92"/>
        <v>1.0014962035466957</v>
      </c>
      <c r="AO107" s="98">
        <f t="shared" si="93"/>
        <v>5.4668828495641496E-2</v>
      </c>
      <c r="AP107" s="168" t="str">
        <f t="shared" si="94"/>
        <v>-0.364870226053311+7.12350754006285i</v>
      </c>
      <c r="AQ107" s="98">
        <f t="shared" si="95"/>
        <v>17.065256772178174</v>
      </c>
      <c r="AR107" s="169">
        <f t="shared" si="96"/>
        <v>92.932160935090891</v>
      </c>
      <c r="AS107" s="168" t="str">
        <f t="shared" si="97"/>
        <v>13.1857748903459+126.274052855603i</v>
      </c>
      <c r="AT107" s="190">
        <f t="shared" si="98"/>
        <v>42.073381244956224</v>
      </c>
      <c r="AU107" s="169">
        <f t="shared" si="99"/>
        <v>84.038671240463003</v>
      </c>
      <c r="AV107" s="225"/>
      <c r="AX107">
        <f t="shared" si="100"/>
        <v>0</v>
      </c>
      <c r="AY107">
        <f t="shared" si="101"/>
        <v>0</v>
      </c>
    </row>
    <row r="108" spans="14:51" x14ac:dyDescent="0.25">
      <c r="N108" s="170">
        <v>90</v>
      </c>
      <c r="O108" s="199">
        <f t="shared" si="76"/>
        <v>79.432823472428197</v>
      </c>
      <c r="P108" s="189" t="str">
        <f t="shared" si="67"/>
        <v>18.0065359477124</v>
      </c>
      <c r="Q108" s="160" t="str">
        <f t="shared" si="68"/>
        <v>1+0.156577615482275i</v>
      </c>
      <c r="R108" s="160">
        <f t="shared" si="77"/>
        <v>1.0121840493063083</v>
      </c>
      <c r="S108" s="160">
        <f t="shared" si="78"/>
        <v>0.1553165336107096</v>
      </c>
      <c r="T108" s="160" t="str">
        <f t="shared" si="69"/>
        <v>1+0.0001996364597399i</v>
      </c>
      <c r="U108" s="160">
        <f t="shared" si="79"/>
        <v>1.0000000199273578</v>
      </c>
      <c r="V108" s="160">
        <f t="shared" si="80"/>
        <v>1.9963645708774859E-4</v>
      </c>
      <c r="W108" s="98" t="str">
        <f t="shared" si="70"/>
        <v>1-0.00282034887721188i</v>
      </c>
      <c r="X108" s="160">
        <f t="shared" si="81"/>
        <v>1.0000039771759857</v>
      </c>
      <c r="Y108" s="160">
        <f t="shared" si="82"/>
        <v>-2.8203413992168151E-3</v>
      </c>
      <c r="Z108" s="98" t="str">
        <f t="shared" si="71"/>
        <v>0.999999923664896+0.000843016487837803i</v>
      </c>
      <c r="AA108" s="160">
        <f t="shared" si="83"/>
        <v>1.0000002790032594</v>
      </c>
      <c r="AB108" s="160">
        <f t="shared" si="84"/>
        <v>8.4301635248551228E-4</v>
      </c>
      <c r="AC108" s="171" t="str">
        <f t="shared" si="85"/>
        <v>17.5660697568337-2.81282304510885i</v>
      </c>
      <c r="AD108" s="190">
        <f t="shared" si="86"/>
        <v>25.003445960042768</v>
      </c>
      <c r="AE108" s="169">
        <f t="shared" si="87"/>
        <v>-9.0974384760864506</v>
      </c>
      <c r="AF108" s="98" t="str">
        <f t="shared" si="72"/>
        <v>-0.0000816326530612245</v>
      </c>
      <c r="AG108" s="98" t="str">
        <f t="shared" si="73"/>
        <v>0.0000117286420097191i</v>
      </c>
      <c r="AH108" s="98">
        <f t="shared" si="88"/>
        <v>1.17286420097191E-5</v>
      </c>
      <c r="AI108" s="98">
        <f t="shared" si="89"/>
        <v>1.5707963267948966</v>
      </c>
      <c r="AJ108" s="98" t="str">
        <f t="shared" si="74"/>
        <v>1+0.00357434214619416i</v>
      </c>
      <c r="AK108" s="98">
        <f t="shared" si="90"/>
        <v>1.0000063879404861</v>
      </c>
      <c r="AL108" s="98">
        <f t="shared" si="91"/>
        <v>3.574326924472287E-3</v>
      </c>
      <c r="AM108" s="98" t="str">
        <f t="shared" si="75"/>
        <v>1+0.0559980269570421i</v>
      </c>
      <c r="AN108" s="98">
        <f t="shared" si="92"/>
        <v>1.0015666622961656</v>
      </c>
      <c r="AO108" s="98">
        <f t="shared" si="93"/>
        <v>5.5939604358505909E-2</v>
      </c>
      <c r="AP108" s="168" t="str">
        <f t="shared" si="94"/>
        <v>-0.364870016251527+6.9614154085242i</v>
      </c>
      <c r="AQ108" s="98">
        <f t="shared" si="95"/>
        <v>16.865865336090529</v>
      </c>
      <c r="AR108" s="169">
        <f t="shared" si="96"/>
        <v>93.000309390001775</v>
      </c>
      <c r="AS108" s="168" t="str">
        <f t="shared" si="97"/>
        <v>13.1718975300213+123.311023462615i</v>
      </c>
      <c r="AT108" s="190">
        <f t="shared" si="98"/>
        <v>41.869311296133318</v>
      </c>
      <c r="AU108" s="169">
        <f t="shared" si="99"/>
        <v>83.902870913915379</v>
      </c>
      <c r="AV108" s="225"/>
      <c r="AX108">
        <f t="shared" si="100"/>
        <v>0</v>
      </c>
      <c r="AY108">
        <f t="shared" si="101"/>
        <v>0</v>
      </c>
    </row>
    <row r="109" spans="14:51" x14ac:dyDescent="0.25">
      <c r="N109" s="170">
        <v>91</v>
      </c>
      <c r="O109" s="199">
        <f t="shared" si="76"/>
        <v>81.283051616409963</v>
      </c>
      <c r="P109" s="189" t="str">
        <f t="shared" si="67"/>
        <v>18.0065359477124</v>
      </c>
      <c r="Q109" s="160" t="str">
        <f t="shared" si="68"/>
        <v>1+0.160224776671042i</v>
      </c>
      <c r="R109" s="160">
        <f t="shared" si="77"/>
        <v>1.0127546489941606</v>
      </c>
      <c r="S109" s="160">
        <f t="shared" si="78"/>
        <v>0.15887442051866979</v>
      </c>
      <c r="T109" s="160" t="str">
        <f t="shared" si="69"/>
        <v>1+0.000204286590255579i</v>
      </c>
      <c r="U109" s="160">
        <f t="shared" si="79"/>
        <v>1.0000000208665054</v>
      </c>
      <c r="V109" s="160">
        <f t="shared" si="80"/>
        <v>2.0428658741374758E-4</v>
      </c>
      <c r="W109" s="98" t="str">
        <f t="shared" si="70"/>
        <v>1-0.00288604324183781i</v>
      </c>
      <c r="X109" s="160">
        <f t="shared" si="81"/>
        <v>1.0000041646141249</v>
      </c>
      <c r="Y109" s="160">
        <f t="shared" si="82"/>
        <v>-2.8860352290235357E-3</v>
      </c>
      <c r="Z109" s="98" t="str">
        <f t="shared" si="71"/>
        <v>0.999999920067333+0.000862652864381556i</v>
      </c>
      <c r="AA109" s="160">
        <f t="shared" si="83"/>
        <v>1.0000002921522757</v>
      </c>
      <c r="AB109" s="160">
        <f t="shared" si="84"/>
        <v>8.6265271934896613E-4</v>
      </c>
      <c r="AC109" s="171" t="str">
        <f t="shared" si="85"/>
        <v>17.5458307991224-2.87509932666641i</v>
      </c>
      <c r="AD109" s="190">
        <f t="shared" si="86"/>
        <v>24.998552355049888</v>
      </c>
      <c r="AE109" s="169">
        <f t="shared" si="87"/>
        <v>-9.3059130071898135</v>
      </c>
      <c r="AF109" s="98" t="str">
        <f t="shared" si="72"/>
        <v>-0.0000816326530612245</v>
      </c>
      <c r="AG109" s="98" t="str">
        <f t="shared" si="73"/>
        <v>0.0000120018371775153i</v>
      </c>
      <c r="AH109" s="98">
        <f t="shared" si="88"/>
        <v>1.2001837177515301E-5</v>
      </c>
      <c r="AI109" s="98">
        <f t="shared" si="89"/>
        <v>1.5707963267948966</v>
      </c>
      <c r="AJ109" s="98" t="str">
        <f t="shared" si="74"/>
        <v>1+0.00365759927021423i</v>
      </c>
      <c r="AK109" s="98">
        <f t="shared" si="90"/>
        <v>1.0000066889938395</v>
      </c>
      <c r="AL109" s="98">
        <f t="shared" si="91"/>
        <v>3.6575829598512761E-3</v>
      </c>
      <c r="AM109" s="98" t="str">
        <f t="shared" si="75"/>
        <v>1+0.0573023885666899i</v>
      </c>
      <c r="AN109" s="98">
        <f t="shared" si="92"/>
        <v>1.0016404363520115</v>
      </c>
      <c r="AO109" s="98">
        <f t="shared" si="93"/>
        <v>5.7239793160408795E-2</v>
      </c>
      <c r="AP109" s="168" t="str">
        <f t="shared" si="94"/>
        <v>-0.364869796562343+6.80301431150961i</v>
      </c>
      <c r="AQ109" s="98">
        <f t="shared" si="95"/>
        <v>16.666502488600287</v>
      </c>
      <c r="AR109" s="169">
        <f t="shared" si="96"/>
        <v>93.070034501474765</v>
      </c>
      <c r="AS109" s="168" t="str">
        <f t="shared" si="97"/>
        <v>13.1573981521301+120.413574940173i</v>
      </c>
      <c r="AT109" s="190">
        <f t="shared" si="98"/>
        <v>41.665054843650168</v>
      </c>
      <c r="AU109" s="169">
        <f t="shared" si="99"/>
        <v>83.764121494284979</v>
      </c>
      <c r="AV109" s="225"/>
      <c r="AX109">
        <f t="shared" si="100"/>
        <v>0</v>
      </c>
      <c r="AY109">
        <f t="shared" si="101"/>
        <v>0</v>
      </c>
    </row>
    <row r="110" spans="14:51" x14ac:dyDescent="0.25">
      <c r="N110" s="170">
        <v>92</v>
      </c>
      <c r="O110" s="199">
        <f t="shared" si="76"/>
        <v>83.176377110267126</v>
      </c>
      <c r="P110" s="189" t="str">
        <f t="shared" si="67"/>
        <v>18.0065359477124</v>
      </c>
      <c r="Q110" s="160" t="str">
        <f t="shared" si="68"/>
        <v>1+0.163956891157226i</v>
      </c>
      <c r="R110" s="160">
        <f t="shared" si="77"/>
        <v>1.0133517958527249</v>
      </c>
      <c r="S110" s="160">
        <f t="shared" si="78"/>
        <v>0.16251098613325465</v>
      </c>
      <c r="T110" s="160" t="str">
        <f t="shared" si="69"/>
        <v>1+0.000209045036225464i</v>
      </c>
      <c r="U110" s="160">
        <f t="shared" si="79"/>
        <v>1.0000000218499132</v>
      </c>
      <c r="V110" s="160">
        <f t="shared" si="80"/>
        <v>2.0904503318038676E-4</v>
      </c>
      <c r="W110" s="98" t="str">
        <f t="shared" si="70"/>
        <v>1-0.00295326782479186i</v>
      </c>
      <c r="X110" s="160">
        <f t="shared" si="81"/>
        <v>1.0000043608859137</v>
      </c>
      <c r="Y110" s="160">
        <f t="shared" si="82"/>
        <v>-2.9532592389086981E-3</v>
      </c>
      <c r="Z110" s="98" t="str">
        <f t="shared" si="71"/>
        <v>0.999999916300223+0.000882746630892567i</v>
      </c>
      <c r="AA110" s="160">
        <f t="shared" si="83"/>
        <v>1.000000305920987</v>
      </c>
      <c r="AB110" s="160">
        <f t="shared" si="84"/>
        <v>8.8274647548734916E-4</v>
      </c>
      <c r="AC110" s="171" t="str">
        <f t="shared" si="85"/>
        <v>17.5246868240669-2.9386022911291i</v>
      </c>
      <c r="AD110" s="190">
        <f t="shared" si="86"/>
        <v>24.993434028384453</v>
      </c>
      <c r="AE110" s="169">
        <f t="shared" si="87"/>
        <v>-9.5190031694380615</v>
      </c>
      <c r="AF110" s="98" t="str">
        <f t="shared" si="72"/>
        <v>-0.0000816326530612245</v>
      </c>
      <c r="AG110" s="98" t="str">
        <f t="shared" si="73"/>
        <v>0.000012281395878246i</v>
      </c>
      <c r="AH110" s="98">
        <f t="shared" si="88"/>
        <v>1.2281395878246E-5</v>
      </c>
      <c r="AI110" s="98">
        <f t="shared" si="89"/>
        <v>1.5707963267948966</v>
      </c>
      <c r="AJ110" s="98" t="str">
        <f t="shared" si="74"/>
        <v>1+0.00374279570178142i</v>
      </c>
      <c r="AK110" s="98">
        <f t="shared" si="90"/>
        <v>1.0000070042353031</v>
      </c>
      <c r="AL110" s="98">
        <f t="shared" si="91"/>
        <v>3.7427782249192507E-3</v>
      </c>
      <c r="AM110" s="98" t="str">
        <f t="shared" si="75"/>
        <v>1+0.0586371326612425i</v>
      </c>
      <c r="AN110" s="98">
        <f t="shared" si="92"/>
        <v>1.0017176814485866</v>
      </c>
      <c r="AO110" s="98">
        <f t="shared" si="93"/>
        <v>5.8570066685051034E-2</v>
      </c>
      <c r="AP110" s="168" t="str">
        <f t="shared" si="94"/>
        <v>-0.364869566519813+6.64822026265584i</v>
      </c>
      <c r="AQ110" s="98">
        <f t="shared" si="95"/>
        <v>16.467169568187362</v>
      </c>
      <c r="AR110" s="169">
        <f t="shared" si="96"/>
        <v>93.14137223091187</v>
      </c>
      <c r="AS110" s="168" t="str">
        <f t="shared" si="97"/>
        <v>13.1422504108786+117.580184584598i</v>
      </c>
      <c r="AT110" s="190">
        <f t="shared" si="98"/>
        <v>41.460603596571836</v>
      </c>
      <c r="AU110" s="169">
        <f t="shared" si="99"/>
        <v>83.622369061473819</v>
      </c>
      <c r="AV110" s="225"/>
      <c r="AX110">
        <f t="shared" si="100"/>
        <v>0</v>
      </c>
      <c r="AY110">
        <f t="shared" si="101"/>
        <v>0</v>
      </c>
    </row>
    <row r="111" spans="14:51" x14ac:dyDescent="0.25">
      <c r="N111" s="170">
        <v>93</v>
      </c>
      <c r="O111" s="199">
        <f t="shared" si="76"/>
        <v>85.113803820237734</v>
      </c>
      <c r="P111" s="189" t="str">
        <f t="shared" si="67"/>
        <v>18.0065359477124</v>
      </c>
      <c r="Q111" s="160" t="str">
        <f t="shared" si="68"/>
        <v>1+0.167775937757328i</v>
      </c>
      <c r="R111" s="160">
        <f t="shared" si="77"/>
        <v>1.0139767084555495</v>
      </c>
      <c r="S111" s="160">
        <f t="shared" si="78"/>
        <v>0.16622777367683789</v>
      </c>
      <c r="T111" s="160" t="str">
        <f t="shared" si="69"/>
        <v>1+0.000213914320640594i</v>
      </c>
      <c r="U111" s="160">
        <f t="shared" si="79"/>
        <v>1.0000000228796679</v>
      </c>
      <c r="V111" s="160">
        <f t="shared" si="80"/>
        <v>2.1391431737773496E-4</v>
      </c>
      <c r="W111" s="98" t="str">
        <f t="shared" si="70"/>
        <v>1-0.00302205826943774i</v>
      </c>
      <c r="X111" s="160">
        <f t="shared" si="81"/>
        <v>1.000004566407666</v>
      </c>
      <c r="Y111" s="160">
        <f t="shared" si="82"/>
        <v>-3.0220490695004485E-3</v>
      </c>
      <c r="Z111" s="98" t="str">
        <f t="shared" si="71"/>
        <v>0.999999912355574+0.00090330844135181i</v>
      </c>
      <c r="AA111" s="160">
        <f t="shared" si="83"/>
        <v>1.0000003203385965</v>
      </c>
      <c r="AB111" s="160">
        <f t="shared" si="84"/>
        <v>9.0330827483212181E-4</v>
      </c>
      <c r="AC111" s="171" t="str">
        <f t="shared" si="85"/>
        <v>17.5025997000388-3.00334544201313i</v>
      </c>
      <c r="AD111" s="190">
        <f t="shared" si="86"/>
        <v>24.988080943857192</v>
      </c>
      <c r="AE111" s="169">
        <f t="shared" si="87"/>
        <v>-9.7367998908864024</v>
      </c>
      <c r="AF111" s="98" t="str">
        <f t="shared" si="72"/>
        <v>-0.0000816326530612245</v>
      </c>
      <c r="AG111" s="98" t="str">
        <f t="shared" si="73"/>
        <v>0.0000125674663376349i</v>
      </c>
      <c r="AH111" s="98">
        <f t="shared" si="88"/>
        <v>1.25674663376349E-5</v>
      </c>
      <c r="AI111" s="98">
        <f t="shared" si="89"/>
        <v>1.5707963267948966</v>
      </c>
      <c r="AJ111" s="98" t="str">
        <f t="shared" si="74"/>
        <v>1+0.00382997661317147i</v>
      </c>
      <c r="AK111" s="98">
        <f t="shared" si="90"/>
        <v>1.0000073343335325</v>
      </c>
      <c r="AL111" s="98">
        <f t="shared" si="91"/>
        <v>3.8299578863836788E-3</v>
      </c>
      <c r="AM111" s="98" t="str">
        <f t="shared" si="75"/>
        <v>1+0.0600029669396865i</v>
      </c>
      <c r="AN111" s="98">
        <f t="shared" si="92"/>
        <v>1.0017985606106474</v>
      </c>
      <c r="AO111" s="98">
        <f t="shared" si="93"/>
        <v>5.993111141770073E-2</v>
      </c>
      <c r="AP111" s="168" t="str">
        <f t="shared" si="94"/>
        <v>-0.364869325636024+6.49695118810371i</v>
      </c>
      <c r="AQ111" s="98">
        <f t="shared" si="95"/>
        <v>16.267867975561632</v>
      </c>
      <c r="AR111" s="169">
        <f t="shared" si="96"/>
        <v>93.214359323159911</v>
      </c>
      <c r="AS111" s="168" t="str">
        <f t="shared" si="97"/>
        <v>13.1264269883426+114.80936454215i</v>
      </c>
      <c r="AT111" s="190">
        <f t="shared" si="98"/>
        <v>41.255948919418813</v>
      </c>
      <c r="AU111" s="169">
        <f t="shared" si="99"/>
        <v>83.477559432273537</v>
      </c>
      <c r="AV111" s="225"/>
      <c r="AX111">
        <f t="shared" si="100"/>
        <v>0</v>
      </c>
      <c r="AY111">
        <f t="shared" si="101"/>
        <v>0</v>
      </c>
    </row>
    <row r="112" spans="14:51" x14ac:dyDescent="0.25">
      <c r="N112" s="170">
        <v>94</v>
      </c>
      <c r="O112" s="199">
        <f t="shared" si="76"/>
        <v>87.096358995608071</v>
      </c>
      <c r="P112" s="189" t="str">
        <f t="shared" si="67"/>
        <v>18.0065359477124</v>
      </c>
      <c r="Q112" s="160" t="str">
        <f t="shared" si="68"/>
        <v>1+0.171683941380406i</v>
      </c>
      <c r="R112" s="160">
        <f t="shared" si="77"/>
        <v>1.0146306597614281</v>
      </c>
      <c r="S112" s="160">
        <f t="shared" si="78"/>
        <v>0.17002634286700491</v>
      </c>
      <c r="T112" s="160" t="str">
        <f t="shared" si="69"/>
        <v>1+0.000218897025260017i</v>
      </c>
      <c r="U112" s="160">
        <f t="shared" si="79"/>
        <v>1.0000000239579536</v>
      </c>
      <c r="V112" s="160">
        <f t="shared" si="80"/>
        <v>2.1889702176380055E-4</v>
      </c>
      <c r="W112" s="98" t="str">
        <f t="shared" si="70"/>
        <v>1-0.00309245104937974i</v>
      </c>
      <c r="X112" s="160">
        <f t="shared" si="81"/>
        <v>1.0000047816153146</v>
      </c>
      <c r="Y112" s="160">
        <f t="shared" si="82"/>
        <v>-3.0924411914718709E-3</v>
      </c>
      <c r="Z112" s="98" t="str">
        <f t="shared" si="71"/>
        <v>0.999999908225019+0.000924349197903356i</v>
      </c>
      <c r="AA112" s="160">
        <f t="shared" si="83"/>
        <v>1.0000003354356868</v>
      </c>
      <c r="AB112" s="160">
        <f t="shared" si="84"/>
        <v>9.2434901947429889E-4</v>
      </c>
      <c r="AC112" s="171" t="str">
        <f t="shared" si="85"/>
        <v>17.4795299074847-3.06934162952637i</v>
      </c>
      <c r="AD112" s="190">
        <f t="shared" si="86"/>
        <v>24.982482643598324</v>
      </c>
      <c r="AE112" s="169">
        <f t="shared" si="87"/>
        <v>-9.9593951031053187</v>
      </c>
      <c r="AF112" s="98" t="str">
        <f t="shared" si="72"/>
        <v>-0.0000816326530612245</v>
      </c>
      <c r="AG112" s="98" t="str">
        <f t="shared" si="73"/>
        <v>0.000012860200234026i</v>
      </c>
      <c r="AH112" s="98">
        <f t="shared" si="88"/>
        <v>1.2860200234026E-5</v>
      </c>
      <c r="AI112" s="98">
        <f t="shared" si="89"/>
        <v>1.5707963267948966</v>
      </c>
      <c r="AJ112" s="98" t="str">
        <f t="shared" si="74"/>
        <v>1+0.00391918822885753i</v>
      </c>
      <c r="AK112" s="98">
        <f t="shared" si="90"/>
        <v>1.0000076799886954</v>
      </c>
      <c r="AL112" s="98">
        <f t="shared" si="91"/>
        <v>3.9191681627512099E-3</v>
      </c>
      <c r="AM112" s="98" t="str">
        <f t="shared" si="75"/>
        <v>1+0.0614006155854348i</v>
      </c>
      <c r="AN112" s="98">
        <f t="shared" si="92"/>
        <v>1.0018832444922263</v>
      </c>
      <c r="AO112" s="98">
        <f t="shared" si="93"/>
        <v>6.1323628820829715E-2</v>
      </c>
      <c r="AP112" s="168" t="str">
        <f t="shared" si="94"/>
        <v>-0.364869073400073+6.34912688298189i</v>
      </c>
      <c r="AQ112" s="98">
        <f t="shared" si="95"/>
        <v>16.068599176514923</v>
      </c>
      <c r="AR112" s="169">
        <f t="shared" si="96"/>
        <v>93.289033320932674</v>
      </c>
      <c r="AS112" s="168" t="str">
        <f t="shared" si="97"/>
        <v>13.1098995722685+112.099661073811i</v>
      </c>
      <c r="AT112" s="190">
        <f t="shared" si="98"/>
        <v>41.051081820113282</v>
      </c>
      <c r="AU112" s="169">
        <f t="shared" si="99"/>
        <v>83.32963821782738</v>
      </c>
      <c r="AV112" s="225"/>
      <c r="AX112">
        <f t="shared" si="100"/>
        <v>0</v>
      </c>
      <c r="AY112">
        <f t="shared" si="101"/>
        <v>0</v>
      </c>
    </row>
    <row r="113" spans="14:51" x14ac:dyDescent="0.25">
      <c r="N113" s="170">
        <v>95</v>
      </c>
      <c r="O113" s="199">
        <f t="shared" si="76"/>
        <v>89.125093813374562</v>
      </c>
      <c r="P113" s="189" t="str">
        <f t="shared" si="67"/>
        <v>18.0065359477124</v>
      </c>
      <c r="Q113" s="160" t="str">
        <f t="shared" si="68"/>
        <v>1+0.175682974101709i</v>
      </c>
      <c r="R113" s="160">
        <f t="shared" si="77"/>
        <v>1.0153149793976359</v>
      </c>
      <c r="S113" s="160">
        <f t="shared" si="78"/>
        <v>0.17390826905484838</v>
      </c>
      <c r="T113" s="160" t="str">
        <f t="shared" si="69"/>
        <v>1+0.000223995791979679i</v>
      </c>
      <c r="U113" s="160">
        <f t="shared" si="79"/>
        <v>1.0000000250870571</v>
      </c>
      <c r="V113" s="160">
        <f t="shared" si="80"/>
        <v>2.2399578823341558E-4</v>
      </c>
      <c r="W113" s="98" t="str">
        <f t="shared" si="70"/>
        <v>1-0.00316448348780155i</v>
      </c>
      <c r="X113" s="160">
        <f t="shared" si="81"/>
        <v>1.0000050069653375</v>
      </c>
      <c r="Y113" s="160">
        <f t="shared" si="82"/>
        <v>-3.1644729248658156E-3</v>
      </c>
      <c r="Z113" s="98" t="str">
        <f t="shared" si="71"/>
        <v>0.999999903899798+0.00094588005663484i</v>
      </c>
      <c r="AA113" s="160">
        <f t="shared" si="83"/>
        <v>1.0000003512442817</v>
      </c>
      <c r="AB113" s="160">
        <f t="shared" si="84"/>
        <v>9.4587986544466369E-4</v>
      </c>
      <c r="AC113" s="171" t="str">
        <f t="shared" si="85"/>
        <v>17.4554365091992-3.13660297864469i</v>
      </c>
      <c r="AD113" s="190">
        <f t="shared" si="86"/>
        <v>24.9766282328217</v>
      </c>
      <c r="AE113" s="169">
        <f t="shared" si="87"/>
        <v>-10.186881693168555</v>
      </c>
      <c r="AF113" s="98" t="str">
        <f t="shared" si="72"/>
        <v>-0.0000816326530612245</v>
      </c>
      <c r="AG113" s="98" t="str">
        <f t="shared" si="73"/>
        <v>0.0000131597527788061i</v>
      </c>
      <c r="AH113" s="98">
        <f t="shared" si="88"/>
        <v>1.3159752778806099E-5</v>
      </c>
      <c r="AI113" s="98">
        <f t="shared" si="89"/>
        <v>1.5707963267948966</v>
      </c>
      <c r="AJ113" s="98" t="str">
        <f t="shared" si="74"/>
        <v>1+0.00401047785001913i</v>
      </c>
      <c r="AK113" s="98">
        <f t="shared" si="90"/>
        <v>1.0000080419339565</v>
      </c>
      <c r="AL113" s="98">
        <f t="shared" si="91"/>
        <v>4.0104563488081654E-3</v>
      </c>
      <c r="AM113" s="98" t="str">
        <f t="shared" si="75"/>
        <v>1+0.0628308196502999i</v>
      </c>
      <c r="AN113" s="98">
        <f t="shared" si="92"/>
        <v>1.0019719117310268</v>
      </c>
      <c r="AO113" s="98">
        <f t="shared" si="93"/>
        <v>6.2748335611500464E-2</v>
      </c>
      <c r="AP113" s="168" t="str">
        <f t="shared" si="94"/>
        <v>-0.364868809276981+6.20466896888083i</v>
      </c>
      <c r="AQ113" s="98">
        <f t="shared" si="95"/>
        <v>15.86936470489862</v>
      </c>
      <c r="AR113" s="169">
        <f t="shared" si="96"/>
        <v>93.36543257930127</v>
      </c>
      <c r="AS113" s="168" t="str">
        <f t="shared" si="97"/>
        <v>13.0926388347744+109.449653840891i</v>
      </c>
      <c r="AT113" s="190">
        <f t="shared" si="98"/>
        <v>40.845992937720361</v>
      </c>
      <c r="AU113" s="169">
        <f t="shared" si="99"/>
        <v>83.178550886132768</v>
      </c>
      <c r="AV113" s="225"/>
      <c r="AX113">
        <f t="shared" si="100"/>
        <v>0</v>
      </c>
      <c r="AY113">
        <f t="shared" si="101"/>
        <v>0</v>
      </c>
    </row>
    <row r="114" spans="14:51" x14ac:dyDescent="0.25">
      <c r="N114" s="170">
        <v>96</v>
      </c>
      <c r="O114" s="199">
        <f t="shared" si="76"/>
        <v>91.201083935590972</v>
      </c>
      <c r="P114" s="189" t="str">
        <f t="shared" si="67"/>
        <v>18.0065359477124</v>
      </c>
      <c r="Q114" s="160" t="str">
        <f t="shared" si="68"/>
        <v>1+0.17977515626132i</v>
      </c>
      <c r="R114" s="160">
        <f t="shared" si="77"/>
        <v>1.0160310560257408</v>
      </c>
      <c r="S114" s="160">
        <f t="shared" si="78"/>
        <v>0.1778751422705861</v>
      </c>
      <c r="T114" s="160" t="str">
        <f t="shared" si="69"/>
        <v>1+0.000229213324233183i</v>
      </c>
      <c r="U114" s="160">
        <f t="shared" si="79"/>
        <v>1.0000000262693736</v>
      </c>
      <c r="V114" s="160">
        <f t="shared" si="80"/>
        <v>2.2921332021898943E-4</v>
      </c>
      <c r="W114" s="98" t="str">
        <f t="shared" si="70"/>
        <v>1-0.00323819377725548i</v>
      </c>
      <c r="X114" s="160">
        <f t="shared" si="81"/>
        <v>1.0000052429357253</v>
      </c>
      <c r="Y114" s="160">
        <f t="shared" si="82"/>
        <v>-3.2381824588691255E-3</v>
      </c>
      <c r="Z114" s="98" t="str">
        <f t="shared" si="71"/>
        <v>0.999999899370735+0.000967912433492554i</v>
      </c>
      <c r="AA114" s="160">
        <f t="shared" si="83"/>
        <v>1.0000003677979117</v>
      </c>
      <c r="AB114" s="160">
        <f t="shared" si="84"/>
        <v>9.6791222862859319E-4</v>
      </c>
      <c r="AC114" s="171" t="str">
        <f t="shared" si="85"/>
        <v>17.4302771221162-3.20514081283578i</v>
      </c>
      <c r="AD114" s="190">
        <f t="shared" si="86"/>
        <v>24.970506364273799</v>
      </c>
      <c r="AE114" s="169">
        <f t="shared" si="87"/>
        <v>-10.419353450362932</v>
      </c>
      <c r="AF114" s="98" t="str">
        <f t="shared" si="72"/>
        <v>-0.0000816326530612245</v>
      </c>
      <c r="AG114" s="98" t="str">
        <f t="shared" si="73"/>
        <v>0.0000134662827986995i</v>
      </c>
      <c r="AH114" s="98">
        <f t="shared" si="88"/>
        <v>1.34662827986995E-5</v>
      </c>
      <c r="AI114" s="98">
        <f t="shared" si="89"/>
        <v>1.5707963267948966</v>
      </c>
      <c r="AJ114" s="98" t="str">
        <f t="shared" si="74"/>
        <v>1+0.00410389387962176i</v>
      </c>
      <c r="AK114" s="98">
        <f t="shared" si="90"/>
        <v>1.0000084209370315</v>
      </c>
      <c r="AL114" s="98">
        <f t="shared" si="91"/>
        <v>4.1038708406696042E-3</v>
      </c>
      <c r="AM114" s="98" t="str">
        <f t="shared" si="75"/>
        <v>1+0.0642943374474078i</v>
      </c>
      <c r="AN114" s="98">
        <f t="shared" si="92"/>
        <v>1.0020647493190253</v>
      </c>
      <c r="AO114" s="98">
        <f t="shared" si="93"/>
        <v>6.420596404021707E-2</v>
      </c>
      <c r="AP114" s="168" t="str">
        <f t="shared" si="94"/>
        <v>-0.364868532706561+6.06350085229569i</v>
      </c>
      <c r="AQ114" s="98">
        <f t="shared" si="95"/>
        <v>15.670166165733901</v>
      </c>
      <c r="AR114" s="169">
        <f t="shared" si="96"/>
        <v>93.443596280235994</v>
      </c>
      <c r="AS114" s="168" t="str">
        <f t="shared" si="97"/>
        <v>13.0746144121422+106.857955211199i</v>
      </c>
      <c r="AT114" s="190">
        <f t="shared" si="98"/>
        <v>40.640672530007706</v>
      </c>
      <c r="AU114" s="169">
        <f t="shared" si="99"/>
        <v>83.024242829873074</v>
      </c>
      <c r="AV114" s="225"/>
      <c r="AX114">
        <f t="shared" si="100"/>
        <v>0</v>
      </c>
      <c r="AY114">
        <f t="shared" si="101"/>
        <v>0</v>
      </c>
    </row>
    <row r="115" spans="14:51" x14ac:dyDescent="0.25">
      <c r="N115" s="170">
        <v>97</v>
      </c>
      <c r="O115" s="199">
        <f t="shared" si="76"/>
        <v>93.325430079699174</v>
      </c>
      <c r="P115" s="189" t="str">
        <f t="shared" si="67"/>
        <v>18.0065359477124</v>
      </c>
      <c r="Q115" s="160" t="str">
        <f t="shared" si="68"/>
        <v>1+0.183962657588387i</v>
      </c>
      <c r="R115" s="160">
        <f t="shared" si="77"/>
        <v>1.0167803397917281</v>
      </c>
      <c r="S115" s="160">
        <f t="shared" si="78"/>
        <v>0.1819285661709602</v>
      </c>
      <c r="T115" s="160" t="str">
        <f t="shared" si="69"/>
        <v>1+0.000234552388425193i</v>
      </c>
      <c r="U115" s="160">
        <f t="shared" si="79"/>
        <v>1.000000027507411</v>
      </c>
      <c r="V115" s="160">
        <f t="shared" si="80"/>
        <v>2.3455238412390712E-4</v>
      </c>
      <c r="W115" s="98" t="str">
        <f t="shared" si="70"/>
        <v>1-0.00331362099991269i</v>
      </c>
      <c r="X115" s="160">
        <f t="shared" si="81"/>
        <v>1.0000054900269952</v>
      </c>
      <c r="Y115" s="160">
        <f t="shared" si="82"/>
        <v>-3.3136088720468033E-3</v>
      </c>
      <c r="Z115" s="98" t="str">
        <f t="shared" si="71"/>
        <v>0.999999894628223+0.000990458010334344i</v>
      </c>
      <c r="AA115" s="160">
        <f t="shared" si="83"/>
        <v>1.0000003851316897</v>
      </c>
      <c r="AB115" s="160">
        <f t="shared" si="84"/>
        <v>9.9045779081866027E-4</v>
      </c>
      <c r="AC115" s="171" t="str">
        <f t="shared" si="85"/>
        <v>17.4040078909037-3.27496557328181i</v>
      </c>
      <c r="AD115" s="190">
        <f t="shared" si="86"/>
        <v>24.964105222386593</v>
      </c>
      <c r="AE115" s="169">
        <f t="shared" si="87"/>
        <v>-10.656905007302658</v>
      </c>
      <c r="AF115" s="98" t="str">
        <f t="shared" si="72"/>
        <v>-0.0000816326530612245</v>
      </c>
      <c r="AG115" s="98" t="str">
        <f t="shared" si="73"/>
        <v>0.0000137799528199801i</v>
      </c>
      <c r="AH115" s="98">
        <f t="shared" si="88"/>
        <v>1.37799528199801E-5</v>
      </c>
      <c r="AI115" s="98">
        <f t="shared" si="89"/>
        <v>1.5707963267948966</v>
      </c>
      <c r="AJ115" s="98" t="str">
        <f t="shared" si="74"/>
        <v>1+0.00419948584808083i</v>
      </c>
      <c r="AK115" s="98">
        <f t="shared" si="90"/>
        <v>1.0000088178018172</v>
      </c>
      <c r="AL115" s="98">
        <f t="shared" si="91"/>
        <v>4.1994611614105783E-3</v>
      </c>
      <c r="AM115" s="98" t="str">
        <f t="shared" si="75"/>
        <v>1+0.0657919449532666i</v>
      </c>
      <c r="AN115" s="98">
        <f t="shared" si="92"/>
        <v>1.0021619529900012</v>
      </c>
      <c r="AO115" s="98">
        <f t="shared" si="93"/>
        <v>6.5697262170936924E-2</v>
      </c>
      <c r="AP115" s="168" t="str">
        <f t="shared" si="94"/>
        <v>-0.364868243102227+5.92554768401535i</v>
      </c>
      <c r="AQ115" s="98">
        <f t="shared" si="95"/>
        <v>15.471005238458805</v>
      </c>
      <c r="AR115" s="169">
        <f t="shared" si="96"/>
        <v>93.523564447181229</v>
      </c>
      <c r="AS115" s="168" t="str">
        <f t="shared" si="97"/>
        <v>13.0557948858987+104.323209585473i</v>
      </c>
      <c r="AT115" s="190">
        <f t="shared" si="98"/>
        <v>40.435110460845401</v>
      </c>
      <c r="AU115" s="169">
        <f t="shared" si="99"/>
        <v>82.866659439878575</v>
      </c>
      <c r="AV115" s="225"/>
      <c r="AX115">
        <f t="shared" si="100"/>
        <v>0</v>
      </c>
      <c r="AY115">
        <f t="shared" si="101"/>
        <v>0</v>
      </c>
    </row>
    <row r="116" spans="14:51" x14ac:dyDescent="0.25">
      <c r="N116" s="170">
        <v>98</v>
      </c>
      <c r="O116" s="199">
        <f t="shared" si="76"/>
        <v>95.499258602143655</v>
      </c>
      <c r="P116" s="189" t="str">
        <f t="shared" si="67"/>
        <v>18.0065359477124</v>
      </c>
      <c r="Q116" s="160" t="str">
        <f t="shared" si="68"/>
        <v>1+0.18824769835154i</v>
      </c>
      <c r="R116" s="160">
        <f t="shared" si="77"/>
        <v>1.0175643448621088</v>
      </c>
      <c r="S116" s="160">
        <f t="shared" si="78"/>
        <v>0.18607015688269943</v>
      </c>
      <c r="T116" s="160" t="str">
        <f t="shared" si="69"/>
        <v>1+0.000240015815398213i</v>
      </c>
      <c r="U116" s="160">
        <f t="shared" si="79"/>
        <v>1.0000000288037953</v>
      </c>
      <c r="V116" s="160">
        <f t="shared" si="80"/>
        <v>2.4001581078930215E-4</v>
      </c>
      <c r="W116" s="98" t="str">
        <f t="shared" si="70"/>
        <v>1-0.003390805148285i</v>
      </c>
      <c r="X116" s="160">
        <f t="shared" si="81"/>
        <v>1.0000057487632525</v>
      </c>
      <c r="Y116" s="160">
        <f t="shared" si="82"/>
        <v>-3.3907921530466054E-3</v>
      </c>
      <c r="Z116" s="98" t="str">
        <f t="shared" si="71"/>
        <v>0.999999889662205+0.00101352874112347i</v>
      </c>
      <c r="AA116" s="160">
        <f t="shared" si="83"/>
        <v>1.0000004032823842</v>
      </c>
      <c r="AB116" s="160">
        <f t="shared" si="84"/>
        <v>1.0135285059081811E-3</v>
      </c>
      <c r="AC116" s="171" t="str">
        <f t="shared" si="85"/>
        <v>17.3765834636694-3.34608673345923i</v>
      </c>
      <c r="AD116" s="190">
        <f t="shared" si="86"/>
        <v>24.957412507155045</v>
      </c>
      <c r="AE116" s="169">
        <f t="shared" si="87"/>
        <v>-10.899631775121584</v>
      </c>
      <c r="AF116" s="98" t="str">
        <f t="shared" si="72"/>
        <v>-0.0000816326530612245</v>
      </c>
      <c r="AG116" s="98" t="str">
        <f t="shared" si="73"/>
        <v>0.000014100929154645i</v>
      </c>
      <c r="AH116" s="98">
        <f t="shared" si="88"/>
        <v>1.4100929154645001E-5</v>
      </c>
      <c r="AI116" s="98">
        <f t="shared" si="89"/>
        <v>1.5707963267948966</v>
      </c>
      <c r="AJ116" s="98" t="str">
        <f t="shared" si="74"/>
        <v>1+0.00429730443952331i</v>
      </c>
      <c r="AK116" s="98">
        <f t="shared" si="90"/>
        <v>1.0000092333700954</v>
      </c>
      <c r="AL116" s="98">
        <f t="shared" si="91"/>
        <v>4.2972779872927453E-3</v>
      </c>
      <c r="AM116" s="98" t="str">
        <f t="shared" si="75"/>
        <v>1+0.0673244362191988i</v>
      </c>
      <c r="AN116" s="98">
        <f t="shared" si="92"/>
        <v>1.002263727624737</v>
      </c>
      <c r="AO116" s="98">
        <f t="shared" si="93"/>
        <v>6.7222994161900668E-2</v>
      </c>
      <c r="AP116" s="168" t="str">
        <f t="shared" si="94"/>
        <v>-0.364867939849756+5.79073631943634i</v>
      </c>
      <c r="AQ116" s="98">
        <f t="shared" si="95"/>
        <v>15.27188368031833</v>
      </c>
      <c r="AR116" s="169">
        <f t="shared" si="96"/>
        <v>93.605377959643121</v>
      </c>
      <c r="AS116" s="168" t="str">
        <f t="shared" si="97"/>
        <v>13.0361477654101+101.844092743783i</v>
      </c>
      <c r="AT116" s="190">
        <f t="shared" si="98"/>
        <v>40.229296187473366</v>
      </c>
      <c r="AU116" s="169">
        <f t="shared" si="99"/>
        <v>82.70574618452153</v>
      </c>
      <c r="AV116" s="225"/>
      <c r="AX116">
        <f t="shared" si="100"/>
        <v>0</v>
      </c>
      <c r="AY116">
        <f t="shared" si="101"/>
        <v>0</v>
      </c>
    </row>
    <row r="117" spans="14:51" x14ac:dyDescent="0.25">
      <c r="N117" s="170">
        <v>99</v>
      </c>
      <c r="O117" s="199">
        <f t="shared" si="76"/>
        <v>97.723722095581124</v>
      </c>
      <c r="P117" s="189" t="str">
        <f t="shared" si="67"/>
        <v>18.0065359477124</v>
      </c>
      <c r="Q117" s="160" t="str">
        <f t="shared" si="68"/>
        <v>1+0.192632550536112i</v>
      </c>
      <c r="R117" s="160">
        <f t="shared" si="77"/>
        <v>1.0183846520475688</v>
      </c>
      <c r="S117" s="160">
        <f t="shared" si="78"/>
        <v>0.19030154173615965</v>
      </c>
      <c r="T117" s="160" t="str">
        <f t="shared" si="69"/>
        <v>1+0.000245606501933542i</v>
      </c>
      <c r="U117" s="160">
        <f t="shared" si="79"/>
        <v>1.0000000301612764</v>
      </c>
      <c r="V117" s="160">
        <f t="shared" si="80"/>
        <v>2.4560649699500504E-4</v>
      </c>
      <c r="W117" s="98" t="str">
        <f t="shared" si="70"/>
        <v>1-0.00346978714642954i</v>
      </c>
      <c r="X117" s="160">
        <f t="shared" si="81"/>
        <v>1.0000060196933025</v>
      </c>
      <c r="Y117" s="160">
        <f t="shared" si="82"/>
        <v>-3.4697732217852514E-3</v>
      </c>
      <c r="Z117" s="98" t="str">
        <f t="shared" si="71"/>
        <v>0.999999884462145+0.00103713685826678i</v>
      </c>
      <c r="AA117" s="160">
        <f t="shared" si="83"/>
        <v>1.000000422288494</v>
      </c>
      <c r="AB117" s="160">
        <f t="shared" si="84"/>
        <v>1.0371366062290627E-3</v>
      </c>
      <c r="AC117" s="171" t="str">
        <f t="shared" si="85"/>
        <v>17.3479569701106-3.41851270894294i</v>
      </c>
      <c r="AD117" s="190">
        <f t="shared" si="86"/>
        <v>24.950415417763622</v>
      </c>
      <c r="AE117" s="169">
        <f t="shared" si="87"/>
        <v>-11.147629872407084</v>
      </c>
      <c r="AF117" s="98" t="str">
        <f t="shared" si="72"/>
        <v>-0.0000816326530612245</v>
      </c>
      <c r="AG117" s="98" t="str">
        <f t="shared" si="73"/>
        <v>0.0000144293819885956i</v>
      </c>
      <c r="AH117" s="98">
        <f t="shared" si="88"/>
        <v>1.4429381988595599E-5</v>
      </c>
      <c r="AI117" s="98">
        <f t="shared" si="89"/>
        <v>1.5707963267948966</v>
      </c>
      <c r="AJ117" s="98" t="str">
        <f t="shared" si="74"/>
        <v>1+0.00439740151866117i</v>
      </c>
      <c r="AK117" s="98">
        <f t="shared" si="90"/>
        <v>1.000009668523318</v>
      </c>
      <c r="AL117" s="98">
        <f t="shared" si="91"/>
        <v>4.397373174600254E-3</v>
      </c>
      <c r="AM117" s="98" t="str">
        <f t="shared" si="75"/>
        <v>1+0.0688926237923587i</v>
      </c>
      <c r="AN117" s="98">
        <f t="shared" si="92"/>
        <v>1.0023702876746674</v>
      </c>
      <c r="AO117" s="98">
        <f t="shared" si="93"/>
        <v>6.8783940546912226E-2</v>
      </c>
      <c r="AP117" s="168" t="str">
        <f t="shared" si="94"/>
        <v>-0.364867622305976+5.65899527978047i</v>
      </c>
      <c r="AQ117" s="98">
        <f t="shared" si="95"/>
        <v>15.072803329902962</v>
      </c>
      <c r="AR117" s="169">
        <f t="shared" si="96"/>
        <v>93.689078567768206</v>
      </c>
      <c r="AS117" s="168" t="str">
        <f t="shared" si="97"/>
        <v>13.015639472227+99.4193112116254i</v>
      </c>
      <c r="AT117" s="190">
        <f t="shared" si="98"/>
        <v>40.023218747666583</v>
      </c>
      <c r="AU117" s="169">
        <f t="shared" si="99"/>
        <v>82.54144869536114</v>
      </c>
      <c r="AV117" s="225"/>
      <c r="AX117">
        <f t="shared" si="100"/>
        <v>0</v>
      </c>
      <c r="AY117">
        <f t="shared" si="101"/>
        <v>0</v>
      </c>
    </row>
    <row r="118" spans="14:51" x14ac:dyDescent="0.25">
      <c r="N118" s="170">
        <v>100</v>
      </c>
      <c r="O118" s="199">
        <f t="shared" si="76"/>
        <v>100</v>
      </c>
      <c r="P118" s="189" t="str">
        <f t="shared" si="67"/>
        <v>18.0065359477124</v>
      </c>
      <c r="Q118" s="160" t="str">
        <f t="shared" si="68"/>
        <v>1+0.197119539048771i</v>
      </c>
      <c r="R118" s="160">
        <f t="shared" si="77"/>
        <v>1.0192429115156014</v>
      </c>
      <c r="S118" s="160">
        <f t="shared" si="78"/>
        <v>0.194624357883075</v>
      </c>
      <c r="T118" s="160" t="str">
        <f t="shared" si="69"/>
        <v>1+0.000251327412287184i</v>
      </c>
      <c r="U118" s="160">
        <f t="shared" si="79"/>
        <v>1.0000000315827335</v>
      </c>
      <c r="V118" s="160">
        <f t="shared" si="80"/>
        <v>2.5132740699544632E-4</v>
      </c>
      <c r="W118" s="98" t="str">
        <f t="shared" si="70"/>
        <v>1-0.00355060887164718i</v>
      </c>
      <c r="X118" s="160">
        <f t="shared" si="81"/>
        <v>1.0000063033918134</v>
      </c>
      <c r="Y118" s="160">
        <f t="shared" si="82"/>
        <v>-3.5505939511270858E-3</v>
      </c>
      <c r="Z118" s="98" t="str">
        <f t="shared" si="71"/>
        <v>0.999999879017013+0.00106129487910048i</v>
      </c>
      <c r="AA118" s="160">
        <f t="shared" si="83"/>
        <v>1.0000004421903328</v>
      </c>
      <c r="AB118" s="160">
        <f t="shared" si="84"/>
        <v>1.0612946090372073E-3</v>
      </c>
      <c r="AC118" s="171" t="str">
        <f t="shared" si="85"/>
        <v>17.3180800024714-3.49225076231348i</v>
      </c>
      <c r="AD118" s="190">
        <f t="shared" si="86"/>
        <v>24.943100635991136</v>
      </c>
      <c r="AE118" s="169">
        <f t="shared" si="87"/>
        <v>-11.400996047529153</v>
      </c>
      <c r="AF118" s="98" t="str">
        <f t="shared" si="72"/>
        <v>-0.0000816326530612245</v>
      </c>
      <c r="AG118" s="98" t="str">
        <f t="shared" si="73"/>
        <v>0.000014765485471872i</v>
      </c>
      <c r="AH118" s="98">
        <f t="shared" si="88"/>
        <v>1.4765485471872001E-5</v>
      </c>
      <c r="AI118" s="98">
        <f t="shared" si="89"/>
        <v>1.5707963267948966</v>
      </c>
      <c r="AJ118" s="98" t="str">
        <f t="shared" si="74"/>
        <v>1+0.00449983015829073i</v>
      </c>
      <c r="AK118" s="98">
        <f t="shared" si="90"/>
        <v>1.0000101241844772</v>
      </c>
      <c r="AL118" s="98">
        <f t="shared" si="91"/>
        <v>4.4997997870988762E-3</v>
      </c>
      <c r="AM118" s="98" t="str">
        <f t="shared" si="75"/>
        <v>1+0.070497339146555i</v>
      </c>
      <c r="AN118" s="98">
        <f t="shared" si="92"/>
        <v>1.0024818576047869</v>
      </c>
      <c r="AO118" s="98">
        <f t="shared" si="93"/>
        <v>7.038089851666085E-2</v>
      </c>
      <c r="AP118" s="168" t="str">
        <f t="shared" si="94"/>
        <v>-0.364867289797411+5.53025471419595i</v>
      </c>
      <c r="AQ118" s="98">
        <f t="shared" si="95"/>
        <v>14.873766110842173</v>
      </c>
      <c r="AR118" s="169">
        <f t="shared" si="96"/>
        <v>93.774708906888591</v>
      </c>
      <c r="AS118" s="168" t="str">
        <f t="shared" si="97"/>
        <v>12.994235326442+97.0476016454283i</v>
      </c>
      <c r="AT118" s="190">
        <f t="shared" si="98"/>
        <v>39.816866746833306</v>
      </c>
      <c r="AU118" s="169">
        <f t="shared" si="99"/>
        <v>82.373712859359458</v>
      </c>
      <c r="AV118" s="225"/>
      <c r="AX118">
        <f t="shared" si="100"/>
        <v>0</v>
      </c>
      <c r="AY118">
        <f t="shared" si="101"/>
        <v>0</v>
      </c>
    </row>
    <row r="119" spans="14:51" x14ac:dyDescent="0.25">
      <c r="N119" s="170">
        <v>1</v>
      </c>
      <c r="O119" s="199">
        <f>10^(2+(N119/100))</f>
        <v>102.32929922807544</v>
      </c>
      <c r="P119" s="189" t="str">
        <f t="shared" si="67"/>
        <v>18.0065359477124</v>
      </c>
      <c r="Q119" s="160" t="str">
        <f t="shared" si="68"/>
        <v>1+0.20171104295022i</v>
      </c>
      <c r="R119" s="160">
        <f t="shared" si="77"/>
        <v>1.0201408455934238</v>
      </c>
      <c r="S119" s="160">
        <f t="shared" si="78"/>
        <v>0.19904025079224244</v>
      </c>
      <c r="T119" s="160" t="str">
        <f t="shared" si="69"/>
        <v>1+0.000257181579761531i</v>
      </c>
      <c r="U119" s="160">
        <f t="shared" si="79"/>
        <v>1.000000033071182</v>
      </c>
      <c r="V119" s="160">
        <f t="shared" si="80"/>
        <v>2.5718157409133192E-4</v>
      </c>
      <c r="W119" s="98" t="str">
        <f t="shared" si="70"/>
        <v>1-0.00363331317668644i</v>
      </c>
      <c r="X119" s="160">
        <f t="shared" si="81"/>
        <v>1.0000066004605368</v>
      </c>
      <c r="Y119" s="160">
        <f t="shared" si="82"/>
        <v>-3.633297189066814E-3</v>
      </c>
      <c r="Z119" s="98" t="str">
        <f t="shared" si="71"/>
        <v>0.999999873315261+0.00108601561252697i</v>
      </c>
      <c r="AA119" s="160">
        <f t="shared" si="83"/>
        <v>1.0000004630301171</v>
      </c>
      <c r="AB119" s="160">
        <f t="shared" si="84"/>
        <v>1.0860153231489662E-3</v>
      </c>
      <c r="AC119" s="171" t="str">
        <f t="shared" si="85"/>
        <v>17.2869025996956-3.56730690305905i</v>
      </c>
      <c r="AD119" s="190">
        <f t="shared" si="86"/>
        <v>24.935454309425889</v>
      </c>
      <c r="AE119" s="169">
        <f t="shared" si="87"/>
        <v>-11.659827594010174</v>
      </c>
      <c r="AF119" s="98" t="str">
        <f t="shared" si="72"/>
        <v>-0.0000816326530612245</v>
      </c>
      <c r="AG119" s="98" t="str">
        <f t="shared" si="73"/>
        <v>0.0000151094178109899i</v>
      </c>
      <c r="AH119" s="98">
        <f t="shared" si="88"/>
        <v>1.5109417810989899E-5</v>
      </c>
      <c r="AI119" s="98">
        <f t="shared" si="89"/>
        <v>1.5707963267948966</v>
      </c>
      <c r="AJ119" s="98" t="str">
        <f t="shared" si="74"/>
        <v>1+0.0046046446674325i</v>
      </c>
      <c r="AK119" s="98">
        <f t="shared" si="90"/>
        <v>1.0000106013200627</v>
      </c>
      <c r="AL119" s="98">
        <f t="shared" si="91"/>
        <v>4.6046121241327381E-3</v>
      </c>
      <c r="AM119" s="98" t="str">
        <f t="shared" si="75"/>
        <v>1+0.0721394331231094i</v>
      </c>
      <c r="AN119" s="98">
        <f t="shared" si="92"/>
        <v>1.0025986723566531</v>
      </c>
      <c r="AO119" s="98">
        <f t="shared" si="93"/>
        <v>7.2014682199645241E-2</v>
      </c>
      <c r="AP119" s="168" t="str">
        <f t="shared" si="94"/>
        <v>-0.364866941618849+5.40444636272141i</v>
      </c>
      <c r="AQ119" s="98">
        <f t="shared" si="95"/>
        <v>14.674774035658304</v>
      </c>
      <c r="AR119" s="169">
        <f t="shared" si="96"/>
        <v>93.862312512007989</v>
      </c>
      <c r="AS119" s="168" t="str">
        <f t="shared" si="97"/>
        <v>12.9718995353346+94.7277302371791i</v>
      </c>
      <c r="AT119" s="190">
        <f t="shared" si="98"/>
        <v>39.610228345084188</v>
      </c>
      <c r="AU119" s="169">
        <f t="shared" si="99"/>
        <v>82.202484917997808</v>
      </c>
      <c r="AV119" s="225"/>
      <c r="AX119">
        <f t="shared" si="100"/>
        <v>0</v>
      </c>
      <c r="AY119">
        <f t="shared" si="101"/>
        <v>0</v>
      </c>
    </row>
    <row r="120" spans="14:51" x14ac:dyDescent="0.25">
      <c r="N120" s="170">
        <v>2</v>
      </c>
      <c r="O120" s="199">
        <f t="shared" ref="O120:O183" si="102">10^(2+(N120/100))</f>
        <v>104.71285480508998</v>
      </c>
      <c r="P120" s="189" t="str">
        <f t="shared" si="67"/>
        <v>18.0065359477124</v>
      </c>
      <c r="Q120" s="160" t="str">
        <f t="shared" si="68"/>
        <v>1+0.206409496716603i</v>
      </c>
      <c r="R120" s="160">
        <f t="shared" si="77"/>
        <v>1.0210802516623272</v>
      </c>
      <c r="S120" s="160">
        <f t="shared" si="78"/>
        <v>0.20355087261680446</v>
      </c>
      <c r="T120" s="160" t="str">
        <f t="shared" si="69"/>
        <v>1+0.000263172108313668i</v>
      </c>
      <c r="U120" s="160">
        <f t="shared" si="79"/>
        <v>1.0000000346297786</v>
      </c>
      <c r="V120" s="160">
        <f t="shared" si="80"/>
        <v>2.6317210223794022E-4</v>
      </c>
      <c r="W120" s="98" t="str">
        <f t="shared" si="70"/>
        <v>1-0.00371794391246456i</v>
      </c>
      <c r="X120" s="160">
        <f t="shared" si="81"/>
        <v>1.0000069115295835</v>
      </c>
      <c r="Y120" s="160">
        <f t="shared" si="82"/>
        <v>-3.7179267814278806E-3</v>
      </c>
      <c r="Z120" s="98" t="str">
        <f t="shared" si="71"/>
        <v>0.999999867344793+0.00111131216580634i</v>
      </c>
      <c r="AA120" s="160">
        <f t="shared" si="83"/>
        <v>1.0000004848520492</v>
      </c>
      <c r="AB120" s="160">
        <f t="shared" si="84"/>
        <v>1.1113118557322305E-3</v>
      </c>
      <c r="AC120" s="171" t="str">
        <f t="shared" si="85"/>
        <v>17.2543732351949-3.64368578238146i</v>
      </c>
      <c r="AD120" s="190">
        <f t="shared" si="86"/>
        <v>24.927462034528503</v>
      </c>
      <c r="AE120" s="169">
        <f t="shared" si="87"/>
        <v>-11.924222258574879</v>
      </c>
      <c r="AF120" s="98" t="str">
        <f t="shared" si="72"/>
        <v>-0.0000816326530612245</v>
      </c>
      <c r="AG120" s="98" t="str">
        <f t="shared" si="73"/>
        <v>0.000015461361363428i</v>
      </c>
      <c r="AH120" s="98">
        <f t="shared" si="88"/>
        <v>1.5461361363428001E-5</v>
      </c>
      <c r="AI120" s="98">
        <f t="shared" si="89"/>
        <v>1.5707963267948966</v>
      </c>
      <c r="AJ120" s="98" t="str">
        <f t="shared" si="74"/>
        <v>1+0.00471190062012662i</v>
      </c>
      <c r="AK120" s="98">
        <f t="shared" si="90"/>
        <v>1.0000111009421115</v>
      </c>
      <c r="AL120" s="98">
        <f t="shared" si="91"/>
        <v>4.7118657493735762E-3</v>
      </c>
      <c r="AM120" s="98" t="str">
        <f t="shared" si="75"/>
        <v>1+0.073819776381984i</v>
      </c>
      <c r="AN120" s="98">
        <f t="shared" si="92"/>
        <v>1.0027209778323609</v>
      </c>
      <c r="AO120" s="98">
        <f t="shared" si="93"/>
        <v>7.3686122942217464E-2</v>
      </c>
      <c r="AP120" s="168" t="str">
        <f t="shared" si="94"/>
        <v>-0.364866577031849+5.28150352009352i</v>
      </c>
      <c r="AQ120" s="98">
        <f t="shared" si="95"/>
        <v>14.475829209787602</v>
      </c>
      <c r="AR120" s="169">
        <f t="shared" si="96"/>
        <v>93.951933832199813</v>
      </c>
      <c r="AS120" s="168" t="str">
        <f t="shared" si="97"/>
        <v>12.9485951846069+92.4584921378864i</v>
      </c>
      <c r="AT120" s="190">
        <f t="shared" si="98"/>
        <v>39.403291244316101</v>
      </c>
      <c r="AU120" s="169">
        <f t="shared" si="99"/>
        <v>82.027711573624927</v>
      </c>
      <c r="AV120" s="225"/>
      <c r="AX120">
        <f t="shared" si="100"/>
        <v>0</v>
      </c>
      <c r="AY120">
        <f t="shared" si="101"/>
        <v>0</v>
      </c>
    </row>
    <row r="121" spans="14:51" x14ac:dyDescent="0.25">
      <c r="N121" s="170">
        <v>3</v>
      </c>
      <c r="O121" s="199">
        <f t="shared" si="102"/>
        <v>107.15193052376065</v>
      </c>
      <c r="P121" s="189" t="str">
        <f t="shared" si="67"/>
        <v>18.0065359477124</v>
      </c>
      <c r="Q121" s="160" t="str">
        <f t="shared" si="68"/>
        <v>1+0.211217391530297i</v>
      </c>
      <c r="R121" s="160">
        <f t="shared" si="77"/>
        <v>1.0220630051444299</v>
      </c>
      <c r="S121" s="160">
        <f t="shared" si="78"/>
        <v>0.20815788042671851</v>
      </c>
      <c r="T121" s="160" t="str">
        <f t="shared" si="69"/>
        <v>1+0.000269302174201128i</v>
      </c>
      <c r="U121" s="160">
        <f t="shared" si="79"/>
        <v>1.00000003626183</v>
      </c>
      <c r="V121" s="160">
        <f t="shared" si="80"/>
        <v>2.6930216769086842E-4</v>
      </c>
      <c r="W121" s="98" t="str">
        <f t="shared" si="70"/>
        <v>1-0.00380454595131787i</v>
      </c>
      <c r="X121" s="160">
        <f t="shared" si="81"/>
        <v>1.000007237258759</v>
      </c>
      <c r="Y121" s="160">
        <f t="shared" si="82"/>
        <v>-3.8045275950885243E-3</v>
      </c>
      <c r="Z121" s="98" t="str">
        <f t="shared" si="71"/>
        <v>0.999999861092946+0.00113719795150597i</v>
      </c>
      <c r="AA121" s="160">
        <f t="shared" si="83"/>
        <v>1.0000005077024172</v>
      </c>
      <c r="AB121" s="160">
        <f t="shared" si="84"/>
        <v>1.1371976192555843E-3</v>
      </c>
      <c r="AC121" s="171" t="str">
        <f t="shared" si="85"/>
        <v>17.2204388086805-3.72139058283381i</v>
      </c>
      <c r="AD121" s="190">
        <f t="shared" si="86"/>
        <v>24.919108839583739</v>
      </c>
      <c r="AE121" s="169">
        <f t="shared" si="87"/>
        <v>-12.194278141512729</v>
      </c>
      <c r="AF121" s="98" t="str">
        <f t="shared" si="72"/>
        <v>-0.0000816326530612245</v>
      </c>
      <c r="AG121" s="98" t="str">
        <f t="shared" si="73"/>
        <v>0.0000158215027343163i</v>
      </c>
      <c r="AH121" s="98">
        <f t="shared" si="88"/>
        <v>1.5821502734316301E-5</v>
      </c>
      <c r="AI121" s="98">
        <f t="shared" si="89"/>
        <v>1.5707963267948966</v>
      </c>
      <c r="AJ121" s="98" t="str">
        <f t="shared" si="74"/>
        <v>1+0.00482165488489891i</v>
      </c>
      <c r="AK121" s="98">
        <f t="shared" si="90"/>
        <v>1.0000116241103545</v>
      </c>
      <c r="AL121" s="98">
        <f t="shared" si="91"/>
        <v>4.8216175202372927E-3</v>
      </c>
      <c r="AM121" s="98" t="str">
        <f t="shared" si="75"/>
        <v>1+0.0755392598634165i</v>
      </c>
      <c r="AN121" s="98">
        <f t="shared" si="92"/>
        <v>1.0028490314003962</v>
      </c>
      <c r="AO121" s="98">
        <f t="shared" si="93"/>
        <v>7.5396069587222947E-2</v>
      </c>
      <c r="AP121" s="168" t="str">
        <f t="shared" si="94"/>
        <v>-0.364866195263174+5.16136100037899i</v>
      </c>
      <c r="AQ121" s="98">
        <f t="shared" si="95"/>
        <v>14.276933835774933</v>
      </c>
      <c r="AR121" s="169">
        <f t="shared" si="96"/>
        <v>94.043618244886602</v>
      </c>
      <c r="AS121" s="168" t="str">
        <f t="shared" si="97"/>
        <v>12.9242842325305+90.2387108995831i</v>
      </c>
      <c r="AT121" s="190">
        <f t="shared" si="98"/>
        <v>39.196042675358669</v>
      </c>
      <c r="AU121" s="169">
        <f t="shared" si="99"/>
        <v>81.849340103373891</v>
      </c>
      <c r="AV121" s="225"/>
      <c r="AX121">
        <f t="shared" si="100"/>
        <v>0</v>
      </c>
      <c r="AY121">
        <f t="shared" si="101"/>
        <v>0</v>
      </c>
    </row>
    <row r="122" spans="14:51" x14ac:dyDescent="0.25">
      <c r="N122" s="170">
        <v>4</v>
      </c>
      <c r="O122" s="199">
        <f t="shared" si="102"/>
        <v>109.64781961431861</v>
      </c>
      <c r="P122" s="189" t="str">
        <f t="shared" si="67"/>
        <v>18.0065359477124</v>
      </c>
      <c r="Q122" s="160" t="str">
        <f t="shared" si="68"/>
        <v>1+0.216137276600773i</v>
      </c>
      <c r="R122" s="160">
        <f t="shared" si="77"/>
        <v>1.0230910625826026</v>
      </c>
      <c r="S122" s="160">
        <f t="shared" si="78"/>
        <v>0.21286293429991368</v>
      </c>
      <c r="T122" s="160" t="str">
        <f t="shared" si="69"/>
        <v>1+0.000275575027665986i</v>
      </c>
      <c r="U122" s="160">
        <f t="shared" si="79"/>
        <v>1.0000000379707972</v>
      </c>
      <c r="V122" s="160">
        <f t="shared" si="80"/>
        <v>2.7557502069011717E-4</v>
      </c>
      <c r="W122" s="98" t="str">
        <f t="shared" si="70"/>
        <v>1-0.00389316521079369i</v>
      </c>
      <c r="X122" s="160">
        <f t="shared" si="81"/>
        <v>1.0000075783389637</v>
      </c>
      <c r="Y122" s="160">
        <f t="shared" si="82"/>
        <v>-3.8931455417476248E-3</v>
      </c>
      <c r="Z122" s="98" t="str">
        <f t="shared" si="71"/>
        <v>0.999999854546458+0.00116368669461209i</v>
      </c>
      <c r="AA122" s="160">
        <f t="shared" si="83"/>
        <v>1.0000005316296889</v>
      </c>
      <c r="AB122" s="160">
        <f t="shared" si="84"/>
        <v>1.1636863385993976E-3</v>
      </c>
      <c r="AC122" s="171" t="str">
        <f t="shared" si="85"/>
        <v>17.1850446425387-3.80042290274133i</v>
      </c>
      <c r="AD122" s="190">
        <f t="shared" si="86"/>
        <v>24.910379167588591</v>
      </c>
      <c r="AE122" s="169">
        <f t="shared" si="87"/>
        <v>-12.47009358898188</v>
      </c>
      <c r="AF122" s="98" t="str">
        <f t="shared" si="72"/>
        <v>-0.0000816326530612245</v>
      </c>
      <c r="AG122" s="98" t="str">
        <f t="shared" si="73"/>
        <v>0.0000161900328753767i</v>
      </c>
      <c r="AH122" s="98">
        <f t="shared" si="88"/>
        <v>1.6190032875376699E-5</v>
      </c>
      <c r="AI122" s="98">
        <f t="shared" si="89"/>
        <v>1.5707963267948966</v>
      </c>
      <c r="AJ122" s="98" t="str">
        <f t="shared" si="74"/>
        <v>1+0.00493396565491332i</v>
      </c>
      <c r="AK122" s="98">
        <f t="shared" si="90"/>
        <v>1.0000121719344639</v>
      </c>
      <c r="AL122" s="98">
        <f t="shared" si="91"/>
        <v>4.9339256179833828E-3</v>
      </c>
      <c r="AM122" s="98" t="str">
        <f t="shared" si="75"/>
        <v>1+0.077298795260309i</v>
      </c>
      <c r="AN122" s="98">
        <f t="shared" si="92"/>
        <v>1.0029831024243108</v>
      </c>
      <c r="AO122" s="98">
        <f t="shared" si="93"/>
        <v>7.7145388750669494E-2</v>
      </c>
      <c r="AP122" s="168" t="str">
        <f t="shared" si="94"/>
        <v>-0.364865795503152+5.04395510241199i</v>
      </c>
      <c r="AQ122" s="98">
        <f t="shared" si="95"/>
        <v>14.078090217648487</v>
      </c>
      <c r="AR122" s="169">
        <f t="shared" si="96"/>
        <v>94.137412069967468</v>
      </c>
      <c r="AS122" s="168" t="str">
        <f t="shared" si="97"/>
        <v>12.8989275073485+88.067237935568i</v>
      </c>
      <c r="AT122" s="190">
        <f t="shared" si="98"/>
        <v>38.988469385237075</v>
      </c>
      <c r="AU122" s="169">
        <f t="shared" si="99"/>
        <v>81.667318480985557</v>
      </c>
      <c r="AV122" s="225"/>
      <c r="AX122">
        <f t="shared" si="100"/>
        <v>0</v>
      </c>
      <c r="AY122">
        <f t="shared" si="101"/>
        <v>0</v>
      </c>
    </row>
    <row r="123" spans="14:51" x14ac:dyDescent="0.25">
      <c r="N123" s="170">
        <v>5</v>
      </c>
      <c r="O123" s="199">
        <f t="shared" si="102"/>
        <v>112.20184543019634</v>
      </c>
      <c r="P123" s="189" t="str">
        <f t="shared" si="67"/>
        <v>18.0065359477124</v>
      </c>
      <c r="Q123" s="160" t="str">
        <f t="shared" si="68"/>
        <v>1+0.221171760516218i</v>
      </c>
      <c r="R123" s="160">
        <f t="shared" si="77"/>
        <v>1.0241664648141158</v>
      </c>
      <c r="S123" s="160">
        <f t="shared" si="78"/>
        <v>0.21766769526558327</v>
      </c>
      <c r="T123" s="160" t="str">
        <f t="shared" si="69"/>
        <v>1+0.000281993994658178i</v>
      </c>
      <c r="U123" s="160">
        <f t="shared" si="79"/>
        <v>1.0000000397603057</v>
      </c>
      <c r="V123" s="160">
        <f t="shared" si="80"/>
        <v>2.8199398718339993E-4</v>
      </c>
      <c r="W123" s="98" t="str">
        <f t="shared" si="70"/>
        <v>1-0.00398384867799641i</v>
      </c>
      <c r="X123" s="160">
        <f t="shared" si="81"/>
        <v>1.0000079354936586</v>
      </c>
      <c r="Y123" s="160">
        <f t="shared" si="82"/>
        <v>-3.9838276022428681E-3</v>
      </c>
      <c r="Z123" s="98" t="str">
        <f t="shared" si="71"/>
        <v>0.999999847691444+0.00119079243980691i</v>
      </c>
      <c r="AA123" s="160">
        <f t="shared" si="83"/>
        <v>1.0000005566846182</v>
      </c>
      <c r="AB123" s="160">
        <f t="shared" si="84"/>
        <v>1.1907920583324482E-3</v>
      </c>
      <c r="AC123" s="171" t="str">
        <f t="shared" si="85"/>
        <v>17.1481344832602-3.8807826353825i</v>
      </c>
      <c r="AD123" s="190">
        <f t="shared" si="86"/>
        <v>24.901256859128242</v>
      </c>
      <c r="AE123" s="169">
        <f t="shared" si="87"/>
        <v>-12.751767076880371</v>
      </c>
      <c r="AF123" s="98" t="str">
        <f t="shared" si="72"/>
        <v>-0.0000816326530612245</v>
      </c>
      <c r="AG123" s="98" t="str">
        <f t="shared" si="73"/>
        <v>0.0000165671471861679i</v>
      </c>
      <c r="AH123" s="98">
        <f t="shared" si="88"/>
        <v>1.6567147186167899E-5</v>
      </c>
      <c r="AI123" s="98">
        <f t="shared" si="89"/>
        <v>1.5707963267948966</v>
      </c>
      <c r="AJ123" s="98" t="str">
        <f t="shared" si="74"/>
        <v>1+0.00504889247882672i</v>
      </c>
      <c r="AK123" s="98">
        <f t="shared" si="90"/>
        <v>1.0000127455764065</v>
      </c>
      <c r="AL123" s="98">
        <f t="shared" si="91"/>
        <v>5.048849578512901E-3</v>
      </c>
      <c r="AM123" s="98" t="str">
        <f t="shared" si="75"/>
        <v>1+0.0790993155016189i</v>
      </c>
      <c r="AN123" s="98">
        <f t="shared" si="92"/>
        <v>1.0031234728151985</v>
      </c>
      <c r="AO123" s="98">
        <f t="shared" si="93"/>
        <v>7.8934965095807136E-2</v>
      </c>
      <c r="AP123" s="168" t="str">
        <f t="shared" si="94"/>
        <v>-0.364865376903962+4.92922357601903i</v>
      </c>
      <c r="AQ123" s="98">
        <f t="shared" si="95"/>
        <v>13.879300765481922</v>
      </c>
      <c r="AR123" s="169">
        <f t="shared" si="96"/>
        <v>94.233362583757014</v>
      </c>
      <c r="AS123" s="168" t="str">
        <f t="shared" si="97"/>
        <v>12.8724847082981+85.9429519985723i</v>
      </c>
      <c r="AT123" s="190">
        <f t="shared" si="98"/>
        <v>38.780557624610168</v>
      </c>
      <c r="AU123" s="169">
        <f t="shared" si="99"/>
        <v>81.481595506876673</v>
      </c>
      <c r="AV123" s="225"/>
      <c r="AX123">
        <f t="shared" si="100"/>
        <v>0</v>
      </c>
      <c r="AY123">
        <f t="shared" si="101"/>
        <v>0</v>
      </c>
    </row>
    <row r="124" spans="14:51" x14ac:dyDescent="0.25">
      <c r="N124" s="170">
        <v>6</v>
      </c>
      <c r="O124" s="199">
        <f t="shared" si="102"/>
        <v>114.81536214968835</v>
      </c>
      <c r="P124" s="189" t="str">
        <f t="shared" si="67"/>
        <v>18.0065359477124</v>
      </c>
      <c r="Q124" s="160" t="str">
        <f t="shared" si="68"/>
        <v>1+0.226323512626643i</v>
      </c>
      <c r="R124" s="160">
        <f t="shared" si="77"/>
        <v>1.0252913402383061</v>
      </c>
      <c r="S124" s="160">
        <f t="shared" si="78"/>
        <v>0.22257382309306839</v>
      </c>
      <c r="T124" s="160" t="str">
        <f t="shared" si="69"/>
        <v>1+0.00028856247859897i</v>
      </c>
      <c r="U124" s="160">
        <f t="shared" si="79"/>
        <v>1.0000000416341512</v>
      </c>
      <c r="V124" s="160">
        <f t="shared" si="80"/>
        <v>2.88562470589601E-4</v>
      </c>
      <c r="W124" s="98" t="str">
        <f t="shared" si="70"/>
        <v>1-0.00407664443450067i</v>
      </c>
      <c r="X124" s="160">
        <f t="shared" si="81"/>
        <v>1.0000083094803989</v>
      </c>
      <c r="Y124" s="160">
        <f t="shared" si="82"/>
        <v>-4.0766218514340126E-3</v>
      </c>
      <c r="Z124" s="98" t="str">
        <f t="shared" si="71"/>
        <v>0.999999840513362+0.00121852955891531i</v>
      </c>
      <c r="AA124" s="160">
        <f t="shared" si="83"/>
        <v>1.0000005829203478</v>
      </c>
      <c r="AB124" s="160">
        <f t="shared" si="84"/>
        <v>1.2185291501580734E-3</v>
      </c>
      <c r="AC124" s="171" t="str">
        <f t="shared" si="85"/>
        <v>17.1096505084664-3.96246784293827i</v>
      </c>
      <c r="AD124" s="190">
        <f t="shared" si="86"/>
        <v>24.891725135298351</v>
      </c>
      <c r="AE124" s="169">
        <f t="shared" si="87"/>
        <v>-13.039397085909282</v>
      </c>
      <c r="AF124" s="98" t="str">
        <f t="shared" si="72"/>
        <v>-0.0000816326530612245</v>
      </c>
      <c r="AG124" s="98" t="str">
        <f t="shared" si="73"/>
        <v>0.0000169530456176895i</v>
      </c>
      <c r="AH124" s="98">
        <f t="shared" si="88"/>
        <v>1.6953045617689502E-5</v>
      </c>
      <c r="AI124" s="98">
        <f t="shared" si="89"/>
        <v>1.5707963267948966</v>
      </c>
      <c r="AJ124" s="98" t="str">
        <f t="shared" si="74"/>
        <v>1+0.00516649629236239i</v>
      </c>
      <c r="AK124" s="98">
        <f t="shared" si="90"/>
        <v>1.0000133462529082</v>
      </c>
      <c r="AL124" s="98">
        <f t="shared" si="91"/>
        <v>5.1664503238810664E-3</v>
      </c>
      <c r="AM124" s="98" t="str">
        <f t="shared" si="75"/>
        <v>1+0.0809417752470111i</v>
      </c>
      <c r="AN124" s="98">
        <f t="shared" si="92"/>
        <v>1.0032704376089916</v>
      </c>
      <c r="AO124" s="98">
        <f t="shared" si="93"/>
        <v>8.0765701603954632E-2</v>
      </c>
      <c r="AP124" s="168" t="str">
        <f t="shared" si="94"/>
        <v>-0.364864938577825+4.81710558901274i</v>
      </c>
      <c r="AQ124" s="98">
        <f t="shared" si="95"/>
        <v>13.680568000149904</v>
      </c>
      <c r="AR124" s="169">
        <f t="shared" si="96"/>
        <v>94.33151803269719</v>
      </c>
      <c r="AS124" s="168" t="str">
        <f t="shared" si="97"/>
        <v>12.8449144106416+83.8647586765184i</v>
      </c>
      <c r="AT124" s="190">
        <f t="shared" si="98"/>
        <v>38.572293135448248</v>
      </c>
      <c r="AU124" s="169">
        <f t="shared" si="99"/>
        <v>81.292120946787875</v>
      </c>
      <c r="AV124" s="225"/>
      <c r="AX124">
        <f t="shared" si="100"/>
        <v>0</v>
      </c>
      <c r="AY124">
        <f t="shared" si="101"/>
        <v>0</v>
      </c>
    </row>
    <row r="125" spans="14:51" x14ac:dyDescent="0.25">
      <c r="N125" s="170">
        <v>7</v>
      </c>
      <c r="O125" s="199">
        <f t="shared" si="102"/>
        <v>117.48975549395293</v>
      </c>
      <c r="P125" s="189" t="str">
        <f t="shared" si="67"/>
        <v>18.0065359477124</v>
      </c>
      <c r="Q125" s="160" t="str">
        <f t="shared" si="68"/>
        <v>1+0.231595264459208i</v>
      </c>
      <c r="R125" s="160">
        <f t="shared" si="77"/>
        <v>1.0264679081782979</v>
      </c>
      <c r="S125" s="160">
        <f t="shared" si="78"/>
        <v>0.22758297391980792</v>
      </c>
      <c r="T125" s="160" t="str">
        <f t="shared" si="69"/>
        <v>1+0.000295283962185491i</v>
      </c>
      <c r="U125" s="160">
        <f t="shared" si="79"/>
        <v>1.0000000435963081</v>
      </c>
      <c r="V125" s="160">
        <f t="shared" si="80"/>
        <v>2.9528395360329748E-4</v>
      </c>
      <c r="W125" s="98" t="str">
        <f t="shared" si="70"/>
        <v>1-0.00417160168184487i</v>
      </c>
      <c r="X125" s="160">
        <f t="shared" si="81"/>
        <v>1.0000087010924414</v>
      </c>
      <c r="Y125" s="160">
        <f t="shared" si="82"/>
        <v>-4.1715774836643474E-3</v>
      </c>
      <c r="Z125" s="98" t="str">
        <f t="shared" si="71"/>
        <v>0.999999832996989+0.00124691275852499i</v>
      </c>
      <c r="AA125" s="160">
        <f t="shared" si="83"/>
        <v>1.0000006103925303</v>
      </c>
      <c r="AB125" s="160">
        <f t="shared" si="84"/>
        <v>1.246912320533733E-3</v>
      </c>
      <c r="AC125" s="171" t="str">
        <f t="shared" si="85"/>
        <v>17.0695333401045-4.04547462525187i</v>
      </c>
      <c r="AD125" s="190">
        <f t="shared" si="86"/>
        <v>24.881766580736738</v>
      </c>
      <c r="AE125" s="169">
        <f t="shared" si="87"/>
        <v>-13.333081967456684</v>
      </c>
      <c r="AF125" s="98" t="str">
        <f t="shared" si="72"/>
        <v>-0.0000816326530612245</v>
      </c>
      <c r="AG125" s="98" t="str">
        <f t="shared" si="73"/>
        <v>0.0000173479327783976i</v>
      </c>
      <c r="AH125" s="98">
        <f t="shared" si="88"/>
        <v>1.7347932778397601E-5</v>
      </c>
      <c r="AI125" s="98">
        <f t="shared" si="89"/>
        <v>1.5707963267948966</v>
      </c>
      <c r="AJ125" s="98" t="str">
        <f t="shared" si="74"/>
        <v>1+0.00528683945061893i</v>
      </c>
      <c r="AK125" s="98">
        <f t="shared" si="90"/>
        <v>1.0000139752380348</v>
      </c>
      <c r="AL125" s="98">
        <f t="shared" si="91"/>
        <v>5.2867901945409367E-3</v>
      </c>
      <c r="AM125" s="98" t="str">
        <f t="shared" si="75"/>
        <v>1+0.0828271513930302i</v>
      </c>
      <c r="AN125" s="98">
        <f t="shared" si="92"/>
        <v>1.0034243055696248</v>
      </c>
      <c r="AO125" s="98">
        <f t="shared" si="93"/>
        <v>8.2638519841348068E-2</v>
      </c>
      <c r="AP125" s="168" t="str">
        <f t="shared" si="94"/>
        <v>-0.364864479595145+4.7075416949382i</v>
      </c>
      <c r="AQ125" s="98">
        <f t="shared" si="95"/>
        <v>13.481894558286223</v>
      </c>
      <c r="AR125" s="169">
        <f t="shared" si="96"/>
        <v>94.431927646798997</v>
      </c>
      <c r="AS125" s="168" t="str">
        <f t="shared" si="97"/>
        <v>12.8161740751185+81.8315899055375i</v>
      </c>
      <c r="AT125" s="190">
        <f t="shared" si="98"/>
        <v>38.363661139022959</v>
      </c>
      <c r="AU125" s="169">
        <f t="shared" si="99"/>
        <v>81.098845679342304</v>
      </c>
      <c r="AV125" s="225"/>
      <c r="AX125">
        <f t="shared" si="100"/>
        <v>0</v>
      </c>
      <c r="AY125">
        <f t="shared" si="101"/>
        <v>0</v>
      </c>
    </row>
    <row r="126" spans="14:51" x14ac:dyDescent="0.25">
      <c r="N126" s="170">
        <v>8</v>
      </c>
      <c r="O126" s="199">
        <f t="shared" si="102"/>
        <v>120.22644346174135</v>
      </c>
      <c r="P126" s="189" t="str">
        <f t="shared" si="67"/>
        <v>18.0065359477124</v>
      </c>
      <c r="Q126" s="160" t="str">
        <f t="shared" si="68"/>
        <v>1+0.236989811166516i</v>
      </c>
      <c r="R126" s="160">
        <f t="shared" si="77"/>
        <v>1.0276984823364979</v>
      </c>
      <c r="S126" s="160">
        <f t="shared" si="78"/>
        <v>0.23269679771191148</v>
      </c>
      <c r="T126" s="160" t="str">
        <f t="shared" si="69"/>
        <v>1+0.000302162009237308i</v>
      </c>
      <c r="U126" s="160">
        <f t="shared" si="79"/>
        <v>1.0000000456509388</v>
      </c>
      <c r="V126" s="160">
        <f t="shared" si="80"/>
        <v>3.0216200004132201E-4</v>
      </c>
      <c r="W126" s="98" t="str">
        <f t="shared" si="70"/>
        <v>1-0.00426877076761847i</v>
      </c>
      <c r="X126" s="160">
        <f t="shared" si="81"/>
        <v>1.0000091111604266</v>
      </c>
      <c r="Y126" s="160">
        <f t="shared" si="82"/>
        <v>-4.2687448388136475E-3</v>
      </c>
      <c r="Z126" s="98" t="str">
        <f t="shared" si="71"/>
        <v>0.999999825126379+0.00127595708778409i</v>
      </c>
      <c r="AA126" s="160">
        <f t="shared" si="83"/>
        <v>1.0000006391594349</v>
      </c>
      <c r="AB126" s="160">
        <f t="shared" si="84"/>
        <v>1.2759566184680192E-3</v>
      </c>
      <c r="AC126" s="171" t="str">
        <f t="shared" si="85"/>
        <v>17.0277220644181-4.12979698348076i</v>
      </c>
      <c r="AD126" s="190">
        <f t="shared" si="86"/>
        <v>24.871363126836108</v>
      </c>
      <c r="AE126" s="169">
        <f t="shared" si="87"/>
        <v>-13.63291979993271</v>
      </c>
      <c r="AF126" s="98" t="str">
        <f t="shared" si="72"/>
        <v>-0.0000816326530612245</v>
      </c>
      <c r="AG126" s="98" t="str">
        <f t="shared" si="73"/>
        <v>0.0000177520180426919i</v>
      </c>
      <c r="AH126" s="98">
        <f t="shared" si="88"/>
        <v>1.7752018042691898E-5</v>
      </c>
      <c r="AI126" s="98">
        <f t="shared" si="89"/>
        <v>1.5707963267948966</v>
      </c>
      <c r="AJ126" s="98" t="str">
        <f t="shared" si="74"/>
        <v>1+0.00540998576113179i</v>
      </c>
      <c r="AK126" s="98">
        <f t="shared" si="90"/>
        <v>1.0000146338658928</v>
      </c>
      <c r="AL126" s="98">
        <f t="shared" si="91"/>
        <v>5.4099329823350337E-3</v>
      </c>
      <c r="AM126" s="98" t="str">
        <f t="shared" si="75"/>
        <v>1+0.084756443591065i</v>
      </c>
      <c r="AN126" s="98">
        <f t="shared" si="92"/>
        <v>1.0035853998191711</v>
      </c>
      <c r="AO126" s="98">
        <f t="shared" si="93"/>
        <v>8.4554360221235997E-2</v>
      </c>
      <c r="AP126" s="168" t="str">
        <f t="shared" si="94"/>
        <v>-0.364863998982515+4.6004738015532i</v>
      </c>
      <c r="AQ126" s="98">
        <f t="shared" si="95"/>
        <v>13.283283197449149</v>
      </c>
      <c r="AR126" s="169">
        <f t="shared" si="96"/>
        <v>94.534641652769253</v>
      </c>
      <c r="AS126" s="168" t="str">
        <f t="shared" si="97"/>
        <v>12.7862200622503+79.8424034998636i</v>
      </c>
      <c r="AT126" s="190">
        <f t="shared" si="98"/>
        <v>38.154646324285267</v>
      </c>
      <c r="AU126" s="169">
        <f t="shared" si="99"/>
        <v>80.901721852836531</v>
      </c>
      <c r="AV126" s="225"/>
      <c r="AX126">
        <f t="shared" si="100"/>
        <v>0</v>
      </c>
      <c r="AY126">
        <f t="shared" si="101"/>
        <v>0</v>
      </c>
    </row>
    <row r="127" spans="14:51" x14ac:dyDescent="0.25">
      <c r="N127" s="170">
        <v>9</v>
      </c>
      <c r="O127" s="199">
        <f t="shared" si="102"/>
        <v>123.02687708123821</v>
      </c>
      <c r="P127" s="189" t="str">
        <f t="shared" si="67"/>
        <v>18.0065359477124</v>
      </c>
      <c r="Q127" s="160" t="str">
        <f t="shared" si="68"/>
        <v>1+0.242510013008635i</v>
      </c>
      <c r="R127" s="160">
        <f t="shared" si="77"/>
        <v>1.0289854743432718</v>
      </c>
      <c r="S127" s="160">
        <f t="shared" si="78"/>
        <v>0.23791693555103077</v>
      </c>
      <c r="T127" s="160" t="str">
        <f t="shared" si="69"/>
        <v>1+0.00030920026658601i</v>
      </c>
      <c r="U127" s="160">
        <f t="shared" si="79"/>
        <v>1.0000000478024014</v>
      </c>
      <c r="V127" s="160">
        <f t="shared" si="80"/>
        <v>3.0920025673233351E-4</v>
      </c>
      <c r="W127" s="98" t="str">
        <f t="shared" si="70"/>
        <v>1-0.00436820321215692i</v>
      </c>
      <c r="X127" s="160">
        <f t="shared" si="81"/>
        <v>1.0000095405541403</v>
      </c>
      <c r="Y127" s="160">
        <f t="shared" si="82"/>
        <v>-4.3681754289563056E-3</v>
      </c>
      <c r="Z127" s="98" t="str">
        <f t="shared" si="71"/>
        <v>0.99999981688484+0.00130567794638042i</v>
      </c>
      <c r="AA127" s="160">
        <f t="shared" si="83"/>
        <v>1.0000006692820826</v>
      </c>
      <c r="AB127" s="160">
        <f t="shared" si="84"/>
        <v>1.3056774434992066E-3</v>
      </c>
      <c r="AC127" s="171" t="str">
        <f t="shared" si="85"/>
        <v>16.9841542593242-4.21542667876518i</v>
      </c>
      <c r="AD127" s="190">
        <f t="shared" si="86"/>
        <v>24.860496035212954</v>
      </c>
      <c r="AE127" s="169">
        <f t="shared" si="87"/>
        <v>-13.939008235194894</v>
      </c>
      <c r="AF127" s="98" t="str">
        <f t="shared" si="72"/>
        <v>-0.0000816326530612245</v>
      </c>
      <c r="AG127" s="98" t="str">
        <f t="shared" si="73"/>
        <v>0.0000181655156619281i</v>
      </c>
      <c r="AH127" s="98">
        <f t="shared" si="88"/>
        <v>1.8165515661928102E-5</v>
      </c>
      <c r="AI127" s="98">
        <f t="shared" si="89"/>
        <v>1.5707963267948966</v>
      </c>
      <c r="AJ127" s="98" t="str">
        <f t="shared" si="74"/>
        <v>1+0.00553600051770482i</v>
      </c>
      <c r="AK127" s="98">
        <f t="shared" si="90"/>
        <v>1.0000153235334606</v>
      </c>
      <c r="AL127" s="98">
        <f t="shared" si="91"/>
        <v>5.5359439642519914E-3</v>
      </c>
      <c r="AM127" s="98" t="str">
        <f t="shared" si="75"/>
        <v>1+0.0867306747773758i</v>
      </c>
      <c r="AN127" s="98">
        <f t="shared" si="92"/>
        <v>1.0037540584960736</v>
      </c>
      <c r="AO127" s="98">
        <f t="shared" si="93"/>
        <v>8.6514182260376715E-2</v>
      </c>
      <c r="AP127" s="168" t="str">
        <f t="shared" si="94"/>
        <v>-0.364863495720667+4.49584514002714i</v>
      </c>
      <c r="AQ127" s="98">
        <f t="shared" si="95"/>
        <v>13.084736801504119</v>
      </c>
      <c r="AR127" s="169">
        <f t="shared" si="96"/>
        <v>94.639711286772595</v>
      </c>
      <c r="AS127" s="168" t="str">
        <f t="shared" si="97"/>
        <v>12.7550076519511+77.8961826982224i</v>
      </c>
      <c r="AT127" s="190">
        <f t="shared" si="98"/>
        <v>37.945232836717075</v>
      </c>
      <c r="AU127" s="169">
        <f t="shared" si="99"/>
        <v>80.700703051577719</v>
      </c>
      <c r="AV127" s="225"/>
      <c r="AX127">
        <f t="shared" si="100"/>
        <v>0</v>
      </c>
      <c r="AY127">
        <f t="shared" si="101"/>
        <v>0</v>
      </c>
    </row>
    <row r="128" spans="14:51" x14ac:dyDescent="0.25">
      <c r="N128" s="170">
        <v>10</v>
      </c>
      <c r="O128" s="199">
        <f t="shared" si="102"/>
        <v>125.89254117941677</v>
      </c>
      <c r="P128" s="189" t="str">
        <f t="shared" si="67"/>
        <v>18.0065359477124</v>
      </c>
      <c r="Q128" s="160" t="str">
        <f t="shared" si="68"/>
        <v>1+0.248158796869651i</v>
      </c>
      <c r="R128" s="160">
        <f t="shared" si="77"/>
        <v>1.0303313973978434</v>
      </c>
      <c r="S128" s="160">
        <f t="shared" si="78"/>
        <v>0.2432450167414151</v>
      </c>
      <c r="T128" s="160" t="str">
        <f t="shared" si="69"/>
        <v>1+0.000316402466008805i</v>
      </c>
      <c r="U128" s="160">
        <f t="shared" si="79"/>
        <v>1.000000050055259</v>
      </c>
      <c r="V128" s="160">
        <f t="shared" si="80"/>
        <v>3.164024554504004E-4</v>
      </c>
      <c r="W128" s="98" t="str">
        <f t="shared" si="70"/>
        <v>1-0.00446995173585845i</v>
      </c>
      <c r="X128" s="160">
        <f t="shared" si="81"/>
        <v>1.0000099901843584</v>
      </c>
      <c r="Y128" s="160">
        <f t="shared" si="82"/>
        <v>-4.469921965638694E-3</v>
      </c>
      <c r="Z128" s="98" t="str">
        <f t="shared" si="71"/>
        <v>0.999999808254888+0.00133609109270661i</v>
      </c>
      <c r="AA128" s="160">
        <f t="shared" si="83"/>
        <v>1.0000007008243648</v>
      </c>
      <c r="AB128" s="160">
        <f t="shared" si="84"/>
        <v>1.3360905538597021E-3</v>
      </c>
      <c r="AC128" s="171" t="str">
        <f t="shared" si="85"/>
        <v>16.9387660298642-4.302353086089i</v>
      </c>
      <c r="AD128" s="190">
        <f t="shared" si="86"/>
        <v>24.849145881519142</v>
      </c>
      <c r="AE128" s="169">
        <f t="shared" si="87"/>
        <v>-14.251444334714625</v>
      </c>
      <c r="AF128" s="98" t="str">
        <f t="shared" si="72"/>
        <v>-0.0000816326530612245</v>
      </c>
      <c r="AG128" s="98" t="str">
        <f t="shared" si="73"/>
        <v>0.0000185886448780173i</v>
      </c>
      <c r="AH128" s="98">
        <f t="shared" si="88"/>
        <v>1.8588644878017301E-5</v>
      </c>
      <c r="AI128" s="98">
        <f t="shared" si="89"/>
        <v>1.5707963267948966</v>
      </c>
      <c r="AJ128" s="98" t="str">
        <f t="shared" si="74"/>
        <v>1+0.00566495053502996i</v>
      </c>
      <c r="AK128" s="98">
        <f t="shared" si="90"/>
        <v>1.0000160457035498</v>
      </c>
      <c r="AL128" s="98">
        <f t="shared" si="91"/>
        <v>5.6648899369659902E-3</v>
      </c>
      <c r="AM128" s="98" t="str">
        <f t="shared" si="75"/>
        <v>1+0.0887508917154698i</v>
      </c>
      <c r="AN128" s="98">
        <f t="shared" si="92"/>
        <v>1.003930635442654</v>
      </c>
      <c r="AO128" s="98">
        <f t="shared" si="93"/>
        <v>8.8518964829036179E-2</v>
      </c>
      <c r="AP128" s="168" t="str">
        <f t="shared" si="94"/>
        <v>-0.364862968742307+4.39360023484119i</v>
      </c>
      <c r="AQ128" s="98">
        <f t="shared" si="95"/>
        <v>12.88625838622945</v>
      </c>
      <c r="AR128" s="169">
        <f t="shared" si="96"/>
        <v>94.747188806776464</v>
      </c>
      <c r="AS128" s="168" t="str">
        <f t="shared" si="97"/>
        <v>12.7224910689228+75.9919357262994i</v>
      </c>
      <c r="AT128" s="190">
        <f t="shared" si="98"/>
        <v>37.735404267748592</v>
      </c>
      <c r="AU128" s="169">
        <f t="shared" si="99"/>
        <v>80.49574447206183</v>
      </c>
      <c r="AV128" s="225"/>
      <c r="AX128">
        <f t="shared" si="100"/>
        <v>0</v>
      </c>
      <c r="AY128">
        <f t="shared" si="101"/>
        <v>0</v>
      </c>
    </row>
    <row r="129" spans="14:51" x14ac:dyDescent="0.25">
      <c r="N129" s="170">
        <v>11</v>
      </c>
      <c r="O129" s="199">
        <f t="shared" si="102"/>
        <v>128.82495516931343</v>
      </c>
      <c r="P129" s="189" t="str">
        <f t="shared" si="67"/>
        <v>18.0065359477124</v>
      </c>
      <c r="Q129" s="160" t="str">
        <f t="shared" si="68"/>
        <v>1+0.253939157809537i</v>
      </c>
      <c r="R129" s="160">
        <f t="shared" si="77"/>
        <v>1.0317388700000678</v>
      </c>
      <c r="S129" s="160">
        <f t="shared" si="78"/>
        <v>0.24868265573125611</v>
      </c>
      <c r="T129" s="160" t="str">
        <f t="shared" si="69"/>
        <v>1+0.00032377242620716i</v>
      </c>
      <c r="U129" s="160">
        <f t="shared" si="79"/>
        <v>1.0000000524142907</v>
      </c>
      <c r="V129" s="160">
        <f t="shared" si="80"/>
        <v>3.2377241489362575E-4</v>
      </c>
      <c r="W129" s="98" t="str">
        <f t="shared" si="70"/>
        <v>1-0.00457407028713714i</v>
      </c>
      <c r="X129" s="160">
        <f t="shared" si="81"/>
        <v>1.0000104610047795</v>
      </c>
      <c r="Y129" s="160">
        <f t="shared" si="82"/>
        <v>-4.5740383877899719E-3</v>
      </c>
      <c r="Z129" s="98" t="str">
        <f t="shared" si="71"/>
        <v>0.999999799218219+0.00136721265221541i</v>
      </c>
      <c r="AA129" s="160">
        <f t="shared" si="83"/>
        <v>1.000000733853188</v>
      </c>
      <c r="AB129" s="160">
        <f t="shared" si="84"/>
        <v>1.3672120748305682E-3</v>
      </c>
      <c r="AC129" s="171" t="str">
        <f t="shared" si="85"/>
        <v>16.8914920524141-4.39056304355987i</v>
      </c>
      <c r="AD129" s="190">
        <f t="shared" si="86"/>
        <v>24.837292539685023</v>
      </c>
      <c r="AE129" s="169">
        <f t="shared" si="87"/>
        <v>-14.570324395147992</v>
      </c>
      <c r="AF129" s="98" t="str">
        <f t="shared" si="72"/>
        <v>-0.0000816326530612245</v>
      </c>
      <c r="AG129" s="98" t="str">
        <f t="shared" si="73"/>
        <v>0.0000190216300396706i</v>
      </c>
      <c r="AH129" s="98">
        <f t="shared" si="88"/>
        <v>1.9021630039670601E-5</v>
      </c>
      <c r="AI129" s="98">
        <f t="shared" si="89"/>
        <v>1.5707963267948966</v>
      </c>
      <c r="AJ129" s="98" t="str">
        <f t="shared" si="74"/>
        <v>1+0.00579690418411327i</v>
      </c>
      <c r="AK129" s="98">
        <f t="shared" si="90"/>
        <v>1.0000168019079079</v>
      </c>
      <c r="AL129" s="98">
        <f t="shared" si="91"/>
        <v>5.7968392521767879E-3</v>
      </c>
      <c r="AM129" s="98" t="str">
        <f t="shared" si="75"/>
        <v>1+0.0908181655511083i</v>
      </c>
      <c r="AN129" s="98">
        <f t="shared" si="92"/>
        <v>1.0041155009231102</v>
      </c>
      <c r="AO129" s="98">
        <f t="shared" si="93"/>
        <v>9.0569706393507296E-2</v>
      </c>
      <c r="AP129" s="168" t="str">
        <f t="shared" si="94"/>
        <v>-0.364862416929854+4.29368487437449i</v>
      </c>
      <c r="AQ129" s="98">
        <f t="shared" si="95"/>
        <v>12.687851105154271</v>
      </c>
      <c r="AR129" s="169">
        <f t="shared" si="96"/>
        <v>94.857127504421499</v>
      </c>
      <c r="AS129" s="168" t="str">
        <f t="shared" si="97"/>
        <v>12.6886235143254+74.1286953748235i</v>
      </c>
      <c r="AT129" s="190">
        <f t="shared" si="98"/>
        <v>37.525143644839297</v>
      </c>
      <c r="AU129" s="169">
        <f t="shared" si="99"/>
        <v>80.286803109273521</v>
      </c>
      <c r="AV129" s="225"/>
      <c r="AX129">
        <f t="shared" si="100"/>
        <v>0</v>
      </c>
      <c r="AY129">
        <f t="shared" si="101"/>
        <v>0</v>
      </c>
    </row>
    <row r="130" spans="14:51" x14ac:dyDescent="0.25">
      <c r="N130" s="170">
        <v>12</v>
      </c>
      <c r="O130" s="199">
        <f t="shared" si="102"/>
        <v>131.82567385564084</v>
      </c>
      <c r="P130" s="189" t="str">
        <f t="shared" si="67"/>
        <v>18.0065359477124</v>
      </c>
      <c r="Q130" s="160" t="str">
        <f t="shared" si="68"/>
        <v>1+0.259854160652176i</v>
      </c>
      <c r="R130" s="160">
        <f t="shared" si="77"/>
        <v>1.0332106197713256</v>
      </c>
      <c r="S130" s="160">
        <f t="shared" si="78"/>
        <v>0.25423144884277954</v>
      </c>
      <c r="T130" s="160" t="str">
        <f t="shared" si="69"/>
        <v>1+0.000331314054831524i</v>
      </c>
      <c r="U130" s="160">
        <f t="shared" si="79"/>
        <v>1.0000000548845001</v>
      </c>
      <c r="V130" s="160">
        <f t="shared" si="80"/>
        <v>3.3131404270885369E-4</v>
      </c>
      <c r="W130" s="98" t="str">
        <f t="shared" si="70"/>
        <v>1-0.00468061407102706i</v>
      </c>
      <c r="X130" s="160">
        <f t="shared" si="81"/>
        <v>1.0000109540140458</v>
      </c>
      <c r="Y130" s="160">
        <f t="shared" si="82"/>
        <v>-4.6805798902809668E-3</v>
      </c>
      <c r="Z130" s="98" t="str">
        <f t="shared" si="71"/>
        <v>0.999999789755665+0.00139905912596961i</v>
      </c>
      <c r="AA130" s="160">
        <f t="shared" si="83"/>
        <v>1.0000007684386107</v>
      </c>
      <c r="AB130" s="160">
        <f t="shared" si="84"/>
        <v>1.3990585072906311E-3</v>
      </c>
      <c r="AC130" s="171" t="str">
        <f t="shared" si="85"/>
        <v>16.8422656283737-4.48004069739824i</v>
      </c>
      <c r="AD130" s="190">
        <f t="shared" si="86"/>
        <v>24.824915166695718</v>
      </c>
      <c r="AE130" s="169">
        <f t="shared" si="87"/>
        <v>-14.895743762993247</v>
      </c>
      <c r="AF130" s="98" t="str">
        <f t="shared" si="72"/>
        <v>-0.0000816326530612245</v>
      </c>
      <c r="AG130" s="98" t="str">
        <f t="shared" si="73"/>
        <v>0.0000194647007213521i</v>
      </c>
      <c r="AH130" s="98">
        <f t="shared" si="88"/>
        <v>1.9464700721352099E-5</v>
      </c>
      <c r="AI130" s="98">
        <f t="shared" si="89"/>
        <v>1.5707963267948966</v>
      </c>
      <c r="AJ130" s="98" t="str">
        <f t="shared" si="74"/>
        <v>1+0.0059319314285261i</v>
      </c>
      <c r="AK130" s="98">
        <f t="shared" si="90"/>
        <v>1.0000175937504663</v>
      </c>
      <c r="AL130" s="98">
        <f t="shared" si="91"/>
        <v>5.9318618527687437E-3</v>
      </c>
      <c r="AM130" s="98" t="str">
        <f t="shared" si="75"/>
        <v>1+0.0929335923802426i</v>
      </c>
      <c r="AN130" s="98">
        <f t="shared" si="92"/>
        <v>1.0043090423732612</v>
      </c>
      <c r="AO130" s="98">
        <f t="shared" si="93"/>
        <v>9.2667425250104976E-2</v>
      </c>
      <c r="AP130" s="168" t="str">
        <f t="shared" si="94"/>
        <v>-0.364861839113068+4.19604608216021i</v>
      </c>
      <c r="AQ130" s="98">
        <f t="shared" si="95"/>
        <v>12.489518255635431</v>
      </c>
      <c r="AR130" s="169">
        <f t="shared" si="96"/>
        <v>94.969581716356757</v>
      </c>
      <c r="AS130" s="168" t="str">
        <f t="shared" si="97"/>
        <v>12.6533572042369+72.3055185927931i</v>
      </c>
      <c r="AT130" s="190">
        <f t="shared" si="98"/>
        <v>37.314433422331142</v>
      </c>
      <c r="AU130" s="169">
        <f t="shared" si="99"/>
        <v>80.073837953363551</v>
      </c>
      <c r="AV130" s="225"/>
      <c r="AX130">
        <f t="shared" si="100"/>
        <v>0</v>
      </c>
      <c r="AY130">
        <f t="shared" si="101"/>
        <v>0</v>
      </c>
    </row>
    <row r="131" spans="14:51" x14ac:dyDescent="0.25">
      <c r="N131" s="170">
        <v>13</v>
      </c>
      <c r="O131" s="199">
        <f t="shared" si="102"/>
        <v>134.89628825916537</v>
      </c>
      <c r="P131" s="189" t="str">
        <f t="shared" si="67"/>
        <v>18.0065359477124</v>
      </c>
      <c r="Q131" s="160" t="str">
        <f t="shared" si="68"/>
        <v>1+0.265906941610369i</v>
      </c>
      <c r="R131" s="160">
        <f t="shared" si="77"/>
        <v>1.0347494873623182</v>
      </c>
      <c r="S131" s="160">
        <f t="shared" si="78"/>
        <v>0.25989297080592028</v>
      </c>
      <c r="T131" s="160" t="str">
        <f t="shared" si="69"/>
        <v>1+0.00033903135055322i</v>
      </c>
      <c r="U131" s="160">
        <f t="shared" si="79"/>
        <v>1.0000000574711267</v>
      </c>
      <c r="V131" s="160">
        <f t="shared" si="80"/>
        <v>3.3903133756354477E-4</v>
      </c>
      <c r="W131" s="98" t="str">
        <f t="shared" si="70"/>
        <v>1-0.00478963957845268i</v>
      </c>
      <c r="X131" s="160">
        <f t="shared" si="81"/>
        <v>1.0000114702578624</v>
      </c>
      <c r="Y131" s="160">
        <f t="shared" si="82"/>
        <v>-4.7896029531460625E-3</v>
      </c>
      <c r="Z131" s="98" t="str">
        <f t="shared" si="71"/>
        <v>0.999999779847155+0.00143164739939114i</v>
      </c>
      <c r="AA131" s="160">
        <f t="shared" si="83"/>
        <v>1.0000008046539937</v>
      </c>
      <c r="AB131" s="160">
        <f t="shared" si="84"/>
        <v>1.431646736464698E-3</v>
      </c>
      <c r="AC131" s="171" t="str">
        <f t="shared" si="85"/>
        <v>16.7910187480672-4.57076734298902i</v>
      </c>
      <c r="AD131" s="190">
        <f t="shared" si="86"/>
        <v>24.811992188005497</v>
      </c>
      <c r="AE131" s="169">
        <f t="shared" si="87"/>
        <v>-15.227796638042612</v>
      </c>
      <c r="AF131" s="98" t="str">
        <f t="shared" si="72"/>
        <v>-0.0000816326530612245</v>
      </c>
      <c r="AG131" s="98" t="str">
        <f t="shared" si="73"/>
        <v>0.0000199180918450017i</v>
      </c>
      <c r="AH131" s="98">
        <f t="shared" si="88"/>
        <v>1.9918091845001702E-5</v>
      </c>
      <c r="AI131" s="98">
        <f t="shared" si="89"/>
        <v>1.5707963267948966</v>
      </c>
      <c r="AJ131" s="98" t="str">
        <f t="shared" si="74"/>
        <v>1+0.00607010386150071i</v>
      </c>
      <c r="AK131" s="98">
        <f t="shared" si="90"/>
        <v>1.0000184229107429</v>
      </c>
      <c r="AL131" s="98">
        <f t="shared" si="91"/>
        <v>6.0700293098077032E-3</v>
      </c>
      <c r="AM131" s="98" t="str">
        <f t="shared" si="75"/>
        <v>1+0.0950982938301782i</v>
      </c>
      <c r="AN131" s="98">
        <f t="shared" si="92"/>
        <v>1.0045116651833421</v>
      </c>
      <c r="AO131" s="98">
        <f t="shared" si="93"/>
        <v>9.4813159749508449E-2</v>
      </c>
      <c r="AP131" s="168" t="str">
        <f t="shared" si="94"/>
        <v>-0.364861234066578+4.10063208879682i</v>
      </c>
      <c r="AQ131" s="98">
        <f t="shared" si="95"/>
        <v>12.291263285182566</v>
      </c>
      <c r="AR131" s="169">
        <f t="shared" si="96"/>
        <v>95.084606834973783</v>
      </c>
      <c r="AS131" s="168" t="str">
        <f t="shared" si="97"/>
        <v>12.6166434154305+70.5214860953076i</v>
      </c>
      <c r="AT131" s="190">
        <f t="shared" si="98"/>
        <v>37.103255473188071</v>
      </c>
      <c r="AU131" s="169">
        <f t="shared" si="99"/>
        <v>79.856810196931193</v>
      </c>
      <c r="AV131" s="225"/>
      <c r="AX131">
        <f t="shared" si="100"/>
        <v>0</v>
      </c>
      <c r="AY131">
        <f t="shared" si="101"/>
        <v>0</v>
      </c>
    </row>
    <row r="132" spans="14:51" x14ac:dyDescent="0.25">
      <c r="N132" s="170">
        <v>14</v>
      </c>
      <c r="O132" s="199">
        <f t="shared" si="102"/>
        <v>138.0384264602886</v>
      </c>
      <c r="P132" s="189" t="str">
        <f t="shared" si="67"/>
        <v>18.0065359477124</v>
      </c>
      <c r="Q132" s="160" t="str">
        <f t="shared" si="68"/>
        <v>1+0.272100709948698i</v>
      </c>
      <c r="R132" s="160">
        <f t="shared" si="77"/>
        <v>1.0363584304450779</v>
      </c>
      <c r="S132" s="160">
        <f t="shared" si="78"/>
        <v>0.26566877109092141</v>
      </c>
      <c r="T132" s="160" t="str">
        <f t="shared" si="69"/>
        <v>1+0.00034692840518459i</v>
      </c>
      <c r="U132" s="160">
        <f t="shared" si="79"/>
        <v>1.0000000601796573</v>
      </c>
      <c r="V132" s="160">
        <f t="shared" si="80"/>
        <v>3.4692839126590226E-4</v>
      </c>
      <c r="W132" s="98" t="str">
        <f t="shared" si="70"/>
        <v>1-0.00490120461618117i</v>
      </c>
      <c r="X132" s="160">
        <f t="shared" si="81"/>
        <v>1.0000120108312147</v>
      </c>
      <c r="Y132" s="160">
        <f t="shared" si="82"/>
        <v>-4.9011653714835261E-3</v>
      </c>
      <c r="Z132" s="98" t="str">
        <f t="shared" si="71"/>
        <v>0.999999769471671+0.00146499475121392i</v>
      </c>
      <c r="AA132" s="160">
        <f t="shared" si="83"/>
        <v>1.0000008425761531</v>
      </c>
      <c r="AB132" s="160">
        <f t="shared" si="84"/>
        <v>1.4649940408754713E-3</v>
      </c>
      <c r="AC132" s="171" t="str">
        <f t="shared" si="85"/>
        <v>16.7376821656117-4.66272126242148i</v>
      </c>
      <c r="AD132" s="190">
        <f t="shared" si="86"/>
        <v>24.798501283706447</v>
      </c>
      <c r="AE132" s="169">
        <f t="shared" si="87"/>
        <v>-15.566575865359782</v>
      </c>
      <c r="AF132" s="98" t="str">
        <f t="shared" si="72"/>
        <v>-0.0000816326530612245</v>
      </c>
      <c r="AG132" s="98" t="str">
        <f t="shared" si="73"/>
        <v>0.0000203820438045947i</v>
      </c>
      <c r="AH132" s="98">
        <f t="shared" si="88"/>
        <v>2.0382043804594699E-5</v>
      </c>
      <c r="AI132" s="98">
        <f t="shared" si="89"/>
        <v>1.5707963267948966</v>
      </c>
      <c r="AJ132" s="98" t="str">
        <f t="shared" si="74"/>
        <v>1+0.00621149474389003i</v>
      </c>
      <c r="AK132" s="98">
        <f t="shared" si="90"/>
        <v>1.0000192911474024</v>
      </c>
      <c r="AL132" s="98">
        <f t="shared" si="91"/>
        <v>6.2114148603949638E-3</v>
      </c>
      <c r="AM132" s="98" t="str">
        <f t="shared" si="75"/>
        <v>1+0.0973134176542775i</v>
      </c>
      <c r="AN132" s="98">
        <f t="shared" si="92"/>
        <v>1.0047237935151909</v>
      </c>
      <c r="AO132" s="98">
        <f t="shared" si="93"/>
        <v>9.7007968510243694E-2</v>
      </c>
      <c r="AP132" s="168" t="str">
        <f t="shared" si="94"/>
        <v>-0.364860600507278+4.00739230449892i</v>
      </c>
      <c r="AQ132" s="98">
        <f t="shared" si="95"/>
        <v>12.093089798037816</v>
      </c>
      <c r="AR132" s="169">
        <f t="shared" si="96"/>
        <v>95.202259318469487</v>
      </c>
      <c r="AS132" s="168" t="str">
        <f t="shared" si="97"/>
        <v>12.5784325390063+68.7757019854263i</v>
      </c>
      <c r="AT132" s="190">
        <f t="shared" si="98"/>
        <v>36.891591081744266</v>
      </c>
      <c r="AU132" s="169">
        <f t="shared" si="99"/>
        <v>79.635683453109692</v>
      </c>
      <c r="AV132" s="225"/>
      <c r="AX132">
        <f t="shared" si="100"/>
        <v>0</v>
      </c>
      <c r="AY132">
        <f t="shared" si="101"/>
        <v>0</v>
      </c>
    </row>
    <row r="133" spans="14:51" x14ac:dyDescent="0.25">
      <c r="N133" s="170">
        <v>15</v>
      </c>
      <c r="O133" s="199">
        <f t="shared" si="102"/>
        <v>141.25375446227542</v>
      </c>
      <c r="P133" s="189" t="str">
        <f t="shared" si="67"/>
        <v>18.0065359477124</v>
      </c>
      <c r="Q133" s="160" t="str">
        <f t="shared" si="68"/>
        <v>1+0.278438749685121i</v>
      </c>
      <c r="R133" s="160">
        <f t="shared" si="77"/>
        <v>1.0380405277859885</v>
      </c>
      <c r="S133" s="160">
        <f t="shared" si="78"/>
        <v>0.27156037003576677</v>
      </c>
      <c r="T133" s="160" t="str">
        <f t="shared" si="69"/>
        <v>1+0.000355009405848529i</v>
      </c>
      <c r="U133" s="160">
        <f t="shared" si="79"/>
        <v>1.0000000630158372</v>
      </c>
      <c r="V133" s="160">
        <f t="shared" si="80"/>
        <v>3.5500939093438636E-4</v>
      </c>
      <c r="W133" s="98" t="str">
        <f t="shared" si="70"/>
        <v>1-0.00501536833747228i</v>
      </c>
      <c r="X133" s="160">
        <f t="shared" si="81"/>
        <v>1.0000125768806913</v>
      </c>
      <c r="Y133" s="160">
        <f t="shared" si="82"/>
        <v>-5.0153262860496905E-3</v>
      </c>
      <c r="Z133" s="98" t="str">
        <f t="shared" si="71"/>
        <v>0.999999758607206+0.00149911886264529i</v>
      </c>
      <c r="AA133" s="160">
        <f t="shared" si="83"/>
        <v>1.000000882285528</v>
      </c>
      <c r="AB133" s="160">
        <f t="shared" si="84"/>
        <v>1.4991181015039639E-3</v>
      </c>
      <c r="AC133" s="171" t="str">
        <f t="shared" si="85"/>
        <v>16.6821854855216-4.75587755902152i</v>
      </c>
      <c r="AD133" s="190">
        <f t="shared" si="86"/>
        <v>24.784419375574799</v>
      </c>
      <c r="AE133" s="169">
        <f t="shared" si="87"/>
        <v>-15.912172715551819</v>
      </c>
      <c r="AF133" s="98" t="str">
        <f t="shared" si="72"/>
        <v>-0.0000816326530612245</v>
      </c>
      <c r="AG133" s="98" t="str">
        <f t="shared" si="73"/>
        <v>0.0000208568025936011i</v>
      </c>
      <c r="AH133" s="98">
        <f t="shared" si="88"/>
        <v>2.0856802593601102E-5</v>
      </c>
      <c r="AI133" s="98">
        <f t="shared" si="89"/>
        <v>1.5707963267948966</v>
      </c>
      <c r="AJ133" s="98" t="str">
        <f t="shared" si="74"/>
        <v>1+0.0063561790430114i</v>
      </c>
      <c r="AK133" s="98">
        <f t="shared" si="90"/>
        <v>1.0000202003019873</v>
      </c>
      <c r="AL133" s="98">
        <f t="shared" si="91"/>
        <v>6.3560934463976508E-3</v>
      </c>
      <c r="AM133" s="98" t="str">
        <f t="shared" si="75"/>
        <v>1+0.0995801383405123i</v>
      </c>
      <c r="AN133" s="98">
        <f t="shared" si="92"/>
        <v>1.0049458711552157</v>
      </c>
      <c r="AO133" s="98">
        <f t="shared" si="93"/>
        <v>9.9252930620005897E-2</v>
      </c>
      <c r="AP133" s="168" t="str">
        <f t="shared" si="94"/>
        <v>-0.364859937091604+3.91627729227395i</v>
      </c>
      <c r="AQ133" s="98">
        <f t="shared" si="95"/>
        <v>11.895001562020189</v>
      </c>
      <c r="AR133" s="169">
        <f t="shared" si="96"/>
        <v>95.322596700161753</v>
      </c>
      <c r="AS133" s="168" t="str">
        <f t="shared" si="97"/>
        <v>12.5386741424334+67.0672933894503i</v>
      </c>
      <c r="AT133" s="190">
        <f t="shared" si="98"/>
        <v>36.67942093759499</v>
      </c>
      <c r="AU133" s="169">
        <f t="shared" si="99"/>
        <v>79.410423984609906</v>
      </c>
      <c r="AV133" s="225"/>
      <c r="AX133">
        <f t="shared" si="100"/>
        <v>0</v>
      </c>
      <c r="AY133">
        <f t="shared" si="101"/>
        <v>0</v>
      </c>
    </row>
    <row r="134" spans="14:51" x14ac:dyDescent="0.25">
      <c r="N134" s="170">
        <v>16</v>
      </c>
      <c r="O134" s="199">
        <f t="shared" si="102"/>
        <v>144.54397707459285</v>
      </c>
      <c r="P134" s="189" t="str">
        <f t="shared" si="67"/>
        <v>18.0065359477124</v>
      </c>
      <c r="Q134" s="160" t="str">
        <f t="shared" si="68"/>
        <v>1+0.284924421332199i</v>
      </c>
      <c r="R134" s="160">
        <f t="shared" si="77"/>
        <v>1.0397989833960641</v>
      </c>
      <c r="S134" s="160">
        <f t="shared" si="78"/>
        <v>0.2775692547650408</v>
      </c>
      <c r="T134" s="160" t="str">
        <f t="shared" si="69"/>
        <v>1+0.000363278637198554i</v>
      </c>
      <c r="U134" s="160">
        <f t="shared" si="79"/>
        <v>1.000000065985682</v>
      </c>
      <c r="V134" s="160">
        <f t="shared" si="80"/>
        <v>3.6327862121776232E-4</v>
      </c>
      <c r="W134" s="98" t="str">
        <f t="shared" si="70"/>
        <v>1-0.00513219127344216i</v>
      </c>
      <c r="X134" s="160">
        <f t="shared" si="81"/>
        <v>1.0000131696069143</v>
      </c>
      <c r="Y134" s="160">
        <f t="shared" si="82"/>
        <v>-5.1321462145630919E-3</v>
      </c>
      <c r="Z134" s="98" t="str">
        <f t="shared" si="71"/>
        <v>0.999999747230714+0.00153403782674082i</v>
      </c>
      <c r="AA134" s="160">
        <f t="shared" si="83"/>
        <v>1.0000009238663463</v>
      </c>
      <c r="AB134" s="160">
        <f t="shared" si="84"/>
        <v>1.5340370111632349E-3</v>
      </c>
      <c r="AC134" s="171" t="str">
        <f t="shared" si="85"/>
        <v>16.6244572618231-4.85020798946279i</v>
      </c>
      <c r="AD134" s="190">
        <f t="shared" si="86"/>
        <v>24.769722615126085</v>
      </c>
      <c r="AE134" s="169">
        <f t="shared" si="87"/>
        <v>-16.264676653140238</v>
      </c>
      <c r="AF134" s="98" t="str">
        <f t="shared" si="72"/>
        <v>-0.0000816326530612245</v>
      </c>
      <c r="AG134" s="98" t="str">
        <f t="shared" si="73"/>
        <v>0.000021342619935415i</v>
      </c>
      <c r="AH134" s="98">
        <f t="shared" si="88"/>
        <v>2.1342619935415001E-5</v>
      </c>
      <c r="AI134" s="98">
        <f t="shared" si="89"/>
        <v>1.5707963267948966</v>
      </c>
      <c r="AJ134" s="98" t="str">
        <f t="shared" si="74"/>
        <v>1+0.00650423347239536i</v>
      </c>
      <c r="AK134" s="98">
        <f t="shared" si="90"/>
        <v>1.0000211523028217</v>
      </c>
      <c r="AL134" s="98">
        <f t="shared" si="91"/>
        <v>6.5041417540760418E-3</v>
      </c>
      <c r="AM134" s="98" t="str">
        <f t="shared" si="75"/>
        <v>1+0.101899657734194i</v>
      </c>
      <c r="AN134" s="98">
        <f t="shared" si="92"/>
        <v>1.0051783624045765</v>
      </c>
      <c r="AO134" s="98">
        <f t="shared" si="93"/>
        <v>0.10154914582343764</v>
      </c>
      <c r="AP134" s="168" t="str">
        <f t="shared" si="94"/>
        <v>-0.3648592424127+3.82723874170986i</v>
      </c>
      <c r="AQ134" s="98">
        <f t="shared" si="95"/>
        <v>11.697002515641204</v>
      </c>
      <c r="AR134" s="169">
        <f t="shared" si="96"/>
        <v>95.445677596978157</v>
      </c>
      <c r="AS134" s="168" t="str">
        <f t="shared" si="97"/>
        <v>12.4973170405516+65.3954101049286i</v>
      </c>
      <c r="AT134" s="190">
        <f t="shared" si="98"/>
        <v>36.466725130767287</v>
      </c>
      <c r="AU134" s="169">
        <f t="shared" si="99"/>
        <v>79.181000943837915</v>
      </c>
      <c r="AV134" s="225"/>
      <c r="AX134">
        <f t="shared" si="100"/>
        <v>0</v>
      </c>
      <c r="AY134">
        <f t="shared" si="101"/>
        <v>0</v>
      </c>
    </row>
    <row r="135" spans="14:51" x14ac:dyDescent="0.25">
      <c r="N135" s="170">
        <v>17</v>
      </c>
      <c r="O135" s="199">
        <f t="shared" si="102"/>
        <v>147.91083881682084</v>
      </c>
      <c r="P135" s="189" t="str">
        <f t="shared" si="67"/>
        <v>18.0065359477124</v>
      </c>
      <c r="Q135" s="160" t="str">
        <f t="shared" si="68"/>
        <v>1+0.291561163678888i</v>
      </c>
      <c r="R135" s="160">
        <f t="shared" si="77"/>
        <v>1.0416371307541736</v>
      </c>
      <c r="S135" s="160">
        <f t="shared" si="78"/>
        <v>0.28369687489760992</v>
      </c>
      <c r="T135" s="160" t="str">
        <f t="shared" si="69"/>
        <v>1+0.000371740483690583i</v>
      </c>
      <c r="U135" s="160">
        <f t="shared" si="79"/>
        <v>1.0000000690954913</v>
      </c>
      <c r="V135" s="160">
        <f t="shared" si="80"/>
        <v>3.7174046656685629E-4</v>
      </c>
      <c r="W135" s="98" t="str">
        <f t="shared" si="70"/>
        <v>1-0.0052517353651578i</v>
      </c>
      <c r="X135" s="160">
        <f t="shared" si="81"/>
        <v>1.0000137902670871</v>
      </c>
      <c r="Y135" s="160">
        <f t="shared" si="82"/>
        <v>-5.2516870837349657E-3</v>
      </c>
      <c r="Z135" s="98" t="str">
        <f t="shared" si="71"/>
        <v>0.999999735318064+0.00156977015799748i</v>
      </c>
      <c r="AA135" s="160">
        <f t="shared" si="83"/>
        <v>1.0000009674068056</v>
      </c>
      <c r="AB135" s="160">
        <f t="shared" si="84"/>
        <v>1.5697692840903985E-3</v>
      </c>
      <c r="AC135" s="171" t="str">
        <f t="shared" si="85"/>
        <v>16.564425110457-4.94568079413447i</v>
      </c>
      <c r="AD135" s="190">
        <f t="shared" si="86"/>
        <v>24.754386372819546</v>
      </c>
      <c r="AE135" s="169">
        <f t="shared" si="87"/>
        <v>-16.62417509288451</v>
      </c>
      <c r="AF135" s="98" t="str">
        <f t="shared" si="72"/>
        <v>-0.0000816326530612245</v>
      </c>
      <c r="AG135" s="98" t="str">
        <f t="shared" si="73"/>
        <v>0.0000218397534168217i</v>
      </c>
      <c r="AH135" s="98">
        <f t="shared" si="88"/>
        <v>2.18397534168217E-5</v>
      </c>
      <c r="AI135" s="98">
        <f t="shared" si="89"/>
        <v>1.5707963267948966</v>
      </c>
      <c r="AJ135" s="98" t="str">
        <f t="shared" si="74"/>
        <v>1+0.00665573653246009i</v>
      </c>
      <c r="AK135" s="98">
        <f t="shared" si="90"/>
        <v>1.0000221491691019</v>
      </c>
      <c r="AL135" s="98">
        <f t="shared" si="91"/>
        <v>6.6556382546278589E-3</v>
      </c>
      <c r="AM135" s="98" t="str">
        <f t="shared" si="75"/>
        <v>1+0.104273205675208i</v>
      </c>
      <c r="AN135" s="98">
        <f t="shared" si="92"/>
        <v>1.005421753008052</v>
      </c>
      <c r="AO135" s="98">
        <f t="shared" si="93"/>
        <v>0.10389773469487319</v>
      </c>
      <c r="AP135" s="168" t="str">
        <f t="shared" si="94"/>
        <v>-0.364858514997422+3.74022944336014i</v>
      </c>
      <c r="AQ135" s="98">
        <f t="shared" si="95"/>
        <v>11.499096775500682</v>
      </c>
      <c r="AR135" s="169">
        <f t="shared" si="96"/>
        <v>95.571561717030178</v>
      </c>
      <c r="AS135" s="168" t="str">
        <f t="shared" si="97"/>
        <v>12.4543093760952+63.7592242606645i</v>
      </c>
      <c r="AT135" s="190">
        <f t="shared" si="98"/>
        <v>36.253483148320235</v>
      </c>
      <c r="AU135" s="169">
        <f t="shared" si="99"/>
        <v>78.947386624145636</v>
      </c>
      <c r="AV135" s="225"/>
      <c r="AX135">
        <f t="shared" si="100"/>
        <v>0</v>
      </c>
      <c r="AY135">
        <f t="shared" si="101"/>
        <v>0</v>
      </c>
    </row>
    <row r="136" spans="14:51" x14ac:dyDescent="0.25">
      <c r="N136" s="170">
        <v>18</v>
      </c>
      <c r="O136" s="199">
        <f t="shared" si="102"/>
        <v>151.3561248436209</v>
      </c>
      <c r="P136" s="189" t="str">
        <f t="shared" si="67"/>
        <v>18.0065359477124</v>
      </c>
      <c r="Q136" s="160" t="str">
        <f t="shared" si="68"/>
        <v>1+0.298352495613828i</v>
      </c>
      <c r="R136" s="160">
        <f t="shared" si="77"/>
        <v>1.0435584370982773</v>
      </c>
      <c r="S136" s="160">
        <f t="shared" si="78"/>
        <v>0.28994463804140552</v>
      </c>
      <c r="T136" s="160" t="str">
        <f t="shared" si="69"/>
        <v>1+0.000380399431907631i</v>
      </c>
      <c r="U136" s="160">
        <f t="shared" si="79"/>
        <v>1.0000000723518614</v>
      </c>
      <c r="V136" s="160">
        <f t="shared" si="80"/>
        <v>3.803994135592273E-4</v>
      </c>
      <c r="W136" s="98" t="str">
        <f t="shared" si="70"/>
        <v>1-0.00537406399647898i</v>
      </c>
      <c r="X136" s="160">
        <f t="shared" si="81"/>
        <v>1.0000144401776598</v>
      </c>
      <c r="Y136" s="160">
        <f t="shared" si="82"/>
        <v>-5.3740122620426749E-3</v>
      </c>
      <c r="Z136" s="98" t="str">
        <f t="shared" si="71"/>
        <v>0.999999722843989+0.00160633480217027i</v>
      </c>
      <c r="AA136" s="160">
        <f t="shared" si="83"/>
        <v>1.0000010129992627</v>
      </c>
      <c r="AB136" s="160">
        <f t="shared" si="84"/>
        <v>1.6063338657620104E-3</v>
      </c>
      <c r="AC136" s="171" t="str">
        <f t="shared" si="85"/>
        <v>16.5020158357432-5.04226052653798i</v>
      </c>
      <c r="AD136" s="190">
        <f t="shared" si="86"/>
        <v>24.73838522856137</v>
      </c>
      <c r="AE136" s="169">
        <f t="shared" si="87"/>
        <v>-16.990753143958372</v>
      </c>
      <c r="AF136" s="98" t="str">
        <f t="shared" si="72"/>
        <v>-0.0000816326530612245</v>
      </c>
      <c r="AG136" s="98" t="str">
        <f t="shared" si="73"/>
        <v>0.0000223484666245733i</v>
      </c>
      <c r="AH136" s="98">
        <f t="shared" si="88"/>
        <v>2.2348466624573301E-5</v>
      </c>
      <c r="AI136" s="98">
        <f t="shared" si="89"/>
        <v>1.5707963267948966</v>
      </c>
      <c r="AJ136" s="98" t="str">
        <f t="shared" si="74"/>
        <v>1+0.00681076855213342i</v>
      </c>
      <c r="AK136" s="98">
        <f t="shared" si="90"/>
        <v>1.0000231930151773</v>
      </c>
      <c r="AL136" s="98">
        <f t="shared" si="91"/>
        <v>6.8106632456708142E-3</v>
      </c>
      <c r="AM136" s="98" t="str">
        <f t="shared" si="75"/>
        <v>1+0.106702040650091i</v>
      </c>
      <c r="AN136" s="98">
        <f t="shared" si="92"/>
        <v>1.00567655112312</v>
      </c>
      <c r="AO136" s="98">
        <f t="shared" si="93"/>
        <v>0.10629983879446052</v>
      </c>
      <c r="AP136" s="168" t="str">
        <f t="shared" si="94"/>
        <v>-0.364857753303231+3.65520326371262i</v>
      </c>
      <c r="AQ136" s="98">
        <f t="shared" si="95"/>
        <v>11.301288643970732</v>
      </c>
      <c r="AR136" s="169">
        <f t="shared" si="96"/>
        <v>95.700309866181797</v>
      </c>
      <c r="AS136" s="168" t="str">
        <f t="shared" si="97"/>
        <v>12.4095987102873+62.1579299879281i</v>
      </c>
      <c r="AT136" s="190">
        <f t="shared" si="98"/>
        <v>36.039673872532099</v>
      </c>
      <c r="AU136" s="169">
        <f t="shared" si="99"/>
        <v>78.709556722223454</v>
      </c>
      <c r="AV136" s="225"/>
      <c r="AX136">
        <f t="shared" si="100"/>
        <v>0</v>
      </c>
      <c r="AY136">
        <f t="shared" si="101"/>
        <v>0</v>
      </c>
    </row>
    <row r="137" spans="14:51" x14ac:dyDescent="0.25">
      <c r="N137" s="170">
        <v>19</v>
      </c>
      <c r="O137" s="199">
        <f t="shared" si="102"/>
        <v>154.8816618912482</v>
      </c>
      <c r="P137" s="189" t="str">
        <f t="shared" si="67"/>
        <v>18.0065359477124</v>
      </c>
      <c r="Q137" s="160" t="str">
        <f t="shared" si="68"/>
        <v>1+0.305302017991105i</v>
      </c>
      <c r="R137" s="160">
        <f t="shared" si="77"/>
        <v>1.0455665077791279</v>
      </c>
      <c r="S137" s="160">
        <f t="shared" si="78"/>
        <v>0.29631390507463928</v>
      </c>
      <c r="T137" s="160" t="str">
        <f t="shared" si="69"/>
        <v>1+0.000389260072938659i</v>
      </c>
      <c r="U137" s="160">
        <f t="shared" si="79"/>
        <v>1.0000000757616994</v>
      </c>
      <c r="V137" s="160">
        <f t="shared" si="80"/>
        <v>3.8926005327799031E-4</v>
      </c>
      <c r="W137" s="98" t="str">
        <f t="shared" si="70"/>
        <v>1-0.00549924202766525i</v>
      </c>
      <c r="X137" s="160">
        <f t="shared" si="81"/>
        <v>1.0000151207171213</v>
      </c>
      <c r="Y137" s="160">
        <f t="shared" si="82"/>
        <v>-5.4991865932632732E-3</v>
      </c>
      <c r="Z137" s="98" t="str">
        <f t="shared" si="71"/>
        <v>0.999999709782029+0.00164375114631753i</v>
      </c>
      <c r="AA137" s="160">
        <f t="shared" si="83"/>
        <v>1.0000010607404239</v>
      </c>
      <c r="AB137" s="160">
        <f t="shared" si="84"/>
        <v>1.6437501429380581E-3</v>
      </c>
      <c r="AC137" s="171" t="str">
        <f t="shared" si="85"/>
        <v>16.4371555716606-5.13990788258638i</v>
      </c>
      <c r="AD137" s="190">
        <f t="shared" si="86"/>
        <v>24.72169296366161</v>
      </c>
      <c r="AE137" s="169">
        <f t="shared" si="87"/>
        <v>-17.364493341944378</v>
      </c>
      <c r="AF137" s="98" t="str">
        <f t="shared" si="72"/>
        <v>-0.0000816326530612245</v>
      </c>
      <c r="AG137" s="98" t="str">
        <f t="shared" si="73"/>
        <v>0.0000228690292851462i</v>
      </c>
      <c r="AH137" s="98">
        <f t="shared" si="88"/>
        <v>2.2869029285146201E-5</v>
      </c>
      <c r="AI137" s="98">
        <f t="shared" si="89"/>
        <v>1.5707963267948966</v>
      </c>
      <c r="AJ137" s="98" t="str">
        <f t="shared" si="74"/>
        <v>1+0.00696941173144426i</v>
      </c>
      <c r="AK137" s="98">
        <f t="shared" si="90"/>
        <v>1.000024286055035</v>
      </c>
      <c r="AL137" s="98">
        <f t="shared" si="91"/>
        <v>6.9692988936846129E-3</v>
      </c>
      <c r="AM137" s="98" t="str">
        <f t="shared" si="75"/>
        <v>1+0.109187450459294i</v>
      </c>
      <c r="AN137" s="98">
        <f t="shared" si="92"/>
        <v>1.0059432883308088</v>
      </c>
      <c r="AO137" s="98">
        <f t="shared" si="93"/>
        <v>0.10875662080596017</v>
      </c>
      <c r="AP137" s="168" t="str">
        <f t="shared" si="94"/>
        <v>-0.364856955714902+3.57211512072878i</v>
      </c>
      <c r="AQ137" s="98">
        <f t="shared" si="95"/>
        <v>11.103582617176089</v>
      </c>
      <c r="AR137" s="169">
        <f t="shared" si="96"/>
        <v>95.831983953512847</v>
      </c>
      <c r="AS137" s="168" t="str">
        <f t="shared" si="97"/>
        <v>12.3631321240515+60.5907431019956i</v>
      </c>
      <c r="AT137" s="190">
        <f t="shared" si="98"/>
        <v>35.82527558083769</v>
      </c>
      <c r="AU137" s="169">
        <f t="shared" si="99"/>
        <v>78.467490611568508</v>
      </c>
      <c r="AV137" s="225"/>
      <c r="AX137">
        <f t="shared" si="100"/>
        <v>0</v>
      </c>
      <c r="AY137">
        <f t="shared" si="101"/>
        <v>0</v>
      </c>
    </row>
    <row r="138" spans="14:51" x14ac:dyDescent="0.25">
      <c r="N138" s="170">
        <v>20</v>
      </c>
      <c r="O138" s="199">
        <f t="shared" si="102"/>
        <v>158.48931924611153</v>
      </c>
      <c r="P138" s="189" t="str">
        <f t="shared" si="67"/>
        <v>18.0065359477124</v>
      </c>
      <c r="Q138" s="160" t="str">
        <f t="shared" si="68"/>
        <v>1+0.312413415539471i</v>
      </c>
      <c r="R138" s="160">
        <f t="shared" si="77"/>
        <v>1.047665090670219</v>
      </c>
      <c r="S138" s="160">
        <f t="shared" si="78"/>
        <v>0.30280598521392543</v>
      </c>
      <c r="T138" s="160" t="str">
        <f t="shared" si="69"/>
        <v>1+0.000398327104812825i</v>
      </c>
      <c r="U138" s="160">
        <f t="shared" si="79"/>
        <v>1.0000000793322381</v>
      </c>
      <c r="V138" s="160">
        <f t="shared" si="80"/>
        <v>3.9832708374603904E-4</v>
      </c>
      <c r="W138" s="98" t="str">
        <f t="shared" si="70"/>
        <v>1-0.00562733582976566i</v>
      </c>
      <c r="X138" s="160">
        <f t="shared" si="81"/>
        <v>1.0000158333289233</v>
      </c>
      <c r="Y138" s="160">
        <f t="shared" si="82"/>
        <v>-5.6272764307845613E-3</v>
      </c>
      <c r="Z138" s="98" t="str">
        <f t="shared" si="71"/>
        <v>0.999999696104477+0.00168203902908019i</v>
      </c>
      <c r="AA138" s="160">
        <f t="shared" si="83"/>
        <v>1.0000011107315541</v>
      </c>
      <c r="AB138" s="160">
        <f t="shared" si="84"/>
        <v>1.6820379539397791E-3</v>
      </c>
      <c r="AC138" s="171" t="str">
        <f t="shared" si="85"/>
        <v>16.3697699386812-5.23857953078747i</v>
      </c>
      <c r="AD138" s="190">
        <f t="shared" si="86"/>
        <v>24.704282554412313</v>
      </c>
      <c r="AE138" s="169">
        <f t="shared" si="87"/>
        <v>-17.745475368673347</v>
      </c>
      <c r="AF138" s="98" t="str">
        <f t="shared" si="72"/>
        <v>-0.0000816326530612245</v>
      </c>
      <c r="AG138" s="98" t="str">
        <f t="shared" si="73"/>
        <v>0.0000234017174077535i</v>
      </c>
      <c r="AH138" s="98">
        <f t="shared" si="88"/>
        <v>2.3401717407753499E-5</v>
      </c>
      <c r="AI138" s="98">
        <f t="shared" si="89"/>
        <v>1.5707963267948966</v>
      </c>
      <c r="AJ138" s="98" t="str">
        <f t="shared" si="74"/>
        <v>1+0.0071317501851062i</v>
      </c>
      <c r="AK138" s="98">
        <f t="shared" si="90"/>
        <v>1.0000254306069936</v>
      </c>
      <c r="AL138" s="98">
        <f t="shared" si="91"/>
        <v>7.1316292774344387E-3</v>
      </c>
      <c r="AM138" s="98" t="str">
        <f t="shared" si="75"/>
        <v>1+0.111730752899997i</v>
      </c>
      <c r="AN138" s="98">
        <f t="shared" si="92"/>
        <v>1.0062225206899318</v>
      </c>
      <c r="AO138" s="98">
        <f t="shared" si="93"/>
        <v>0.11126926465442208</v>
      </c>
      <c r="AP138" s="168" t="str">
        <f t="shared" si="94"/>
        <v>-0.36485612054113+3.49092095994041i</v>
      </c>
      <c r="AQ138" s="98">
        <f t="shared" si="95"/>
        <v>10.905983393278296</v>
      </c>
      <c r="AR138" s="169">
        <f t="shared" si="96"/>
        <v>95.966646995573626</v>
      </c>
      <c r="AS138" s="168" t="str">
        <f t="shared" si="97"/>
        <v>12.3148563303627+59.0569007930939i</v>
      </c>
      <c r="AT138" s="190">
        <f t="shared" si="98"/>
        <v>35.610265947690607</v>
      </c>
      <c r="AU138" s="169">
        <f t="shared" si="99"/>
        <v>78.221171626900329</v>
      </c>
      <c r="AV138" s="225"/>
      <c r="AX138">
        <f t="shared" si="100"/>
        <v>0</v>
      </c>
      <c r="AY138">
        <f t="shared" si="101"/>
        <v>0</v>
      </c>
    </row>
    <row r="139" spans="14:51" x14ac:dyDescent="0.25">
      <c r="N139" s="170">
        <v>21</v>
      </c>
      <c r="O139" s="199">
        <f t="shared" si="102"/>
        <v>162.18100973589304</v>
      </c>
      <c r="P139" s="189" t="str">
        <f t="shared" si="67"/>
        <v>18.0065359477124</v>
      </c>
      <c r="Q139" s="160" t="str">
        <f t="shared" si="68"/>
        <v>1+0.319690458816035i</v>
      </c>
      <c r="R139" s="160">
        <f t="shared" si="77"/>
        <v>1.0498580806270945</v>
      </c>
      <c r="S139" s="160">
        <f t="shared" si="78"/>
        <v>0.30942213087108877</v>
      </c>
      <c r="T139" s="160" t="str">
        <f t="shared" si="69"/>
        <v>1+0.000407605334990444i</v>
      </c>
      <c r="U139" s="160">
        <f t="shared" si="79"/>
        <v>1.0000000830710511</v>
      </c>
      <c r="V139" s="160">
        <f t="shared" si="80"/>
        <v>4.076053124169762E-4</v>
      </c>
      <c r="W139" s="98" t="str">
        <f t="shared" si="70"/>
        <v>1-0.00575841331980958i</v>
      </c>
      <c r="X139" s="160">
        <f t="shared" si="81"/>
        <v>1.0000165795245406</v>
      </c>
      <c r="Y139" s="160">
        <f t="shared" si="82"/>
        <v>-5.7583496727116133E-3</v>
      </c>
      <c r="Z139" s="98" t="str">
        <f t="shared" si="71"/>
        <v>0.999999681782322+0.00172121875120047i</v>
      </c>
      <c r="AA139" s="160">
        <f t="shared" si="83"/>
        <v>1.0000011630786911</v>
      </c>
      <c r="AB139" s="160">
        <f t="shared" si="84"/>
        <v>1.721217599166835E-3</v>
      </c>
      <c r="AC139" s="171" t="str">
        <f t="shared" si="85"/>
        <v>16.2997842168546-5.33822794440103i</v>
      </c>
      <c r="AD139" s="190">
        <f t="shared" si="86"/>
        <v>24.686126167457729</v>
      </c>
      <c r="AE139" s="169">
        <f t="shared" si="87"/>
        <v>-18.133775760012213</v>
      </c>
      <c r="AF139" s="98" t="str">
        <f t="shared" si="72"/>
        <v>-0.0000816326530612245</v>
      </c>
      <c r="AG139" s="98" t="str">
        <f t="shared" si="73"/>
        <v>0.0000239468134306886i</v>
      </c>
      <c r="AH139" s="98">
        <f t="shared" si="88"/>
        <v>2.3946813430688601E-5</v>
      </c>
      <c r="AI139" s="98">
        <f t="shared" si="89"/>
        <v>1.5707963267948966</v>
      </c>
      <c r="AJ139" s="98" t="str">
        <f t="shared" si="74"/>
        <v>1+0.00729786998711611i</v>
      </c>
      <c r="AK139" s="98">
        <f t="shared" si="90"/>
        <v>1.0000266290986199</v>
      </c>
      <c r="AL139" s="98">
        <f t="shared" si="91"/>
        <v>7.2977404323979868E-3</v>
      </c>
      <c r="AM139" s="98" t="str">
        <f t="shared" si="75"/>
        <v>1+0.11433329646482i</v>
      </c>
      <c r="AN139" s="98">
        <f t="shared" si="92"/>
        <v>1.006514829836358</v>
      </c>
      <c r="AO139" s="98">
        <f t="shared" si="93"/>
        <v>0.11383897560179108</v>
      </c>
      <c r="AP139" s="168" t="str">
        <f t="shared" si="94"/>
        <v>-0.364855246010935+3.41157773109128i</v>
      </c>
      <c r="AQ139" s="98">
        <f t="shared" si="95"/>
        <v>10.70849588107235</v>
      </c>
      <c r="AR139" s="169">
        <f t="shared" si="96"/>
        <v>96.104363119317014</v>
      </c>
      <c r="AS139" s="168" t="str">
        <f t="shared" si="97"/>
        <v>12.2647177982421+57.5556613257312i</v>
      </c>
      <c r="AT139" s="190">
        <f t="shared" si="98"/>
        <v>35.394622048530088</v>
      </c>
      <c r="AU139" s="169">
        <f t="shared" si="99"/>
        <v>77.970587359304801</v>
      </c>
      <c r="AV139" s="225"/>
      <c r="AX139">
        <f t="shared" si="100"/>
        <v>0</v>
      </c>
      <c r="AY139">
        <f t="shared" si="101"/>
        <v>0</v>
      </c>
    </row>
    <row r="140" spans="14:51" x14ac:dyDescent="0.25">
      <c r="N140" s="170">
        <v>22</v>
      </c>
      <c r="O140" s="199">
        <f t="shared" si="102"/>
        <v>165.95869074375622</v>
      </c>
      <c r="P140" s="189" t="str">
        <f t="shared" si="67"/>
        <v>18.0065359477124</v>
      </c>
      <c r="Q140" s="160" t="str">
        <f t="shared" si="68"/>
        <v>1+0.327137006205468i</v>
      </c>
      <c r="R140" s="160">
        <f t="shared" si="77"/>
        <v>1.0521495239884284</v>
      </c>
      <c r="S140" s="160">
        <f t="shared" si="78"/>
        <v>0.31616353230187633</v>
      </c>
      <c r="T140" s="160" t="str">
        <f t="shared" si="69"/>
        <v>1+0.000417099682911972i</v>
      </c>
      <c r="U140" s="160">
        <f t="shared" si="79"/>
        <v>1.000000086986069</v>
      </c>
      <c r="V140" s="160">
        <f t="shared" si="80"/>
        <v>4.1709965872406562E-4</v>
      </c>
      <c r="W140" s="98" t="str">
        <f t="shared" si="70"/>
        <v>1-0.00589254399681732i</v>
      </c>
      <c r="X140" s="160">
        <f t="shared" si="81"/>
        <v>1.0000173608866771</v>
      </c>
      <c r="Y140" s="160">
        <f t="shared" si="82"/>
        <v>-5.8924757977870711E-3</v>
      </c>
      <c r="Z140" s="98" t="str">
        <f t="shared" si="71"/>
        <v>0.999999666785185+0.00176131108628568i</v>
      </c>
      <c r="AA140" s="160">
        <f t="shared" si="83"/>
        <v>1.0000012178928703</v>
      </c>
      <c r="AB140" s="160">
        <f t="shared" si="84"/>
        <v>1.7613098518594792E-3</v>
      </c>
      <c r="AC140" s="171" t="str">
        <f t="shared" si="85"/>
        <v>16.2271235357993-5.43880123677772i</v>
      </c>
      <c r="AD140" s="190">
        <f t="shared" si="86"/>
        <v>24.667195157138298</v>
      </c>
      <c r="AE140" s="169">
        <f t="shared" si="87"/>
        <v>-18.529467601786855</v>
      </c>
      <c r="AF140" s="98" t="str">
        <f t="shared" si="72"/>
        <v>-0.0000816326530612245</v>
      </c>
      <c r="AG140" s="98" t="str">
        <f t="shared" si="73"/>
        <v>0.0000245046063710784i</v>
      </c>
      <c r="AH140" s="98">
        <f t="shared" si="88"/>
        <v>2.4504606371078401E-5</v>
      </c>
      <c r="AI140" s="98">
        <f t="shared" si="89"/>
        <v>1.5707963267948966</v>
      </c>
      <c r="AJ140" s="98" t="str">
        <f t="shared" si="74"/>
        <v>1+0.00746785921639198i</v>
      </c>
      <c r="AK140" s="98">
        <f t="shared" si="90"/>
        <v>1.0000278840718773</v>
      </c>
      <c r="AL140" s="98">
        <f t="shared" si="91"/>
        <v>7.4677203962194823E-3</v>
      </c>
      <c r="AM140" s="98" t="str">
        <f t="shared" si="75"/>
        <v>1+0.116996461056808i</v>
      </c>
      <c r="AN140" s="98">
        <f t="shared" si="92"/>
        <v>1.0068208241290091</v>
      </c>
      <c r="AO140" s="98">
        <f t="shared" si="93"/>
        <v>0.11646698031839146</v>
      </c>
      <c r="AP140" s="168" t="str">
        <f t="shared" si="94"/>
        <v>-0.364854330269888+3.33404336531103i</v>
      </c>
      <c r="AQ140" s="98">
        <f t="shared" si="95"/>
        <v>10.511125208902408</v>
      </c>
      <c r="AR140" s="169">
        <f t="shared" si="96"/>
        <v>96.245197563589912</v>
      </c>
      <c r="AS140" s="168" t="str">
        <f t="shared" si="97"/>
        <v>12.2126628888634+56.0863037453297i</v>
      </c>
      <c r="AT140" s="190">
        <f t="shared" si="98"/>
        <v>35.178320366040701</v>
      </c>
      <c r="AU140" s="169">
        <f t="shared" si="99"/>
        <v>77.715729961803049</v>
      </c>
      <c r="AV140" s="225"/>
      <c r="AX140">
        <f t="shared" si="100"/>
        <v>0</v>
      </c>
      <c r="AY140">
        <f t="shared" si="101"/>
        <v>0</v>
      </c>
    </row>
    <row r="141" spans="14:51" x14ac:dyDescent="0.25">
      <c r="N141" s="170">
        <v>23</v>
      </c>
      <c r="O141" s="199">
        <f t="shared" si="102"/>
        <v>169.82436524617444</v>
      </c>
      <c r="P141" s="189" t="str">
        <f t="shared" si="67"/>
        <v>18.0065359477124</v>
      </c>
      <c r="Q141" s="160" t="str">
        <f t="shared" si="68"/>
        <v>1+0.33475700596576i</v>
      </c>
      <c r="R141" s="160">
        <f t="shared" si="77"/>
        <v>1.0545436231105663</v>
      </c>
      <c r="S141" s="160">
        <f t="shared" si="78"/>
        <v>0.32303131205134739</v>
      </c>
      <c r="T141" s="160" t="str">
        <f t="shared" si="69"/>
        <v>1+0.000426815182606344i</v>
      </c>
      <c r="U141" s="160">
        <f t="shared" si="79"/>
        <v>1.000000091085596</v>
      </c>
      <c r="V141" s="160">
        <f t="shared" si="80"/>
        <v>4.2681515668853545E-4</v>
      </c>
      <c r="W141" s="98" t="str">
        <f t="shared" si="70"/>
        <v>1-0.00602979897864916i</v>
      </c>
      <c r="X141" s="160">
        <f t="shared" si="81"/>
        <v>1.0000181790726221</v>
      </c>
      <c r="Y141" s="160">
        <f t="shared" si="82"/>
        <v>-6.029725902143397E-3</v>
      </c>
      <c r="Z141" s="98" t="str">
        <f t="shared" si="71"/>
        <v>0.999999651081255+0.00180233729182254i</v>
      </c>
      <c r="AA141" s="160">
        <f t="shared" si="83"/>
        <v>1.0000012752903595</v>
      </c>
      <c r="AB141" s="160">
        <f t="shared" si="84"/>
        <v>1.8023359691111233E-3</v>
      </c>
      <c r="AC141" s="171" t="str">
        <f t="shared" si="85"/>
        <v>16.151713082193-5.54024300120239i</v>
      </c>
      <c r="AD141" s="190">
        <f t="shared" si="86"/>
        <v>24.647460064994018</v>
      </c>
      <c r="AE141" s="169">
        <f t="shared" si="87"/>
        <v>-18.932620214113474</v>
      </c>
      <c r="AF141" s="98" t="str">
        <f t="shared" si="72"/>
        <v>-0.0000816326530612245</v>
      </c>
      <c r="AG141" s="98" t="str">
        <f t="shared" si="73"/>
        <v>0.0000250753919781228i</v>
      </c>
      <c r="AH141" s="98">
        <f t="shared" si="88"/>
        <v>2.5075391978122801E-5</v>
      </c>
      <c r="AI141" s="98">
        <f t="shared" si="89"/>
        <v>1.5707963267948966</v>
      </c>
      <c r="AJ141" s="98" t="str">
        <f t="shared" si="74"/>
        <v>1+0.00764180800347313i</v>
      </c>
      <c r="AK141" s="98">
        <f t="shared" si="90"/>
        <v>1.0000291981885139</v>
      </c>
      <c r="AL141" s="98">
        <f t="shared" si="91"/>
        <v>7.6416592552129041E-3</v>
      </c>
      <c r="AM141" s="98" t="str">
        <f t="shared" si="75"/>
        <v>1+0.11972165872108i</v>
      </c>
      <c r="AN141" s="98">
        <f t="shared" si="92"/>
        <v>1.0071411398443253</v>
      </c>
      <c r="AO141" s="98">
        <f t="shared" si="93"/>
        <v>0.11915452692811235</v>
      </c>
      <c r="AP141" s="168" t="str">
        <f t="shared" si="94"/>
        <v>-0.364853371376227+3.25827675280965i</v>
      </c>
      <c r="AQ141" s="98">
        <f t="shared" si="95"/>
        <v>10.31387673390512</v>
      </c>
      <c r="AR141" s="169">
        <f t="shared" si="96"/>
        <v>96.389216679057967</v>
      </c>
      <c r="AS141" s="168" t="str">
        <f t="shared" si="97"/>
        <v>12.1586380041945+54.6481275909932i</v>
      </c>
      <c r="AT141" s="190">
        <f t="shared" si="98"/>
        <v>34.96133679889914</v>
      </c>
      <c r="AU141" s="169">
        <f t="shared" si="99"/>
        <v>77.456596464944482</v>
      </c>
      <c r="AV141" s="225"/>
      <c r="AX141">
        <f t="shared" si="100"/>
        <v>0</v>
      </c>
      <c r="AY141">
        <f t="shared" si="101"/>
        <v>0</v>
      </c>
    </row>
    <row r="142" spans="14:51" x14ac:dyDescent="0.25">
      <c r="N142" s="170">
        <v>24</v>
      </c>
      <c r="O142" s="199">
        <f t="shared" si="102"/>
        <v>173.78008287493768</v>
      </c>
      <c r="P142" s="189" t="str">
        <f t="shared" si="67"/>
        <v>18.0065359477124</v>
      </c>
      <c r="Q142" s="160" t="str">
        <f t="shared" si="68"/>
        <v>1+0.34255449832165i</v>
      </c>
      <c r="R142" s="160">
        <f t="shared" si="77"/>
        <v>1.0570447409265122</v>
      </c>
      <c r="S142" s="160">
        <f t="shared" si="78"/>
        <v>0.33002651920250325</v>
      </c>
      <c r="T142" s="160" t="str">
        <f t="shared" si="69"/>
        <v>1+0.000436756985360104i</v>
      </c>
      <c r="U142" s="160">
        <f t="shared" si="79"/>
        <v>1.0000000953783277</v>
      </c>
      <c r="V142" s="160">
        <f t="shared" si="80"/>
        <v>4.3675695758867199E-4</v>
      </c>
      <c r="W142" s="98" t="str">
        <f t="shared" si="70"/>
        <v>1-0.00617025103971336i</v>
      </c>
      <c r="X142" s="160">
        <f t="shared" si="81"/>
        <v>1.0000190358177654</v>
      </c>
      <c r="Y142" s="160">
        <f t="shared" si="82"/>
        <v>-6.1701727369071774E-3</v>
      </c>
      <c r="Z142" s="98" t="str">
        <f t="shared" si="71"/>
        <v>0.999999634637221+0.00184431912044828i</v>
      </c>
      <c r="AA142" s="160">
        <f t="shared" si="83"/>
        <v>1.0000013353929051</v>
      </c>
      <c r="AB142" s="160">
        <f t="shared" si="84"/>
        <v>1.8443177031375619E-3</v>
      </c>
      <c r="AC142" s="171" t="str">
        <f t="shared" si="85"/>
        <v>16.0734783252864-5.64249215668783i</v>
      </c>
      <c r="AD142" s="190">
        <f t="shared" si="86"/>
        <v>24.626890621622202</v>
      </c>
      <c r="AE142" s="169">
        <f t="shared" si="87"/>
        <v>-19.343298824516317</v>
      </c>
      <c r="AF142" s="98" t="str">
        <f t="shared" si="72"/>
        <v>-0.0000816326530612245</v>
      </c>
      <c r="AG142" s="98" t="str">
        <f t="shared" si="73"/>
        <v>0.0000256594728899061i</v>
      </c>
      <c r="AH142" s="98">
        <f t="shared" si="88"/>
        <v>2.56594728899061E-5</v>
      </c>
      <c r="AI142" s="98">
        <f t="shared" si="89"/>
        <v>1.5707963267948966</v>
      </c>
      <c r="AJ142" s="98" t="str">
        <f t="shared" si="74"/>
        <v>1+0.00781980857830907i</v>
      </c>
      <c r="AK142" s="98">
        <f t="shared" si="90"/>
        <v>1.0000305742357087</v>
      </c>
      <c r="AL142" s="98">
        <f t="shared" si="91"/>
        <v>7.8196491919398006E-3</v>
      </c>
      <c r="AM142" s="98" t="str">
        <f t="shared" si="75"/>
        <v>1+0.122510334393509i</v>
      </c>
      <c r="AN142" s="98">
        <f t="shared" si="92"/>
        <v>1.0074764424209677</v>
      </c>
      <c r="AO142" s="98">
        <f t="shared" si="93"/>
        <v>0.12190288502494623</v>
      </c>
      <c r="AP142" s="168" t="str">
        <f t="shared" si="94"/>
        <v>-0.3648523672967+3.18423772108016i</v>
      </c>
      <c r="AQ142" s="98">
        <f t="shared" si="95"/>
        <v>10.116756051586183</v>
      </c>
      <c r="AR142" s="169">
        <f t="shared" si="96"/>
        <v>96.536487926426915</v>
      </c>
      <c r="AS142" s="168" t="str">
        <f t="shared" si="97"/>
        <v>12.1025897485514+53.2404526131619i</v>
      </c>
      <c r="AT142" s="190">
        <f t="shared" si="98"/>
        <v>34.743646673208382</v>
      </c>
      <c r="AU142" s="169">
        <f t="shared" si="99"/>
        <v>77.19318910191059</v>
      </c>
      <c r="AV142" s="225"/>
      <c r="AX142">
        <f t="shared" si="100"/>
        <v>0</v>
      </c>
      <c r="AY142">
        <f t="shared" si="101"/>
        <v>0</v>
      </c>
    </row>
    <row r="143" spans="14:51" x14ac:dyDescent="0.25">
      <c r="N143" s="170">
        <v>25</v>
      </c>
      <c r="O143" s="199">
        <f t="shared" si="102"/>
        <v>177.82794100389242</v>
      </c>
      <c r="P143" s="189" t="str">
        <f t="shared" si="67"/>
        <v>18.0065359477124</v>
      </c>
      <c r="Q143" s="160" t="str">
        <f t="shared" si="68"/>
        <v>1+0.350533617606795i</v>
      </c>
      <c r="R143" s="160">
        <f t="shared" si="77"/>
        <v>1.0596574055195891</v>
      </c>
      <c r="S143" s="160">
        <f t="shared" si="78"/>
        <v>0.33715012343652478</v>
      </c>
      <c r="T143" s="160" t="str">
        <f t="shared" si="69"/>
        <v>1+0.000446930362448664i</v>
      </c>
      <c r="U143" s="160">
        <f t="shared" si="79"/>
        <v>1.0000000998733696</v>
      </c>
      <c r="V143" s="160">
        <f t="shared" si="80"/>
        <v>4.4693033269103862E-4</v>
      </c>
      <c r="W143" s="98" t="str">
        <f t="shared" si="70"/>
        <v>1-0.00631397464955174i</v>
      </c>
      <c r="X143" s="160">
        <f t="shared" si="81"/>
        <v>1.0000199329392765</v>
      </c>
      <c r="Y143" s="160">
        <f t="shared" si="82"/>
        <v>-6.3138907466735849E-3</v>
      </c>
      <c r="Z143" s="98" t="str">
        <f t="shared" si="71"/>
        <v>0.999999617418204+0.00188727883148414i</v>
      </c>
      <c r="AA143" s="160">
        <f t="shared" si="83"/>
        <v>1.0000013983279934</v>
      </c>
      <c r="AB143" s="160">
        <f t="shared" si="84"/>
        <v>1.8872773128084557E-3</v>
      </c>
      <c r="AC143" s="171" t="str">
        <f t="shared" si="85"/>
        <v>15.9923452608688-5.74548280128197i</v>
      </c>
      <c r="AD143" s="190">
        <f t="shared" si="86"/>
        <v>24.605455751085611</v>
      </c>
      <c r="AE143" s="169">
        <f t="shared" si="87"/>
        <v>-19.761564230313795</v>
      </c>
      <c r="AF143" s="98" t="str">
        <f t="shared" si="72"/>
        <v>-0.0000816326530612245</v>
      </c>
      <c r="AG143" s="98" t="str">
        <f t="shared" si="73"/>
        <v>0.0000262571587938589i</v>
      </c>
      <c r="AH143" s="98">
        <f t="shared" si="88"/>
        <v>2.6257158793858901E-5</v>
      </c>
      <c r="AI143" s="98">
        <f t="shared" si="89"/>
        <v>1.5707963267948966</v>
      </c>
      <c r="AJ143" s="98" t="str">
        <f t="shared" si="74"/>
        <v>1+0.00800195531916062i</v>
      </c>
      <c r="AK143" s="98">
        <f t="shared" si="90"/>
        <v>1.0000320151319806</v>
      </c>
      <c r="AL143" s="98">
        <f t="shared" si="91"/>
        <v>8.0017845338842507E-3</v>
      </c>
      <c r="AM143" s="98" t="str">
        <f t="shared" si="75"/>
        <v>1+0.12536396666685i</v>
      </c>
      <c r="AN143" s="98">
        <f t="shared" si="92"/>
        <v>1.0078274277565813</v>
      </c>
      <c r="AO143" s="98">
        <f t="shared" si="93"/>
        <v>0.12471334565842952</v>
      </c>
      <c r="AP143" s="168" t="str">
        <f t="shared" si="94"/>
        <v>-0.364851315902287+3.11188701359854i</v>
      </c>
      <c r="AQ143" s="98">
        <f t="shared" si="95"/>
        <v>9.9197690057382708</v>
      </c>
      <c r="AR143" s="169">
        <f t="shared" si="96"/>
        <v>96.687079872819552</v>
      </c>
      <c r="AS143" s="168" t="str">
        <f t="shared" si="97"/>
        <v>12.0444651033714+51.8626184948235i</v>
      </c>
      <c r="AT143" s="190">
        <f t="shared" si="98"/>
        <v>34.525224756823889</v>
      </c>
      <c r="AU143" s="169">
        <f t="shared" si="99"/>
        <v>76.925515642505815</v>
      </c>
      <c r="AV143" s="225"/>
      <c r="AX143">
        <f t="shared" si="100"/>
        <v>0</v>
      </c>
      <c r="AY143">
        <f t="shared" si="101"/>
        <v>0</v>
      </c>
    </row>
    <row r="144" spans="14:51" x14ac:dyDescent="0.25">
      <c r="N144" s="170">
        <v>26</v>
      </c>
      <c r="O144" s="199">
        <f t="shared" si="102"/>
        <v>181.9700858609983</v>
      </c>
      <c r="P144" s="189" t="str">
        <f t="shared" si="67"/>
        <v>18.0065359477124</v>
      </c>
      <c r="Q144" s="160" t="str">
        <f t="shared" si="68"/>
        <v>1+0.358698594455853i</v>
      </c>
      <c r="R144" s="160">
        <f t="shared" si="77"/>
        <v>1.0623863147012975</v>
      </c>
      <c r="S144" s="160">
        <f t="shared" si="78"/>
        <v>0.34440300891509407</v>
      </c>
      <c r="T144" s="160" t="str">
        <f t="shared" si="69"/>
        <v>1+0.000457340707931212i</v>
      </c>
      <c r="U144" s="160">
        <f t="shared" si="79"/>
        <v>1.000000104580256</v>
      </c>
      <c r="V144" s="160">
        <f t="shared" si="80"/>
        <v>4.5734067604534208E-4</v>
      </c>
      <c r="W144" s="98" t="str">
        <f t="shared" si="70"/>
        <v>1-0.00646104601232458i</v>
      </c>
      <c r="X144" s="160">
        <f t="shared" si="81"/>
        <v>1.0000208723399595</v>
      </c>
      <c r="Y144" s="160">
        <f t="shared" si="82"/>
        <v>-6.460956108872218E-3</v>
      </c>
      <c r="Z144" s="98" t="str">
        <f t="shared" si="71"/>
        <v>0.999999599387679+0.00193123920273751i</v>
      </c>
      <c r="AA144" s="160">
        <f t="shared" si="83"/>
        <v>1.0000014642291164</v>
      </c>
      <c r="AB144" s="160">
        <f t="shared" si="84"/>
        <v>1.9312375754473225E-3</v>
      </c>
      <c r="AC144" s="171" t="str">
        <f t="shared" si="85"/>
        <v>15.9082406740166-5.84914407457389i</v>
      </c>
      <c r="AD144" s="190">
        <f t="shared" si="86"/>
        <v>24.583123578075558</v>
      </c>
      <c r="AE144" s="169">
        <f t="shared" si="87"/>
        <v>-20.187472450872157</v>
      </c>
      <c r="AF144" s="98" t="str">
        <f t="shared" si="72"/>
        <v>-0.0000816326530612245</v>
      </c>
      <c r="AG144" s="98" t="str">
        <f t="shared" si="73"/>
        <v>0.0000268687665909588i</v>
      </c>
      <c r="AH144" s="98">
        <f t="shared" si="88"/>
        <v>2.68687665909588E-5</v>
      </c>
      <c r="AI144" s="98">
        <f t="shared" si="89"/>
        <v>1.5707963267948966</v>
      </c>
      <c r="AJ144" s="98" t="str">
        <f t="shared" si="74"/>
        <v>1+0.00818834480264071i</v>
      </c>
      <c r="AK144" s="98">
        <f t="shared" si="90"/>
        <v>1.0000335239333764</v>
      </c>
      <c r="AL144" s="98">
        <f t="shared" si="91"/>
        <v>8.1881618032513554E-3</v>
      </c>
      <c r="AM144" s="98" t="str">
        <f t="shared" si="75"/>
        <v>1+0.128284068574705i</v>
      </c>
      <c r="AN144" s="98">
        <f t="shared" si="92"/>
        <v>1.0081948235584626</v>
      </c>
      <c r="AO144" s="98">
        <f t="shared" si="93"/>
        <v>0.12758722128534716</v>
      </c>
      <c r="AP144" s="168" t="str">
        <f t="shared" si="94"/>
        <v>-0.364850214963674+3.04118626900905i</v>
      </c>
      <c r="AQ144" s="98">
        <f t="shared" si="95"/>
        <v>9.7229216987051039</v>
      </c>
      <c r="AR144" s="169">
        <f t="shared" si="96"/>
        <v>96.841062186155554</v>
      </c>
      <c r="AS144" s="168" t="str">
        <f t="shared" si="97"/>
        <v>11.9842116154409+50.5139845748723i</v>
      </c>
      <c r="AT144" s="190">
        <f t="shared" si="98"/>
        <v>34.306045276780651</v>
      </c>
      <c r="AU144" s="169">
        <f t="shared" si="99"/>
        <v>76.653589735283433</v>
      </c>
      <c r="AV144" s="225"/>
      <c r="AX144">
        <f t="shared" si="100"/>
        <v>0</v>
      </c>
      <c r="AY144">
        <f t="shared" si="101"/>
        <v>0</v>
      </c>
    </row>
    <row r="145" spans="14:51" x14ac:dyDescent="0.25">
      <c r="N145" s="170">
        <v>27</v>
      </c>
      <c r="O145" s="199">
        <f t="shared" si="102"/>
        <v>186.20871366628685</v>
      </c>
      <c r="P145" s="189" t="str">
        <f t="shared" si="67"/>
        <v>18.0065359477124</v>
      </c>
      <c r="Q145" s="160" t="str">
        <f t="shared" si="68"/>
        <v>1+0.36705375804763i</v>
      </c>
      <c r="R145" s="160">
        <f t="shared" si="77"/>
        <v>1.0652363405821679</v>
      </c>
      <c r="S145" s="160">
        <f t="shared" si="78"/>
        <v>0.35178596799741135</v>
      </c>
      <c r="T145" s="160" t="str">
        <f t="shared" si="69"/>
        <v>1+0.000467993541510728i</v>
      </c>
      <c r="U145" s="160">
        <f t="shared" si="79"/>
        <v>1.0000001095089714</v>
      </c>
      <c r="V145" s="160">
        <f t="shared" si="80"/>
        <v>4.6799350734440302E-4</v>
      </c>
      <c r="W145" s="98" t="str">
        <f t="shared" si="70"/>
        <v>1-0.00661154310721525i</v>
      </c>
      <c r="X145" s="160">
        <f t="shared" si="81"/>
        <v>1.0000218560122867</v>
      </c>
      <c r="Y145" s="160">
        <f t="shared" si="82"/>
        <v>-6.6114467740441465E-3</v>
      </c>
      <c r="Z145" s="98" t="str">
        <f t="shared" si="71"/>
        <v>0.999999580507402+0.00197622354257917i</v>
      </c>
      <c r="AA145" s="160">
        <f t="shared" si="83"/>
        <v>1.0000015332360599</v>
      </c>
      <c r="AB145" s="160">
        <f t="shared" si="84"/>
        <v>1.9762217989064603E-3</v>
      </c>
      <c r="AC145" s="171" t="str">
        <f t="shared" si="85"/>
        <v>15.8210924208266-5.95340003119944i</v>
      </c>
      <c r="AD145" s="190">
        <f t="shared" si="86"/>
        <v>24.559861438034236</v>
      </c>
      <c r="AE145" s="169">
        <f t="shared" si="87"/>
        <v>-20.621074370452806</v>
      </c>
      <c r="AF145" s="98" t="str">
        <f t="shared" si="72"/>
        <v>-0.0000816326530612245</v>
      </c>
      <c r="AG145" s="98" t="str">
        <f t="shared" si="73"/>
        <v>0.0000274946205637554i</v>
      </c>
      <c r="AH145" s="98">
        <f t="shared" si="88"/>
        <v>2.74946205637554E-5</v>
      </c>
      <c r="AI145" s="98">
        <f t="shared" si="89"/>
        <v>1.5707963267948966</v>
      </c>
      <c r="AJ145" s="98" t="str">
        <f t="shared" si="74"/>
        <v>1+0.00837907585492077i</v>
      </c>
      <c r="AK145" s="98">
        <f t="shared" si="90"/>
        <v>1.0000351038399515</v>
      </c>
      <c r="AL145" s="98">
        <f t="shared" si="91"/>
        <v>8.3788797679139795E-3</v>
      </c>
      <c r="AM145" s="98" t="str">
        <f t="shared" si="75"/>
        <v>1+0.131272188393759i</v>
      </c>
      <c r="AN145" s="98">
        <f t="shared" si="92"/>
        <v>1.0085793907500225</v>
      </c>
      <c r="AO145" s="98">
        <f t="shared" si="93"/>
        <v>0.13052584568494174</v>
      </c>
      <c r="AP145" s="168" t="str">
        <f t="shared" si="94"/>
        <v>-0.364849062146545+2.97209800078437i</v>
      </c>
      <c r="AQ145" s="98">
        <f t="shared" si="95"/>
        <v>9.5262205019984769</v>
      </c>
      <c r="AR145" s="169">
        <f t="shared" si="96"/>
        <v>96.998505627373987</v>
      </c>
      <c r="AS145" s="168" t="str">
        <f t="shared" si="97"/>
        <v>11.9217775987251+49.1939295721298i</v>
      </c>
      <c r="AT145" s="190">
        <f t="shared" si="98"/>
        <v>34.086081940032713</v>
      </c>
      <c r="AU145" s="169">
        <f t="shared" si="99"/>
        <v>76.377431256921156</v>
      </c>
      <c r="AV145" s="225"/>
      <c r="AX145">
        <f t="shared" si="100"/>
        <v>0</v>
      </c>
      <c r="AY145">
        <f t="shared" si="101"/>
        <v>0</v>
      </c>
    </row>
    <row r="146" spans="14:51" x14ac:dyDescent="0.25">
      <c r="N146" s="170">
        <v>28</v>
      </c>
      <c r="O146" s="199">
        <f t="shared" si="102"/>
        <v>190.54607179632498</v>
      </c>
      <c r="P146" s="189" t="str">
        <f t="shared" si="67"/>
        <v>18.0065359477124</v>
      </c>
      <c r="Q146" s="160" t="str">
        <f t="shared" si="68"/>
        <v>1+0.375603538400458i</v>
      </c>
      <c r="R146" s="160">
        <f t="shared" si="77"/>
        <v>1.0682125341236848</v>
      </c>
      <c r="S146" s="160">
        <f t="shared" si="78"/>
        <v>0.35929969480683183</v>
      </c>
      <c r="T146" s="160" t="str">
        <f t="shared" si="69"/>
        <v>1+0.000478894511460584i</v>
      </c>
      <c r="U146" s="160">
        <f t="shared" si="79"/>
        <v>1.00000011466997</v>
      </c>
      <c r="V146" s="160">
        <f t="shared" si="80"/>
        <v>4.7889447485070742E-4</v>
      </c>
      <c r="W146" s="98" t="str">
        <f t="shared" si="70"/>
        <v>1-0.00676554572977554i</v>
      </c>
      <c r="X146" s="160">
        <f t="shared" si="81"/>
        <v>1.0000228860426255</v>
      </c>
      <c r="Y146" s="160">
        <f t="shared" si="82"/>
        <v>-6.7654425070505534E-3</v>
      </c>
      <c r="Z146" s="98" t="str">
        <f t="shared" si="71"/>
        <v>0.999999560737325+0.00202225570230152i</v>
      </c>
      <c r="AA146" s="160">
        <f t="shared" si="83"/>
        <v>1.0000016054951952</v>
      </c>
      <c r="AB146" s="160">
        <f t="shared" si="84"/>
        <v>2.0222538339227081E-3</v>
      </c>
      <c r="AC146" s="171" t="str">
        <f t="shared" si="85"/>
        <v>15.7308297291973-6.05816952725893i</v>
      </c>
      <c r="AD146" s="190">
        <f t="shared" si="86"/>
        <v>24.535635890442951</v>
      </c>
      <c r="AE146" s="169">
        <f t="shared" si="87"/>
        <v>-21.062415372509175</v>
      </c>
      <c r="AF146" s="98" t="str">
        <f t="shared" si="72"/>
        <v>-0.0000816326530612245</v>
      </c>
      <c r="AG146" s="98" t="str">
        <f t="shared" si="73"/>
        <v>0.0000281350525483092i</v>
      </c>
      <c r="AH146" s="98">
        <f t="shared" si="88"/>
        <v>2.8135052548309201E-5</v>
      </c>
      <c r="AI146" s="98">
        <f t="shared" si="89"/>
        <v>1.5707963267948966</v>
      </c>
      <c r="AJ146" s="98" t="str">
        <f t="shared" si="74"/>
        <v>1+0.00857424960412936i</v>
      </c>
      <c r="AK146" s="98">
        <f t="shared" si="90"/>
        <v>1.0000367582025542</v>
      </c>
      <c r="AL146" s="98">
        <f t="shared" si="91"/>
        <v>8.5740394935331886E-3</v>
      </c>
      <c r="AM146" s="98" t="str">
        <f t="shared" si="75"/>
        <v>1+0.134329910464694i</v>
      </c>
      <c r="AN146" s="98">
        <f t="shared" si="92"/>
        <v>1.0089819249349576</v>
      </c>
      <c r="AO146" s="98">
        <f t="shared" si="93"/>
        <v>0.13353057383466885</v>
      </c>
      <c r="AP146" s="168" t="str">
        <f t="shared" si="94"/>
        <v>-0.364847855006632+2.90458557734942i</v>
      </c>
      <c r="AQ146" s="98">
        <f t="shared" si="95"/>
        <v>9.329672067272277</v>
      </c>
      <c r="AR146" s="169">
        <f t="shared" si="96"/>
        <v>97.159482040328612</v>
      </c>
      <c r="AS146" s="168" t="str">
        <f t="shared" si="97"/>
        <v>11.8571123498418+47.9018513084529i</v>
      </c>
      <c r="AT146" s="190">
        <f t="shared" si="98"/>
        <v>33.865307957715217</v>
      </c>
      <c r="AU146" s="169">
        <f t="shared" si="99"/>
        <v>76.09706666781949</v>
      </c>
      <c r="AV146" s="225"/>
      <c r="AX146">
        <f t="shared" si="100"/>
        <v>0</v>
      </c>
      <c r="AY146">
        <f t="shared" si="101"/>
        <v>0</v>
      </c>
    </row>
    <row r="147" spans="14:51" x14ac:dyDescent="0.25">
      <c r="N147" s="170">
        <v>29</v>
      </c>
      <c r="O147" s="199">
        <f t="shared" si="102"/>
        <v>194.98445997580458</v>
      </c>
      <c r="P147" s="189" t="str">
        <f t="shared" ref="P147:P210" si="103">COMPLEX(Adc,0)</f>
        <v>18.0065359477124</v>
      </c>
      <c r="Q147" s="160" t="str">
        <f t="shared" ref="Q147:Q210" si="104">IMSUM(COMPLEX(1,0),IMDIV(COMPLEX(0,2*PI()*O147),COMPLEX(wp_lf,0)))</f>
        <v>1+0.384352468721042i</v>
      </c>
      <c r="R147" s="160">
        <f t="shared" si="77"/>
        <v>1.071320129658712</v>
      </c>
      <c r="S147" s="160">
        <f t="shared" si="78"/>
        <v>0.36694477866454672</v>
      </c>
      <c r="T147" s="160" t="str">
        <f t="shared" ref="T147:T210" si="105">IMSUM(COMPLEX(1,0),IMDIV(COMPLEX(0,2*PI()*O147),COMPLEX(wz_esr,0)))</f>
        <v>1+0.000490049397619328i</v>
      </c>
      <c r="U147" s="160">
        <f t="shared" si="79"/>
        <v>1.0000001200741988</v>
      </c>
      <c r="V147" s="160">
        <f t="shared" si="80"/>
        <v>4.900493583911387E-4</v>
      </c>
      <c r="W147" s="98" t="str">
        <f t="shared" ref="W147:W210" si="106">IMSUB(COMPLEX(1,0),IMDIV(COMPLEX(0,2*PI()*O147),COMPLEX(wz_rhp,0)))</f>
        <v>1-0.00692313553423425i</v>
      </c>
      <c r="X147" s="160">
        <f t="shared" si="81"/>
        <v>1.0000239646156612</v>
      </c>
      <c r="Y147" s="160">
        <f t="shared" si="82"/>
        <v>-6.92302492923484E-3</v>
      </c>
      <c r="Z147" s="98" t="str">
        <f t="shared" ref="Z147:Z210" si="107">IF(Dc_Mode_Loop="CCM",IMSUM(COMPLEX(1,0),IMDIV(COMPLEX(0,2*PI()*O147),COMPLEX(Q*(wsl/2),0)),IMDIV(IMPOWER(COMPLEX(0,2*PI()*O147),2),IMPOWER(COMPLEX(wsl/2,0),2))),COMPLEX(1,0))</f>
        <v>0.999999540035513+0.00206936008876493i</v>
      </c>
      <c r="AA147" s="160">
        <f t="shared" si="83"/>
        <v>1.000001681159794</v>
      </c>
      <c r="AB147" s="160">
        <f t="shared" si="84"/>
        <v>2.0693580867611411E-3</v>
      </c>
      <c r="AC147" s="171" t="str">
        <f t="shared" si="85"/>
        <v>15.6373835185619-6.16336612166586i</v>
      </c>
      <c r="AD147" s="190">
        <f t="shared" si="86"/>
        <v>24.51041273548363</v>
      </c>
      <c r="AE147" s="169">
        <f t="shared" si="87"/>
        <v>-21.511534966433398</v>
      </c>
      <c r="AF147" s="98" t="str">
        <f t="shared" ref="AF147:AF210" si="108">COMPLEX(Adc_ea,0)</f>
        <v>-0.0000816326530612245</v>
      </c>
      <c r="AG147" s="98" t="str">
        <f t="shared" ref="AG147:AG210" si="109">COMPLEX(0,2*PI()*O147*wp0_ea)</f>
        <v>0.0000287904021101356i</v>
      </c>
      <c r="AH147" s="98">
        <f t="shared" si="88"/>
        <v>2.8790402110135601E-5</v>
      </c>
      <c r="AI147" s="98">
        <f t="shared" si="89"/>
        <v>1.5707963267948966</v>
      </c>
      <c r="AJ147" s="98" t="str">
        <f t="shared" ref="AJ147:AJ210" si="110">IMSUM(COMPLEX(1,0),IMDIV(COMPLEX(0,2*PI()*O147),COMPLEX(wp1_ea,0)))</f>
        <v>1+0.00877396953397155i</v>
      </c>
      <c r="AK147" s="98">
        <f t="shared" si="90"/>
        <v>1.0000384905299311</v>
      </c>
      <c r="AL147" s="98">
        <f t="shared" si="91"/>
        <v>8.7737443968795206E-3</v>
      </c>
      <c r="AM147" s="98" t="str">
        <f t="shared" ref="AM147:AM210" si="111">IMSUM(COMPLEX(1,0),IMDIV(COMPLEX(0,2*PI()*O147),COMPLEX(wz_ea,0)))</f>
        <v>1+0.137458856032222i</v>
      </c>
      <c r="AN147" s="98">
        <f t="shared" si="92"/>
        <v>1.0094032579210783</v>
      </c>
      <c r="AO147" s="98">
        <f t="shared" si="93"/>
        <v>0.13660278174339666</v>
      </c>
      <c r="AP147" s="168" t="str">
        <f t="shared" si="94"/>
        <v>-0.364846590984523+2.83861320265854i</v>
      </c>
      <c r="AQ147" s="98">
        <f t="shared" si="95"/>
        <v>9.1332833376583249</v>
      </c>
      <c r="AR147" s="169">
        <f t="shared" si="96"/>
        <v>97.324064339175621</v>
      </c>
      <c r="AS147" s="168" t="str">
        <f t="shared" si="97"/>
        <v>11.7901663771142+46.6371664293042i</v>
      </c>
      <c r="AT147" s="190">
        <f t="shared" si="98"/>
        <v>33.643696073141967</v>
      </c>
      <c r="AU147" s="169">
        <f t="shared" si="99"/>
        <v>75.812529372742233</v>
      </c>
      <c r="AV147" s="225"/>
      <c r="AX147">
        <f t="shared" si="100"/>
        <v>0</v>
      </c>
      <c r="AY147">
        <f t="shared" si="101"/>
        <v>0</v>
      </c>
    </row>
    <row r="148" spans="14:51" x14ac:dyDescent="0.25">
      <c r="N148" s="170">
        <v>30</v>
      </c>
      <c r="O148" s="199">
        <f t="shared" si="102"/>
        <v>199.52623149688802</v>
      </c>
      <c r="P148" s="189" t="str">
        <f t="shared" si="103"/>
        <v>18.0065359477124</v>
      </c>
      <c r="Q148" s="160" t="str">
        <f t="shared" si="104"/>
        <v>1+0.39330518780805i</v>
      </c>
      <c r="R148" s="160">
        <f t="shared" ref="R148:R211" si="112">IMABS(Q148)</f>
        <v>1.0745645493671963</v>
      </c>
      <c r="S148" s="160">
        <f t="shared" ref="S148:S211" si="113">IMARGUMENT(Q148)</f>
        <v>0.37472169741032374</v>
      </c>
      <c r="T148" s="160" t="str">
        <f t="shared" si="105"/>
        <v>1+0.000501464114455264i</v>
      </c>
      <c r="U148" s="160">
        <f t="shared" ref="U148:U211" si="114">IMABS(T148)</f>
        <v>1.000000125733121</v>
      </c>
      <c r="V148" s="160">
        <f t="shared" ref="V148:V211" si="115">IMARGUMENT(T148)</f>
        <v>5.0146407242150225E-4</v>
      </c>
      <c r="W148" s="98" t="str">
        <f t="shared" si="106"/>
        <v>1-0.0070843960767918i</v>
      </c>
      <c r="X148" s="160">
        <f t="shared" ref="X148:X211" si="116">IMABS(W148)</f>
        <v>1.0000250940190316</v>
      </c>
      <c r="Y148" s="160">
        <f t="shared" ref="Y148:Y211" si="117">IMARGUMENT(W148)</f>
        <v>-7.0842775615602965E-3</v>
      </c>
      <c r="Z148" s="98" t="str">
        <f t="shared" si="107"/>
        <v>0.999999518358055+0.00211756167733864i</v>
      </c>
      <c r="AA148" s="160">
        <f t="shared" ref="AA148:AA211" si="118">IMABS(Z148)</f>
        <v>1.0000017603903502</v>
      </c>
      <c r="AB148" s="160">
        <f t="shared" ref="AB148:AB211" si="119">IMARGUMENT(Z148)</f>
        <v>2.1175595321531295E-3</v>
      </c>
      <c r="AC148" s="171" t="str">
        <f t="shared" ref="AC148:AC211" si="120">(IMDIV(IMPRODUCT(P148,T148,W148),IMPRODUCT(Q148,Z148)))</f>
        <v>15.5406867382958-6.26889799454009i</v>
      </c>
      <c r="AD148" s="190">
        <f t="shared" ref="AD148:AD211" si="121">20*LOG(IMABS(AC148))</f>
        <v>24.484157034278098</v>
      </c>
      <c r="AE148" s="169">
        <f t="shared" ref="AE148:AE211" si="122">(180/PI())*IMARGUMENT(AC148)</f>
        <v>-21.968466407899331</v>
      </c>
      <c r="AF148" s="98" t="str">
        <f t="shared" si="108"/>
        <v>-0.0000816326530612245</v>
      </c>
      <c r="AG148" s="98" t="str">
        <f t="shared" si="109"/>
        <v>0.0000294610167242468i</v>
      </c>
      <c r="AH148" s="98">
        <f t="shared" ref="AH148:AH211" si="123">IMABS(AG148)</f>
        <v>2.9461016724246799E-5</v>
      </c>
      <c r="AI148" s="98">
        <f t="shared" ref="AI148:AI211" si="124">IMARGUMENT(AG148)</f>
        <v>1.5707963267948966</v>
      </c>
      <c r="AJ148" s="98" t="str">
        <f t="shared" si="110"/>
        <v>1+0.00897834153859794i</v>
      </c>
      <c r="AK148" s="98">
        <f t="shared" ref="AK148:AK211" si="125">IMABS(AJ148)</f>
        <v>1.0000403044961657</v>
      </c>
      <c r="AL148" s="98">
        <f t="shared" ref="AL148:AL211" si="126">IMARGUMENT(AJ148)</f>
        <v>8.9781003003826087E-3</v>
      </c>
      <c r="AM148" s="98" t="str">
        <f t="shared" si="111"/>
        <v>1+0.140660684104702i</v>
      </c>
      <c r="AN148" s="98">
        <f t="shared" ref="AN148:AN211" si="127">IMABS(AM148)</f>
        <v>1.0098442593057617</v>
      </c>
      <c r="AO148" s="98">
        <f t="shared" ref="AO148:AO211" si="128">IMARGUMENT(AM148)</f>
        <v>0.13974386623878626</v>
      </c>
      <c r="AP148" s="168" t="str">
        <f t="shared" ref="AP148:AP211" si="129">IMPRODUCT(AF148,IMDIV(AM148,IMPRODUCT(AG148,AJ148)))</f>
        <v>-0.364845267400277+2.77414589721565i</v>
      </c>
      <c r="AQ148" s="98">
        <f t="shared" ref="AQ148:AQ211" si="130">20*LOG(IMABS(AP148))</f>
        <v>8.9370615594672422</v>
      </c>
      <c r="AR148" s="169">
        <f t="shared" ref="AR148:AR211" si="131">(180/PI())*IMARGUMENT(AP148)</f>
        <v>97.492326493066116</v>
      </c>
      <c r="AS148" s="168" t="str">
        <f t="shared" ref="AS148:AS211" si="132">IMPRODUCT(AC148,AP148)</f>
        <v>11.7208916429993+45.39931012008i</v>
      </c>
      <c r="AT148" s="190">
        <f t="shared" ref="AT148:AT211" si="133">20*LOG(IMABS(AS148))</f>
        <v>33.421218593745344</v>
      </c>
      <c r="AU148" s="169">
        <f t="shared" ref="AU148:AU211" si="134">(180/PI())*IMARGUMENT(AS148)</f>
        <v>75.523860085166831</v>
      </c>
      <c r="AV148" s="225"/>
      <c r="AX148">
        <f t="shared" ref="AX148:AX211" si="135">SUM((AT149&lt;0)*(AT148&gt;0))*O148</f>
        <v>0</v>
      </c>
      <c r="AY148">
        <f t="shared" ref="AY148:AY211" si="136">IF(AX148&gt;0,AU148,0)</f>
        <v>0</v>
      </c>
    </row>
    <row r="149" spans="14:51" x14ac:dyDescent="0.25">
      <c r="N149" s="170">
        <v>31</v>
      </c>
      <c r="O149" s="199">
        <f t="shared" si="102"/>
        <v>204.17379446695315</v>
      </c>
      <c r="P149" s="189" t="str">
        <f t="shared" si="103"/>
        <v>18.0065359477124</v>
      </c>
      <c r="Q149" s="160" t="str">
        <f t="shared" si="104"/>
        <v>1+0.402466442511642i</v>
      </c>
      <c r="R149" s="160">
        <f t="shared" si="112"/>
        <v>1.0779514076933046</v>
      </c>
      <c r="S149" s="160">
        <f t="shared" si="113"/>
        <v>0.38263081063292592</v>
      </c>
      <c r="T149" s="160" t="str">
        <f t="shared" si="105"/>
        <v>1+0.000513144714202344i</v>
      </c>
      <c r="U149" s="160">
        <f t="shared" si="114"/>
        <v>1.0000001316587401</v>
      </c>
      <c r="V149" s="160">
        <f t="shared" si="115"/>
        <v>5.1314466916235703E-4</v>
      </c>
      <c r="W149" s="98" t="str">
        <f t="shared" si="106"/>
        <v>1-0.00724941285992229i</v>
      </c>
      <c r="X149" s="160">
        <f t="shared" si="116"/>
        <v>1.0000262766481758</v>
      </c>
      <c r="Y149" s="160">
        <f t="shared" si="117"/>
        <v>-7.2492858687439859E-3</v>
      </c>
      <c r="Z149" s="98" t="str">
        <f t="shared" si="107"/>
        <v>0.999999495658969+0.0021668860251429i</v>
      </c>
      <c r="AA149" s="160">
        <f t="shared" si="118"/>
        <v>1.00000184335492</v>
      </c>
      <c r="AB149" s="160">
        <f t="shared" si="119"/>
        <v>2.1668837265354374E-3</v>
      </c>
      <c r="AC149" s="171" t="str">
        <f t="shared" si="120"/>
        <v>15.4406747243209-6.37466788484142i</v>
      </c>
      <c r="AD149" s="190">
        <f t="shared" si="121"/>
        <v>24.456833132904983</v>
      </c>
      <c r="AE149" s="169">
        <f t="shared" si="122"/>
        <v>-22.43323631410242</v>
      </c>
      <c r="AF149" s="98" t="str">
        <f t="shared" si="108"/>
        <v>-0.0000816326530612245</v>
      </c>
      <c r="AG149" s="98" t="str">
        <f t="shared" si="109"/>
        <v>0.0000301472519593878i</v>
      </c>
      <c r="AH149" s="98">
        <f t="shared" si="123"/>
        <v>3.01472519593878E-5</v>
      </c>
      <c r="AI149" s="98">
        <f t="shared" si="124"/>
        <v>1.5707963267948966</v>
      </c>
      <c r="AJ149" s="98" t="str">
        <f t="shared" si="110"/>
        <v>1+0.00918747397875045i</v>
      </c>
      <c r="AK149" s="98">
        <f t="shared" si="125"/>
        <v>1.0000422039484684</v>
      </c>
      <c r="AL149" s="98">
        <f t="shared" si="126"/>
        <v>9.1872154879347363E-3</v>
      </c>
      <c r="AM149" s="98" t="str">
        <f t="shared" si="111"/>
        <v>1+0.143937092333758i</v>
      </c>
      <c r="AN149" s="98">
        <f t="shared" si="127"/>
        <v>1.010305838125019</v>
      </c>
      <c r="AO149" s="98">
        <f t="shared" si="128"/>
        <v>0.14295524470535326</v>
      </c>
      <c r="AP149" s="168" t="str">
        <f t="shared" si="129"/>
        <v>-0.364843881447718+2.71114947952731i</v>
      </c>
      <c r="AQ149" s="98">
        <f t="shared" si="130"/>
        <v>8.7410142942566544</v>
      </c>
      <c r="AR149" s="169">
        <f t="shared" si="131"/>
        <v>97.664343507940771</v>
      </c>
      <c r="AS149" s="168" t="str">
        <f t="shared" si="132"/>
        <v>11.6492418195544+44.1877358164388i</v>
      </c>
      <c r="AT149" s="190">
        <f t="shared" si="133"/>
        <v>33.197847427161648</v>
      </c>
      <c r="AU149" s="169">
        <f t="shared" si="134"/>
        <v>75.231107193838326</v>
      </c>
      <c r="AV149" s="225"/>
      <c r="AX149">
        <f t="shared" si="135"/>
        <v>0</v>
      </c>
      <c r="AY149">
        <f t="shared" si="136"/>
        <v>0</v>
      </c>
    </row>
    <row r="150" spans="14:51" x14ac:dyDescent="0.25">
      <c r="N150" s="170">
        <v>32</v>
      </c>
      <c r="O150" s="199">
        <f t="shared" si="102"/>
        <v>208.92961308540396</v>
      </c>
      <c r="P150" s="189" t="str">
        <f t="shared" si="103"/>
        <v>18.0065359477124</v>
      </c>
      <c r="Q150" s="160" t="str">
        <f t="shared" si="104"/>
        <v>1+0.411841090250331i</v>
      </c>
      <c r="R150" s="160">
        <f t="shared" si="112"/>
        <v>1.0814865156896694</v>
      </c>
      <c r="S150" s="160">
        <f t="shared" si="113"/>
        <v>0.39067235283576729</v>
      </c>
      <c r="T150" s="160" t="str">
        <f t="shared" si="105"/>
        <v>1+0.000525097390069172i</v>
      </c>
      <c r="U150" s="160">
        <f t="shared" si="114"/>
        <v>1.000000137863625</v>
      </c>
      <c r="V150" s="160">
        <f t="shared" si="115"/>
        <v>5.2509734180795692E-4</v>
      </c>
      <c r="W150" s="98" t="str">
        <f t="shared" si="106"/>
        <v>1-0.0074182733777085i</v>
      </c>
      <c r="X150" s="160">
        <f t="shared" si="116"/>
        <v>1.0000275150114153</v>
      </c>
      <c r="Y150" s="160">
        <f t="shared" si="117"/>
        <v>-7.4181373044115593E-3</v>
      </c>
      <c r="Z150" s="98" t="str">
        <f t="shared" si="107"/>
        <v>0.999999471890108+0.00221735928459984i</v>
      </c>
      <c r="AA150" s="160">
        <f t="shared" si="118"/>
        <v>1.0000019302294829</v>
      </c>
      <c r="AB150" s="160">
        <f t="shared" si="119"/>
        <v>2.2173568215978208E-3</v>
      </c>
      <c r="AC150" s="171" t="str">
        <f t="shared" si="120"/>
        <v>15.337285573213-6.48057304950949i</v>
      </c>
      <c r="AD150" s="190">
        <f t="shared" si="121"/>
        <v>24.428404690389684</v>
      </c>
      <c r="AE150" s="169">
        <f t="shared" si="122"/>
        <v>-22.905864275359498</v>
      </c>
      <c r="AF150" s="98" t="str">
        <f t="shared" si="108"/>
        <v>-0.0000816326530612245</v>
      </c>
      <c r="AG150" s="98" t="str">
        <f t="shared" si="109"/>
        <v>0.0000308494716665638i</v>
      </c>
      <c r="AH150" s="98">
        <f t="shared" si="123"/>
        <v>3.08494716665638E-5</v>
      </c>
      <c r="AI150" s="98">
        <f t="shared" si="124"/>
        <v>1.5707963267948966</v>
      </c>
      <c r="AJ150" s="98" t="str">
        <f t="shared" si="110"/>
        <v>1+0.00940147773921716i</v>
      </c>
      <c r="AK150" s="98">
        <f t="shared" si="125"/>
        <v>1.0000441929153336</v>
      </c>
      <c r="AL150" s="98">
        <f t="shared" si="126"/>
        <v>9.4012007619789558E-3</v>
      </c>
      <c r="AM150" s="98" t="str">
        <f t="shared" si="111"/>
        <v>1+0.147289817914403i</v>
      </c>
      <c r="AN150" s="98">
        <f t="shared" si="127"/>
        <v>1.0107889445681815</v>
      </c>
      <c r="AO150" s="98">
        <f t="shared" si="128"/>
        <v>0.14623835476960226</v>
      </c>
      <c r="AP150" s="168" t="str">
        <f t="shared" si="129"/>
        <v>-0.364842430188516+2.6495905479789i</v>
      </c>
      <c r="AQ150" s="98">
        <f t="shared" si="130"/>
        <v>8.5451494312682801</v>
      </c>
      <c r="AR150" s="169">
        <f t="shared" si="131"/>
        <v>97.840191405218462</v>
      </c>
      <c r="AS150" s="168" t="str">
        <f t="shared" si="132"/>
        <v>11.5751725564408+43.0019149068356i</v>
      </c>
      <c r="AT150" s="190">
        <f t="shared" si="133"/>
        <v>32.973554121657969</v>
      </c>
      <c r="AU150" s="169">
        <f t="shared" si="134"/>
        <v>74.934327129859057</v>
      </c>
      <c r="AV150" s="225"/>
      <c r="AX150">
        <f t="shared" si="135"/>
        <v>0</v>
      </c>
      <c r="AY150">
        <f t="shared" si="136"/>
        <v>0</v>
      </c>
    </row>
    <row r="151" spans="14:51" x14ac:dyDescent="0.25">
      <c r="N151" s="170">
        <v>33</v>
      </c>
      <c r="O151" s="199">
        <f t="shared" si="102"/>
        <v>213.79620895022339</v>
      </c>
      <c r="P151" s="189" t="str">
        <f t="shared" si="103"/>
        <v>18.0065359477124</v>
      </c>
      <c r="Q151" s="160" t="str">
        <f t="shared" si="104"/>
        <v>1+0.421434101586428i</v>
      </c>
      <c r="R151" s="160">
        <f t="shared" si="112"/>
        <v>1.0851758852738849</v>
      </c>
      <c r="S151" s="160">
        <f t="shared" si="113"/>
        <v>0.39884642656607877</v>
      </c>
      <c r="T151" s="160" t="str">
        <f t="shared" si="105"/>
        <v>1+0.000537328479522696i</v>
      </c>
      <c r="U151" s="160">
        <f t="shared" si="114"/>
        <v>1.000000144360937</v>
      </c>
      <c r="V151" s="160">
        <f t="shared" si="115"/>
        <v>5.3732842780987271E-4</v>
      </c>
      <c r="W151" s="98" t="str">
        <f t="shared" si="106"/>
        <v>1-0.00759106716223197i</v>
      </c>
      <c r="X151" s="160">
        <f t="shared" si="116"/>
        <v>1.0000288117352727</v>
      </c>
      <c r="Y151" s="160">
        <f t="shared" si="117"/>
        <v>-7.5909213572942485E-3</v>
      </c>
      <c r="Z151" s="98" t="str">
        <f t="shared" si="107"/>
        <v>0.999999447001056+0.00226900821729968i</v>
      </c>
      <c r="AA151" s="160">
        <f t="shared" si="118"/>
        <v>1.0000020211983114</v>
      </c>
      <c r="AB151" s="160">
        <f t="shared" si="119"/>
        <v>2.2690055781457484E-3</v>
      </c>
      <c r="AC151" s="171" t="str">
        <f t="shared" si="120"/>
        <v>15.2304605328763-6.58650524642283i</v>
      </c>
      <c r="AD151" s="190">
        <f t="shared" si="121"/>
        <v>24.398834710851538</v>
      </c>
      <c r="AE151" s="169">
        <f t="shared" si="122"/>
        <v>-23.386362464692958</v>
      </c>
      <c r="AF151" s="98" t="str">
        <f t="shared" si="108"/>
        <v>-0.0000816326530612245</v>
      </c>
      <c r="AG151" s="98" t="str">
        <f t="shared" si="109"/>
        <v>0.0000315680481719584i</v>
      </c>
      <c r="AH151" s="98">
        <f t="shared" si="123"/>
        <v>3.1568048171958399E-5</v>
      </c>
      <c r="AI151" s="98">
        <f t="shared" si="124"/>
        <v>1.5707963267948966</v>
      </c>
      <c r="AJ151" s="98" t="str">
        <f t="shared" si="110"/>
        <v>1+0.00962046628762441i</v>
      </c>
      <c r="AK151" s="98">
        <f t="shared" si="125"/>
        <v>1.0000462756150794</v>
      </c>
      <c r="AL151" s="98">
        <f t="shared" si="126"/>
        <v>9.6201695019082802E-3</v>
      </c>
      <c r="AM151" s="98" t="str">
        <f t="shared" si="111"/>
        <v>1+0.150720638506116i</v>
      </c>
      <c r="AN151" s="98">
        <f t="shared" si="127"/>
        <v>1.0112945717602222</v>
      </c>
      <c r="AO151" s="98">
        <f t="shared" si="128"/>
        <v>0.14959465392836993</v>
      </c>
      <c r="AP151" s="168" t="str">
        <f t="shared" si="129"/>
        <v>-0.364840910545945+2.58943646312424i</v>
      </c>
      <c r="AQ151" s="98">
        <f t="shared" si="130"/>
        <v>8.349475200233746</v>
      </c>
      <c r="AR151" s="169">
        <f t="shared" si="131"/>
        <v>98.019947197155901</v>
      </c>
      <c r="AS151" s="168" t="str">
        <f t="shared" si="132"/>
        <v>11.4986417607977+41.8413364254251i</v>
      </c>
      <c r="AT151" s="190">
        <f t="shared" si="133"/>
        <v>32.748309911085293</v>
      </c>
      <c r="AU151" s="169">
        <f t="shared" si="134"/>
        <v>74.633584732462964</v>
      </c>
      <c r="AV151" s="225"/>
      <c r="AX151">
        <f t="shared" si="135"/>
        <v>0</v>
      </c>
      <c r="AY151">
        <f t="shared" si="136"/>
        <v>0</v>
      </c>
    </row>
    <row r="152" spans="14:51" x14ac:dyDescent="0.25">
      <c r="N152" s="170">
        <v>34</v>
      </c>
      <c r="O152" s="199">
        <f t="shared" si="102"/>
        <v>218.77616239495524</v>
      </c>
      <c r="P152" s="189" t="str">
        <f t="shared" si="103"/>
        <v>18.0065359477124</v>
      </c>
      <c r="Q152" s="160" t="str">
        <f t="shared" si="104"/>
        <v>1+0.431250562861528i</v>
      </c>
      <c r="R152" s="160">
        <f t="shared" si="112"/>
        <v>1.0890257333820834</v>
      </c>
      <c r="S152" s="160">
        <f t="shared" si="113"/>
        <v>0.40715299553892592</v>
      </c>
      <c r="T152" s="160" t="str">
        <f t="shared" si="105"/>
        <v>1+0.000549844467648448i</v>
      </c>
      <c r="U152" s="160">
        <f t="shared" si="114"/>
        <v>1.0000001511644578</v>
      </c>
      <c r="V152" s="160">
        <f t="shared" si="115"/>
        <v>5.4984441223715995E-4</v>
      </c>
      <c r="W152" s="98" t="str">
        <f t="shared" si="106"/>
        <v>1-0.00776788583104453i</v>
      </c>
      <c r="X152" s="160">
        <f t="shared" si="116"/>
        <v>1.0000301695700407</v>
      </c>
      <c r="Y152" s="160">
        <f t="shared" si="117"/>
        <v>-7.7677295984935231E-3</v>
      </c>
      <c r="Z152" s="98" t="str">
        <f t="shared" si="107"/>
        <v>0.999999420939019+0.00232186020819021i</v>
      </c>
      <c r="AA152" s="160">
        <f t="shared" si="118"/>
        <v>1.00000211645436</v>
      </c>
      <c r="AB152" s="160">
        <f t="shared" si="119"/>
        <v>2.3218573802861382E-3</v>
      </c>
      <c r="AC152" s="171" t="str">
        <f t="shared" si="120"/>
        <v>15.1201444085971-6.69235074352035i</v>
      </c>
      <c r="AD152" s="190">
        <f t="shared" si="121"/>
        <v>24.368085579983379</v>
      </c>
      <c r="AE152" s="169">
        <f t="shared" si="122"/>
        <v>-23.874735247193456</v>
      </c>
      <c r="AF152" s="98" t="str">
        <f t="shared" si="108"/>
        <v>-0.0000816326530612245</v>
      </c>
      <c r="AG152" s="98" t="str">
        <f t="shared" si="109"/>
        <v>0.0000323033624743463i</v>
      </c>
      <c r="AH152" s="98">
        <f t="shared" si="123"/>
        <v>3.23033624743463E-5</v>
      </c>
      <c r="AI152" s="98">
        <f t="shared" si="124"/>
        <v>1.5707963267948966</v>
      </c>
      <c r="AJ152" s="98" t="str">
        <f t="shared" si="110"/>
        <v>1+0.0098445557345993i</v>
      </c>
      <c r="AK152" s="98">
        <f t="shared" si="125"/>
        <v>1.0000484564647913</v>
      </c>
      <c r="AL152" s="98">
        <f t="shared" si="126"/>
        <v>9.844237723807164E-3</v>
      </c>
      <c r="AM152" s="98" t="str">
        <f t="shared" si="111"/>
        <v>1+0.15423137317539i</v>
      </c>
      <c r="AN152" s="98">
        <f t="shared" si="127"/>
        <v>1.0118237576137292</v>
      </c>
      <c r="AO152" s="98">
        <f t="shared" si="128"/>
        <v>0.15302561911637655</v>
      </c>
      <c r="AP152" s="168" t="str">
        <f t="shared" si="129"/>
        <v>-0.364839319298399+2.53065533037932i</v>
      </c>
      <c r="AQ152" s="98">
        <f t="shared" si="130"/>
        <v>8.154000184548023</v>
      </c>
      <c r="AR152" s="169">
        <f t="shared" si="131"/>
        <v>98.203688858647197</v>
      </c>
      <c r="AS152" s="168" t="str">
        <f t="shared" si="132"/>
        <v>11.4196098881317+40.7055067334934i</v>
      </c>
      <c r="AT152" s="190">
        <f t="shared" si="133"/>
        <v>32.522085764531397</v>
      </c>
      <c r="AU152" s="169">
        <f t="shared" si="134"/>
        <v>74.328953611453784</v>
      </c>
      <c r="AV152" s="225"/>
      <c r="AX152">
        <f t="shared" si="135"/>
        <v>0</v>
      </c>
      <c r="AY152">
        <f t="shared" si="136"/>
        <v>0</v>
      </c>
    </row>
    <row r="153" spans="14:51" x14ac:dyDescent="0.25">
      <c r="N153" s="170">
        <v>35</v>
      </c>
      <c r="O153" s="199">
        <f t="shared" si="102"/>
        <v>223.87211385683412</v>
      </c>
      <c r="P153" s="189" t="str">
        <f t="shared" si="103"/>
        <v>18.0065359477124</v>
      </c>
      <c r="Q153" s="160" t="str">
        <f t="shared" si="104"/>
        <v>1+0.441295678893333i</v>
      </c>
      <c r="R153" s="160">
        <f t="shared" si="112"/>
        <v>1.0930424860040564</v>
      </c>
      <c r="S153" s="160">
        <f t="shared" si="113"/>
        <v>0.41559187779018447</v>
      </c>
      <c r="T153" s="160" t="str">
        <f t="shared" si="105"/>
        <v>1+0.000562651990589i</v>
      </c>
      <c r="U153" s="160">
        <f t="shared" si="114"/>
        <v>1.0000001582886187</v>
      </c>
      <c r="V153" s="160">
        <f t="shared" si="115"/>
        <v>5.6265193121473559E-4</v>
      </c>
      <c r="W153" s="98" t="str">
        <f t="shared" si="106"/>
        <v>1-0.00794882313574485i</v>
      </c>
      <c r="X153" s="160">
        <f t="shared" si="116"/>
        <v>1.0000315913956135</v>
      </c>
      <c r="Y153" s="160">
        <f t="shared" si="117"/>
        <v>-7.9486557298359614E-3</v>
      </c>
      <c r="Z153" s="98" t="str">
        <f t="shared" si="107"/>
        <v>0.999999393648715+0.00237594328009658i</v>
      </c>
      <c r="AA153" s="160">
        <f t="shared" si="118"/>
        <v>1.0000022161996782</v>
      </c>
      <c r="AB153" s="160">
        <f t="shared" si="119"/>
        <v>2.3759402499431304E-3</v>
      </c>
      <c r="AC153" s="171" t="str">
        <f t="shared" si="120"/>
        <v>15.0062859830117-6.79799035642838i</v>
      </c>
      <c r="AD153" s="190">
        <f t="shared" si="121"/>
        <v>24.336119106021798</v>
      </c>
      <c r="AE153" s="169">
        <f t="shared" si="122"/>
        <v>-24.370978791119832</v>
      </c>
      <c r="AF153" s="98" t="str">
        <f t="shared" si="108"/>
        <v>-0.0000816326530612245</v>
      </c>
      <c r="AG153" s="98" t="str">
        <f t="shared" si="109"/>
        <v>0.0000330558044471037i</v>
      </c>
      <c r="AH153" s="98">
        <f t="shared" si="123"/>
        <v>3.3055804447103699E-5</v>
      </c>
      <c r="AI153" s="98">
        <f t="shared" si="124"/>
        <v>1.5707963267948966</v>
      </c>
      <c r="AJ153" s="98" t="str">
        <f t="shared" si="110"/>
        <v>1+0.0100738648953328i</v>
      </c>
      <c r="AK153" s="98">
        <f t="shared" si="125"/>
        <v>1.0000507400896863</v>
      </c>
      <c r="AL153" s="98">
        <f t="shared" si="126"/>
        <v>1.0073524141563506E-2</v>
      </c>
      <c r="AM153" s="98" t="str">
        <f t="shared" si="111"/>
        <v>1+0.157823883360214i</v>
      </c>
      <c r="AN153" s="98">
        <f t="shared" si="127"/>
        <v>1.0123775867525409</v>
      </c>
      <c r="AO153" s="98">
        <f t="shared" si="128"/>
        <v>0.15653274620872645</v>
      </c>
      <c r="AP153" s="168" t="str">
        <f t="shared" si="129"/>
        <v>-0.36483765307254+2.47321598311097i</v>
      </c>
      <c r="AQ153" s="98">
        <f t="shared" si="130"/>
        <v>7.9587333348076514</v>
      </c>
      <c r="AR153" s="169">
        <f t="shared" si="131"/>
        <v>98.391495295217723</v>
      </c>
      <c r="AS153" s="168" t="str">
        <f t="shared" si="132"/>
        <v>11.3380402431756+39.5939491875677i</v>
      </c>
      <c r="AT153" s="190">
        <f t="shared" si="133"/>
        <v>32.294852440829445</v>
      </c>
      <c r="AU153" s="169">
        <f t="shared" si="134"/>
        <v>74.020516504097841</v>
      </c>
      <c r="AV153" s="225"/>
      <c r="AX153">
        <f t="shared" si="135"/>
        <v>0</v>
      </c>
      <c r="AY153">
        <f t="shared" si="136"/>
        <v>0</v>
      </c>
    </row>
    <row r="154" spans="14:51" x14ac:dyDescent="0.25">
      <c r="N154" s="170">
        <v>36</v>
      </c>
      <c r="O154" s="199">
        <f t="shared" si="102"/>
        <v>229.08676527677744</v>
      </c>
      <c r="P154" s="189" t="str">
        <f t="shared" si="103"/>
        <v>18.0065359477124</v>
      </c>
      <c r="Q154" s="160" t="str">
        <f t="shared" si="104"/>
        <v>1+0.451574775735326i</v>
      </c>
      <c r="R154" s="160">
        <f t="shared" si="112"/>
        <v>1.0972327820842804</v>
      </c>
      <c r="S154" s="160">
        <f t="shared" si="113"/>
        <v>0.42416273889566203</v>
      </c>
      <c r="T154" s="160" t="str">
        <f t="shared" si="105"/>
        <v>1+0.00057575783906254i</v>
      </c>
      <c r="U154" s="160">
        <f t="shared" si="114"/>
        <v>1.0000001657485309</v>
      </c>
      <c r="V154" s="160">
        <f t="shared" si="115"/>
        <v>5.757577754418701E-4</v>
      </c>
      <c r="W154" s="98" t="str">
        <f t="shared" si="106"/>
        <v>1-0.00813397501168683i</v>
      </c>
      <c r="X154" s="160">
        <f t="shared" si="116"/>
        <v>1.0000330802275947</v>
      </c>
      <c r="Y154" s="160">
        <f t="shared" si="117"/>
        <v>-8.133795633344116E-3</v>
      </c>
      <c r="Z154" s="98" t="str">
        <f t="shared" si="107"/>
        <v>0.99999936507226+0.00243128610857937i</v>
      </c>
      <c r="AA154" s="160">
        <f t="shared" si="118"/>
        <v>1.0000023206458397</v>
      </c>
      <c r="AB154" s="160">
        <f t="shared" si="119"/>
        <v>2.4312828617118476E-3</v>
      </c>
      <c r="AC154" s="171" t="str">
        <f t="shared" si="120"/>
        <v>14.8888384482382-6.90329951691326i</v>
      </c>
      <c r="AD154" s="190">
        <f t="shared" si="121"/>
        <v>24.302896565350984</v>
      </c>
      <c r="AE154" s="169">
        <f t="shared" si="122"/>
        <v>-24.875080682867502</v>
      </c>
      <c r="AF154" s="98" t="str">
        <f t="shared" si="108"/>
        <v>-0.0000816326530612245</v>
      </c>
      <c r="AG154" s="98" t="str">
        <f t="shared" si="109"/>
        <v>0.0000338257730449242i</v>
      </c>
      <c r="AH154" s="98">
        <f t="shared" si="123"/>
        <v>3.3825773044924198E-5</v>
      </c>
      <c r="AI154" s="98">
        <f t="shared" si="124"/>
        <v>1.5707963267948966</v>
      </c>
      <c r="AJ154" s="98" t="str">
        <f t="shared" si="110"/>
        <v>1+0.0103085153525771i</v>
      </c>
      <c r="AK154" s="98">
        <f t="shared" si="125"/>
        <v>1.000053131332918</v>
      </c>
      <c r="AL154" s="98">
        <f t="shared" si="126"/>
        <v>1.0308150229382654E-2</v>
      </c>
      <c r="AM154" s="98" t="str">
        <f t="shared" si="111"/>
        <v>1+0.161500073857042i</v>
      </c>
      <c r="AN154" s="98">
        <f t="shared" si="127"/>
        <v>1.0129571925090566</v>
      </c>
      <c r="AO154" s="98">
        <f t="shared" si="128"/>
        <v>0.16011754945397444</v>
      </c>
      <c r="AP154" s="168" t="str">
        <f t="shared" si="129"/>
        <v>-0.364835908336189+2.41708796611136i</v>
      </c>
      <c r="AQ154" s="98">
        <f t="shared" si="130"/>
        <v>7.7636839827087609</v>
      </c>
      <c r="AR154" s="169">
        <f t="shared" si="131"/>
        <v>98.58344630695953</v>
      </c>
      <c r="AS154" s="168" t="str">
        <f t="shared" si="132"/>
        <v>11.2538992894596+38.5062037923825i</v>
      </c>
      <c r="AT154" s="190">
        <f t="shared" si="133"/>
        <v>32.06658054805974</v>
      </c>
      <c r="AU154" s="169">
        <f t="shared" si="134"/>
        <v>73.708365624092096</v>
      </c>
      <c r="AV154" s="225"/>
      <c r="AX154">
        <f t="shared" si="135"/>
        <v>0</v>
      </c>
      <c r="AY154">
        <f t="shared" si="136"/>
        <v>0</v>
      </c>
    </row>
    <row r="155" spans="14:51" x14ac:dyDescent="0.25">
      <c r="N155" s="170">
        <v>37</v>
      </c>
      <c r="O155" s="199">
        <f t="shared" si="102"/>
        <v>234.42288153199232</v>
      </c>
      <c r="P155" s="189" t="str">
        <f t="shared" si="103"/>
        <v>18.0065359477124</v>
      </c>
      <c r="Q155" s="160" t="str">
        <f t="shared" si="104"/>
        <v>1+0.462093303500709i</v>
      </c>
      <c r="R155" s="160">
        <f t="shared" si="112"/>
        <v>1.1016034772731058</v>
      </c>
      <c r="S155" s="160">
        <f t="shared" si="113"/>
        <v>0.43286508529630546</v>
      </c>
      <c r="T155" s="160" t="str">
        <f t="shared" si="105"/>
        <v>1+0.000589168961963404i</v>
      </c>
      <c r="U155" s="160">
        <f t="shared" si="114"/>
        <v>1.0000001735600179</v>
      </c>
      <c r="V155" s="160">
        <f t="shared" si="115"/>
        <v>5.891688937926285E-4</v>
      </c>
      <c r="W155" s="98" t="str">
        <f t="shared" si="106"/>
        <v>1-0.00832343962884585i</v>
      </c>
      <c r="X155" s="160">
        <f t="shared" si="116"/>
        <v>1.0000346392236896</v>
      </c>
      <c r="Y155" s="160">
        <f t="shared" si="117"/>
        <v>-8.3232474218482618E-3</v>
      </c>
      <c r="Z155" s="98" t="str">
        <f t="shared" si="107"/>
        <v>0.999999335149037+0.0024879180371388i</v>
      </c>
      <c r="AA155" s="160">
        <f t="shared" si="118"/>
        <v>1.0000024300143853</v>
      </c>
      <c r="AB155" s="160">
        <f t="shared" si="119"/>
        <v>2.4879145580580155E-3</v>
      </c>
      <c r="AC155" s="171" t="str">
        <f t="shared" si="120"/>
        <v>14.7677598481212-7.00814837441952i</v>
      </c>
      <c r="AD155" s="190">
        <f t="shared" si="121"/>
        <v>24.268378752861267</v>
      </c>
      <c r="AE155" s="169">
        <f t="shared" si="122"/>
        <v>-25.387019548094905</v>
      </c>
      <c r="AF155" s="98" t="str">
        <f t="shared" si="108"/>
        <v>-0.0000816326530612245</v>
      </c>
      <c r="AG155" s="98" t="str">
        <f t="shared" si="109"/>
        <v>0.0000346136765153501i</v>
      </c>
      <c r="AH155" s="98">
        <f t="shared" si="123"/>
        <v>3.4613676515350103E-5</v>
      </c>
      <c r="AI155" s="98">
        <f t="shared" si="124"/>
        <v>1.5707963267948966</v>
      </c>
      <c r="AJ155" s="98" t="str">
        <f t="shared" si="110"/>
        <v>1+0.0105486315211107i</v>
      </c>
      <c r="AK155" s="98">
        <f t="shared" si="125"/>
        <v>1.0000556352658427</v>
      </c>
      <c r="AL155" s="98">
        <f t="shared" si="126"/>
        <v>1.0548240285734575E-2</v>
      </c>
      <c r="AM155" s="98" t="str">
        <f t="shared" si="111"/>
        <v>1+0.165261893830735i</v>
      </c>
      <c r="AN155" s="98">
        <f t="shared" si="127"/>
        <v>1.0135637589971935</v>
      </c>
      <c r="AO155" s="98">
        <f t="shared" si="128"/>
        <v>0.16378156083309756</v>
      </c>
      <c r="AP155" s="168" t="str">
        <f t="shared" si="129"/>
        <v>-0.364834081390833+2.36224151944979i</v>
      </c>
      <c r="AQ155" s="98">
        <f t="shared" si="130"/>
        <v>7.5688618552990592</v>
      </c>
      <c r="AR155" s="169">
        <f t="shared" si="131"/>
        <v>98.779622548139173</v>
      </c>
      <c r="AS155" s="168" t="str">
        <f t="shared" si="132"/>
        <v>11.1671569661286+37.4418268369274i</v>
      </c>
      <c r="AT155" s="190">
        <f t="shared" si="133"/>
        <v>31.837240608160315</v>
      </c>
      <c r="AU155" s="169">
        <f t="shared" si="134"/>
        <v>73.392603000044289</v>
      </c>
      <c r="AV155" s="225"/>
      <c r="AX155">
        <f t="shared" si="135"/>
        <v>0</v>
      </c>
      <c r="AY155">
        <f t="shared" si="136"/>
        <v>0</v>
      </c>
    </row>
    <row r="156" spans="14:51" x14ac:dyDescent="0.25">
      <c r="N156" s="170">
        <v>38</v>
      </c>
      <c r="O156" s="199">
        <f t="shared" si="102"/>
        <v>239.88329190194912</v>
      </c>
      <c r="P156" s="189" t="str">
        <f t="shared" si="103"/>
        <v>18.0065359477124</v>
      </c>
      <c r="Q156" s="160" t="str">
        <f t="shared" si="104"/>
        <v>1+0.472856839252141i</v>
      </c>
      <c r="R156" s="160">
        <f t="shared" si="112"/>
        <v>1.1061616475124805</v>
      </c>
      <c r="S156" s="160">
        <f t="shared" si="113"/>
        <v>0.44169825777228333</v>
      </c>
      <c r="T156" s="160" t="str">
        <f t="shared" si="105"/>
        <v>1+0.00060289247004648i</v>
      </c>
      <c r="U156" s="160">
        <f t="shared" si="114"/>
        <v>1.0000001817396487</v>
      </c>
      <c r="V156" s="160">
        <f t="shared" si="115"/>
        <v>6.0289239700017877E-4</v>
      </c>
      <c r="W156" s="98" t="str">
        <f t="shared" si="106"/>
        <v>1-0.00851731744386991i</v>
      </c>
      <c r="X156" s="160">
        <f t="shared" si="116"/>
        <v>1.0000362716904021</v>
      </c>
      <c r="Y156" s="160">
        <f t="shared" si="117"/>
        <v>-8.5171114907648358E-3</v>
      </c>
      <c r="Z156" s="98" t="str">
        <f t="shared" si="107"/>
        <v>0.999999303815577+0.00254586909277304i</v>
      </c>
      <c r="AA156" s="160">
        <f t="shared" si="118"/>
        <v>1.0000025445373006</v>
      </c>
      <c r="AB156" s="160">
        <f t="shared" si="119"/>
        <v>2.545865364871315E-3</v>
      </c>
      <c r="AC156" s="171" t="str">
        <f t="shared" si="120"/>
        <v>14.643013528227-7.11240193286186i</v>
      </c>
      <c r="AD156" s="190">
        <f t="shared" si="121"/>
        <v>24.232526037159165</v>
      </c>
      <c r="AE156" s="169">
        <f t="shared" si="122"/>
        <v>-25.906764681463617</v>
      </c>
      <c r="AF156" s="98" t="str">
        <f t="shared" si="108"/>
        <v>-0.0000816326530612245</v>
      </c>
      <c r="AG156" s="98" t="str">
        <f t="shared" si="109"/>
        <v>0.0000354199326152307i</v>
      </c>
      <c r="AH156" s="98">
        <f t="shared" si="123"/>
        <v>3.5419932615230703E-5</v>
      </c>
      <c r="AI156" s="98">
        <f t="shared" si="124"/>
        <v>1.5707963267948966</v>
      </c>
      <c r="AJ156" s="98" t="str">
        <f t="shared" si="110"/>
        <v>1+0.0107943407137045i</v>
      </c>
      <c r="AK156" s="98">
        <f t="shared" si="125"/>
        <v>1.0000582571987711</v>
      </c>
      <c r="AL156" s="98">
        <f t="shared" si="126"/>
        <v>1.0793921498765026E-2</v>
      </c>
      <c r="AM156" s="98" t="str">
        <f t="shared" si="111"/>
        <v>1+0.169111337848038i</v>
      </c>
      <c r="AN156" s="98">
        <f t="shared" si="127"/>
        <v>1.0141985232629522</v>
      </c>
      <c r="AO156" s="98">
        <f t="shared" si="128"/>
        <v>0.1675263293395739</v>
      </c>
      <c r="AP156" s="168" t="str">
        <f t="shared" si="129"/>
        <v>-0.364832168363807+2.30864756269302i</v>
      </c>
      <c r="AQ156" s="98">
        <f t="shared" si="130"/>
        <v>7.374277089574627</v>
      </c>
      <c r="AR156" s="169">
        <f t="shared" si="131"/>
        <v>98.980105482201481</v>
      </c>
      <c r="AS156" s="168" t="str">
        <f t="shared" si="132"/>
        <v>11.077787010311+36.4003905118631i</v>
      </c>
      <c r="AT156" s="190">
        <f t="shared" si="133"/>
        <v>31.606803126733787</v>
      </c>
      <c r="AU156" s="169">
        <f t="shared" si="134"/>
        <v>73.073340800737924</v>
      </c>
      <c r="AV156" s="225"/>
      <c r="AX156">
        <f t="shared" si="135"/>
        <v>0</v>
      </c>
      <c r="AY156">
        <f t="shared" si="136"/>
        <v>0</v>
      </c>
    </row>
    <row r="157" spans="14:51" x14ac:dyDescent="0.25">
      <c r="N157" s="170">
        <v>39</v>
      </c>
      <c r="O157" s="199">
        <f t="shared" si="102"/>
        <v>245.4708915685033</v>
      </c>
      <c r="P157" s="189" t="str">
        <f t="shared" si="103"/>
        <v>18.0065359477124</v>
      </c>
      <c r="Q157" s="160" t="str">
        <f t="shared" si="104"/>
        <v>1+0.483871089958742i</v>
      </c>
      <c r="R157" s="160">
        <f t="shared" si="112"/>
        <v>1.1109145924407784</v>
      </c>
      <c r="S157" s="160">
        <f t="shared" si="113"/>
        <v>0.45066142511127905</v>
      </c>
      <c r="T157" s="160" t="str">
        <f t="shared" si="105"/>
        <v>1+0.000616935639697396i</v>
      </c>
      <c r="U157" s="160">
        <f t="shared" si="114"/>
        <v>1.0000001903047737</v>
      </c>
      <c r="V157" s="160">
        <f t="shared" si="115"/>
        <v>6.1693556142687481E-4</v>
      </c>
      <c r="W157" s="98" t="str">
        <f t="shared" si="106"/>
        <v>1-0.00871571125334269i</v>
      </c>
      <c r="X157" s="160">
        <f t="shared" si="116"/>
        <v>1.0000379810900442</v>
      </c>
      <c r="Y157" s="160">
        <f t="shared" si="117"/>
        <v>-8.7154905710673004E-3</v>
      </c>
      <c r="Z157" s="98" t="str">
        <f t="shared" si="107"/>
        <v>0.999999271005416+0.0026051700018988i</v>
      </c>
      <c r="AA157" s="160">
        <f t="shared" si="118"/>
        <v>1.0000026644575013</v>
      </c>
      <c r="AB157" s="160">
        <f t="shared" si="119"/>
        <v>2.6051660073806962E-3</v>
      </c>
      <c r="AC157" s="171" t="str">
        <f t="shared" si="120"/>
        <v>14.5145685909179-7.21592022470721i</v>
      </c>
      <c r="AD157" s="190">
        <f t="shared" si="121"/>
        <v>24.195298420700912</v>
      </c>
      <c r="AE157" s="169">
        <f t="shared" si="122"/>
        <v>-26.434275687588155</v>
      </c>
      <c r="AF157" s="98" t="str">
        <f t="shared" si="108"/>
        <v>-0.0000816326530612245</v>
      </c>
      <c r="AG157" s="98" t="str">
        <f t="shared" si="109"/>
        <v>0.0000362449688322221i</v>
      </c>
      <c r="AH157" s="98">
        <f t="shared" si="123"/>
        <v>3.6244968832222097E-5</v>
      </c>
      <c r="AI157" s="98">
        <f t="shared" si="124"/>
        <v>1.5707963267948966</v>
      </c>
      <c r="AJ157" s="98" t="str">
        <f t="shared" si="110"/>
        <v>1+0.0110457732086246i</v>
      </c>
      <c r="AK157" s="98">
        <f t="shared" si="125"/>
        <v>1.0000610026922239</v>
      </c>
      <c r="AL157" s="98">
        <f t="shared" si="126"/>
        <v>1.104532401320377E-2</v>
      </c>
      <c r="AM157" s="98" t="str">
        <f t="shared" si="111"/>
        <v>1+0.17305044693512i</v>
      </c>
      <c r="AN157" s="98">
        <f t="shared" si="127"/>
        <v>1.0148627775144996</v>
      </c>
      <c r="AO157" s="98">
        <f t="shared" si="128"/>
        <v>0.17135342017552518</v>
      </c>
      <c r="AP157" s="168" t="str">
        <f t="shared" si="129"/>
        <v>-0.364830165200096+2.25627767948588i</v>
      </c>
      <c r="AQ157" s="98">
        <f t="shared" si="130"/>
        <v>7.1799402474109275</v>
      </c>
      <c r="AR157" s="169">
        <f t="shared" si="131"/>
        <v>99.184977331878372</v>
      </c>
      <c r="AS157" s="168" t="str">
        <f t="shared" si="132"/>
        <v>10.9857672831249+35.3814825067055i</v>
      </c>
      <c r="AT157" s="190">
        <f t="shared" si="133"/>
        <v>31.375238668111834</v>
      </c>
      <c r="AU157" s="169">
        <f t="shared" si="134"/>
        <v>72.750701644290231</v>
      </c>
      <c r="AV157" s="225"/>
      <c r="AX157">
        <f t="shared" si="135"/>
        <v>0</v>
      </c>
      <c r="AY157">
        <f t="shared" si="136"/>
        <v>0</v>
      </c>
    </row>
    <row r="158" spans="14:51" x14ac:dyDescent="0.25">
      <c r="N158" s="170">
        <v>40</v>
      </c>
      <c r="O158" s="199">
        <f t="shared" si="102"/>
        <v>251.18864315095806</v>
      </c>
      <c r="P158" s="189" t="str">
        <f t="shared" si="103"/>
        <v>18.0065359477124</v>
      </c>
      <c r="Q158" s="160" t="str">
        <f t="shared" si="104"/>
        <v>1+0.495141895522033i</v>
      </c>
      <c r="R158" s="160">
        <f t="shared" si="112"/>
        <v>1.1158698386017751</v>
      </c>
      <c r="S158" s="160">
        <f t="shared" si="113"/>
        <v>0.45975357801891403</v>
      </c>
      <c r="T158" s="160" t="str">
        <f t="shared" si="105"/>
        <v>1+0.000631305916790592i</v>
      </c>
      <c r="U158" s="160">
        <f t="shared" si="114"/>
        <v>1.0000001992735605</v>
      </c>
      <c r="V158" s="160">
        <f t="shared" si="115"/>
        <v>6.3130583292221848E-4</v>
      </c>
      <c r="W158" s="98" t="str">
        <f t="shared" si="106"/>
        <v>1-0.00891872624828812i</v>
      </c>
      <c r="X158" s="160">
        <f t="shared" si="116"/>
        <v>1.000039771048078</v>
      </c>
      <c r="Y158" s="160">
        <f t="shared" si="117"/>
        <v>-8.9184897834776178E-3</v>
      </c>
      <c r="Z158" s="98" t="str">
        <f t="shared" si="107"/>
        <v>0.999999236648959+0.0026658522066431i</v>
      </c>
      <c r="AA158" s="160">
        <f t="shared" si="118"/>
        <v>1.000002790029352</v>
      </c>
      <c r="AB158" s="160">
        <f t="shared" si="119"/>
        <v>2.6658479264404697E-3</v>
      </c>
      <c r="AC158" s="171" t="str">
        <f t="shared" si="120"/>
        <v>14.382400352509-7.31855852421095i</v>
      </c>
      <c r="AD158" s="190">
        <f t="shared" si="121"/>
        <v>24.156655604886019</v>
      </c>
      <c r="AE158" s="169">
        <f t="shared" si="122"/>
        <v>-26.969502135946566</v>
      </c>
      <c r="AF158" s="98" t="str">
        <f t="shared" si="108"/>
        <v>-0.0000816326530612245</v>
      </c>
      <c r="AG158" s="98" t="str">
        <f t="shared" si="109"/>
        <v>0.0000370892226114472i</v>
      </c>
      <c r="AH158" s="98">
        <f t="shared" si="123"/>
        <v>3.7089222611447197E-5</v>
      </c>
      <c r="AI158" s="98">
        <f t="shared" si="124"/>
        <v>1.5707963267948966</v>
      </c>
      <c r="AJ158" s="98" t="str">
        <f t="shared" si="110"/>
        <v>1+0.0113030623187081i</v>
      </c>
      <c r="AK158" s="98">
        <f t="shared" si="125"/>
        <v>1.0000638775687185</v>
      </c>
      <c r="AL158" s="98">
        <f t="shared" si="126"/>
        <v>1.1302580998803274E-2</v>
      </c>
      <c r="AM158" s="98" t="str">
        <f t="shared" si="111"/>
        <v>1+0.177081309659761i</v>
      </c>
      <c r="AN158" s="98">
        <f t="shared" si="127"/>
        <v>1.0155578714336353</v>
      </c>
      <c r="AO158" s="98">
        <f t="shared" si="128"/>
        <v>0.17526441385872296</v>
      </c>
      <c r="AP158" s="168" t="str">
        <f t="shared" si="129"/>
        <v>-0.364828067653764+2.2051041024839i</v>
      </c>
      <c r="AQ158" s="98">
        <f t="shared" si="130"/>
        <v>6.9858623308143102</v>
      </c>
      <c r="AR158" s="169">
        <f t="shared" si="131"/>
        <v>99.394321024102823</v>
      </c>
      <c r="AS158" s="168" t="str">
        <f t="shared" si="132"/>
        <v>10.8910800971774+34.3847055852823i</v>
      </c>
      <c r="AT158" s="190">
        <f t="shared" si="133"/>
        <v>31.142517935700319</v>
      </c>
      <c r="AU158" s="169">
        <f t="shared" si="134"/>
        <v>72.424818888156253</v>
      </c>
      <c r="AV158" s="225"/>
      <c r="AX158">
        <f t="shared" si="135"/>
        <v>0</v>
      </c>
      <c r="AY158">
        <f t="shared" si="136"/>
        <v>0</v>
      </c>
    </row>
    <row r="159" spans="14:51" x14ac:dyDescent="0.25">
      <c r="N159" s="170">
        <v>41</v>
      </c>
      <c r="O159" s="199">
        <f t="shared" si="102"/>
        <v>257.03957827688663</v>
      </c>
      <c r="P159" s="189" t="str">
        <f t="shared" si="103"/>
        <v>18.0065359477124</v>
      </c>
      <c r="Q159" s="160" t="str">
        <f t="shared" si="104"/>
        <v>1+0.506675231872304i</v>
      </c>
      <c r="R159" s="160">
        <f t="shared" si="112"/>
        <v>1.1210351424432925</v>
      </c>
      <c r="S159" s="160">
        <f t="shared" si="113"/>
        <v>0.46897352332124481</v>
      </c>
      <c r="T159" s="160" t="str">
        <f t="shared" si="105"/>
        <v>1+0.000646010920637188i</v>
      </c>
      <c r="U159" s="160">
        <f t="shared" si="114"/>
        <v>1.000000208665033</v>
      </c>
      <c r="V159" s="160">
        <f t="shared" si="115"/>
        <v>6.4601083077060783E-4</v>
      </c>
      <c r="W159" s="98" t="str">
        <f t="shared" si="106"/>
        <v>1-0.00912647006994363i</v>
      </c>
      <c r="X159" s="160">
        <f t="shared" si="116"/>
        <v>1.0000416453608008</v>
      </c>
      <c r="Y159" s="160">
        <f t="shared" si="117"/>
        <v>-9.1262166939040414E-3</v>
      </c>
      <c r="Z159" s="98" t="str">
        <f t="shared" si="107"/>
        <v>0.999999200673333+0.00272794788151406i</v>
      </c>
      <c r="AA159" s="160">
        <f t="shared" si="118"/>
        <v>1.000002921519207</v>
      </c>
      <c r="AB159" s="160">
        <f t="shared" si="119"/>
        <v>2.7279432951950182E-3</v>
      </c>
      <c r="AC159" s="171" t="str">
        <f t="shared" si="120"/>
        <v>14.24649079921-7.42016760145562i</v>
      </c>
      <c r="AD159" s="190">
        <f t="shared" si="121"/>
        <v>24.116557060118843</v>
      </c>
      <c r="AE159" s="169">
        <f t="shared" si="122"/>
        <v>-27.51238323261277</v>
      </c>
      <c r="AF159" s="98" t="str">
        <f t="shared" si="108"/>
        <v>-0.0000816326530612245</v>
      </c>
      <c r="AG159" s="98" t="str">
        <f t="shared" si="109"/>
        <v>0.0000379531415874348i</v>
      </c>
      <c r="AH159" s="98">
        <f t="shared" si="123"/>
        <v>3.7953141587434797E-5</v>
      </c>
      <c r="AI159" s="98">
        <f t="shared" si="124"/>
        <v>1.5707963267948966</v>
      </c>
      <c r="AJ159" s="98" t="str">
        <f t="shared" si="110"/>
        <v>1+0.0115663444620466i</v>
      </c>
      <c r="AK159" s="98">
        <f t="shared" si="125"/>
        <v>1.00006688792511</v>
      </c>
      <c r="AL159" s="98">
        <f t="shared" si="126"/>
        <v>1.1565828720339585E-2</v>
      </c>
      <c r="AM159" s="98" t="str">
        <f t="shared" si="111"/>
        <v>1+0.181206063238731i</v>
      </c>
      <c r="AN159" s="98">
        <f t="shared" si="127"/>
        <v>1.0162852145704369</v>
      </c>
      <c r="AO159" s="98">
        <f t="shared" si="128"/>
        <v>0.17926090523501681</v>
      </c>
      <c r="AP159" s="168" t="str">
        <f t="shared" si="129"/>
        <v>-0.36482587127897+2.15509969863007i</v>
      </c>
      <c r="AQ159" s="98">
        <f t="shared" si="130"/>
        <v>6.7920547974780119</v>
      </c>
      <c r="AR159" s="169">
        <f t="shared" si="131"/>
        <v>99.608220129414406</v>
      </c>
      <c r="AS159" s="168" t="str">
        <f t="shared" si="132"/>
        <v>10.793712543192+33.4096771381506i</v>
      </c>
      <c r="AT159" s="190">
        <f t="shared" si="133"/>
        <v>30.908611857596856</v>
      </c>
      <c r="AU159" s="169">
        <f t="shared" si="134"/>
        <v>72.095836896801657</v>
      </c>
      <c r="AV159" s="225"/>
      <c r="AX159">
        <f t="shared" si="135"/>
        <v>0</v>
      </c>
      <c r="AY159">
        <f t="shared" si="136"/>
        <v>0</v>
      </c>
    </row>
    <row r="160" spans="14:51" x14ac:dyDescent="0.25">
      <c r="N160" s="170">
        <v>42</v>
      </c>
      <c r="O160" s="199">
        <f t="shared" si="102"/>
        <v>263.02679918953817</v>
      </c>
      <c r="P160" s="189" t="str">
        <f t="shared" si="103"/>
        <v>18.0065359477124</v>
      </c>
      <c r="Q160" s="160" t="str">
        <f t="shared" si="104"/>
        <v>1+0.518477214137155i</v>
      </c>
      <c r="R160" s="160">
        <f t="shared" si="112"/>
        <v>1.1264184930918992</v>
      </c>
      <c r="S160" s="160">
        <f t="shared" si="113"/>
        <v>0.47831987851135688</v>
      </c>
      <c r="T160" s="160" t="str">
        <f t="shared" si="105"/>
        <v>1+0.000661058448024872i</v>
      </c>
      <c r="U160" s="160">
        <f t="shared" si="114"/>
        <v>1.0000002184991119</v>
      </c>
      <c r="V160" s="160">
        <f t="shared" si="115"/>
        <v>6.6105835173109755E-4</v>
      </c>
      <c r="W160" s="98" t="str">
        <f t="shared" si="106"/>
        <v>1-0.00933905286683335i</v>
      </c>
      <c r="X160" s="160">
        <f t="shared" si="116"/>
        <v>1.0000436080033956</v>
      </c>
      <c r="Y160" s="160">
        <f t="shared" si="117"/>
        <v>-9.3387813701548503E-3</v>
      </c>
      <c r="Z160" s="98" t="str">
        <f t="shared" si="107"/>
        <v>0.999999163002228+0.00279148995046046i</v>
      </c>
      <c r="AA160" s="160">
        <f t="shared" si="118"/>
        <v>1.0000030592059705</v>
      </c>
      <c r="AB160" s="160">
        <f t="shared" si="119"/>
        <v>2.7914850361318608E-3</v>
      </c>
      <c r="AC160" s="171" t="str">
        <f t="shared" si="120"/>
        <v>14.1068290382423-7.52059401857906i</v>
      </c>
      <c r="AD160" s="190">
        <f t="shared" si="121"/>
        <v>24.074962100803358</v>
      </c>
      <c r="AE160" s="169">
        <f t="shared" si="122"/>
        <v>-28.062847511794484</v>
      </c>
      <c r="AF160" s="98" t="str">
        <f t="shared" si="108"/>
        <v>-0.0000816326530612245</v>
      </c>
      <c r="AG160" s="98" t="str">
        <f t="shared" si="109"/>
        <v>0.0000388371838214613i</v>
      </c>
      <c r="AH160" s="98">
        <f t="shared" si="123"/>
        <v>3.8837183821461302E-5</v>
      </c>
      <c r="AI160" s="98">
        <f t="shared" si="124"/>
        <v>1.5707963267948966</v>
      </c>
      <c r="AJ160" s="98" t="str">
        <f t="shared" si="110"/>
        <v>1+0.0118357592343176i</v>
      </c>
      <c r="AK160" s="98">
        <f t="shared" si="125"/>
        <v>1.0000700401455154</v>
      </c>
      <c r="AL160" s="98">
        <f t="shared" si="126"/>
        <v>1.1835206609212322E-2</v>
      </c>
      <c r="AM160" s="98" t="str">
        <f t="shared" si="111"/>
        <v>1+0.185426894670977i</v>
      </c>
      <c r="AN160" s="98">
        <f t="shared" si="127"/>
        <v>1.0170462788228083</v>
      </c>
      <c r="AO160" s="98">
        <f t="shared" si="128"/>
        <v>0.18334450239060962</v>
      </c>
      <c r="AP160" s="168" t="str">
        <f t="shared" si="129"/>
        <v>-0.364823571420566+2.10623795476775i</v>
      </c>
      <c r="AQ160" s="98">
        <f t="shared" si="130"/>
        <v>6.5985295766227834</v>
      </c>
      <c r="AR160" s="169">
        <f t="shared" si="131"/>
        <v>99.826758795534928</v>
      </c>
      <c r="AS160" s="168" t="str">
        <f t="shared" si="132"/>
        <v>10.6936568131796+32.4560287108279i</v>
      </c>
      <c r="AT160" s="190">
        <f t="shared" si="133"/>
        <v>30.673491677426131</v>
      </c>
      <c r="AU160" s="169">
        <f t="shared" si="134"/>
        <v>71.763911283740484</v>
      </c>
      <c r="AV160" s="225"/>
      <c r="AX160">
        <f t="shared" si="135"/>
        <v>0</v>
      </c>
      <c r="AY160">
        <f t="shared" si="136"/>
        <v>0</v>
      </c>
    </row>
    <row r="161" spans="14:51" x14ac:dyDescent="0.25">
      <c r="N161" s="170">
        <v>43</v>
      </c>
      <c r="O161" s="199">
        <f t="shared" si="102"/>
        <v>269.15348039269179</v>
      </c>
      <c r="P161" s="189" t="str">
        <f t="shared" si="103"/>
        <v>18.0065359477124</v>
      </c>
      <c r="Q161" s="160" t="str">
        <f t="shared" si="104"/>
        <v>1+0.530554099883799i</v>
      </c>
      <c r="R161" s="160">
        <f t="shared" si="112"/>
        <v>1.1320281148909281</v>
      </c>
      <c r="S161" s="160">
        <f t="shared" si="113"/>
        <v>0.48779106669347067</v>
      </c>
      <c r="T161" s="160" t="str">
        <f t="shared" si="105"/>
        <v>1+0.000676456477351844i</v>
      </c>
      <c r="U161" s="160">
        <f t="shared" si="114"/>
        <v>1.0000002287966567</v>
      </c>
      <c r="V161" s="160">
        <f t="shared" si="115"/>
        <v>6.7645637417120691E-4</v>
      </c>
      <c r="W161" s="98" t="str">
        <f t="shared" si="106"/>
        <v>1-0.00955658735317007i</v>
      </c>
      <c r="X161" s="160">
        <f t="shared" si="116"/>
        <v>1.0000456631383583</v>
      </c>
      <c r="Y161" s="160">
        <f t="shared" si="117"/>
        <v>-9.5562964399551684E-3</v>
      </c>
      <c r="Z161" s="98" t="str">
        <f t="shared" si="107"/>
        <v>0.999999123555738+0.00285651210432834i</v>
      </c>
      <c r="AA161" s="160">
        <f t="shared" si="118"/>
        <v>1.0000032033816921</v>
      </c>
      <c r="AB161" s="160">
        <f t="shared" si="119"/>
        <v>2.8565068385312657E-3</v>
      </c>
      <c r="AC161" s="171" t="str">
        <f t="shared" si="120"/>
        <v>13.9634117402429-7.6196804692721i</v>
      </c>
      <c r="AD161" s="190">
        <f t="shared" si="121"/>
        <v>24.03182996519967</v>
      </c>
      <c r="AE161" s="169">
        <f t="shared" si="122"/>
        <v>-28.620812550239094</v>
      </c>
      <c r="AF161" s="98" t="str">
        <f t="shared" si="108"/>
        <v>-0.0000816326530612245</v>
      </c>
      <c r="AG161" s="98" t="str">
        <f t="shared" si="109"/>
        <v>0.0000397418180444208i</v>
      </c>
      <c r="AH161" s="98">
        <f t="shared" si="123"/>
        <v>3.9741818044420802E-5</v>
      </c>
      <c r="AI161" s="98">
        <f t="shared" si="124"/>
        <v>1.5707963267948966</v>
      </c>
      <c r="AJ161" s="98" t="str">
        <f t="shared" si="110"/>
        <v>1+0.0121114494827995i</v>
      </c>
      <c r="AK161" s="98">
        <f t="shared" si="125"/>
        <v>1.0000733409148423</v>
      </c>
      <c r="AL161" s="98">
        <f t="shared" si="126"/>
        <v>1.2110857336675976E-2</v>
      </c>
      <c r="AM161" s="98" t="str">
        <f t="shared" si="111"/>
        <v>1+0.189746041897192i</v>
      </c>
      <c r="AN161" s="98">
        <f t="shared" si="127"/>
        <v>1.0178426010025572</v>
      </c>
      <c r="AO161" s="98">
        <f t="shared" si="128"/>
        <v>0.18751682545837428</v>
      </c>
      <c r="AP161" s="168" t="str">
        <f t="shared" si="129"/>
        <v>-0.364821163204252+2.05849296358236i</v>
      </c>
      <c r="AQ161" s="98">
        <f t="shared" si="130"/>
        <v>6.405299085100439</v>
      </c>
      <c r="AR161" s="169">
        <f t="shared" si="131"/>
        <v>100.05002167477957</v>
      </c>
      <c r="AS161" s="168" t="str">
        <f t="shared" si="132"/>
        <v>10.5909105173672+31.5234055069379i</v>
      </c>
      <c r="AT161" s="190">
        <f t="shared" si="133"/>
        <v>30.437129050300111</v>
      </c>
      <c r="AU161" s="169">
        <f t="shared" si="134"/>
        <v>71.429209124540535</v>
      </c>
      <c r="AV161" s="225"/>
      <c r="AX161">
        <f t="shared" si="135"/>
        <v>0</v>
      </c>
      <c r="AY161">
        <f t="shared" si="136"/>
        <v>0</v>
      </c>
    </row>
    <row r="162" spans="14:51" x14ac:dyDescent="0.25">
      <c r="N162" s="170">
        <v>44</v>
      </c>
      <c r="O162" s="199">
        <f t="shared" si="102"/>
        <v>275.42287033381683</v>
      </c>
      <c r="P162" s="189" t="str">
        <f t="shared" si="103"/>
        <v>18.0065359477124</v>
      </c>
      <c r="Q162" s="160" t="str">
        <f t="shared" si="104"/>
        <v>1+0.542912292436916i</v>
      </c>
      <c r="R162" s="160">
        <f t="shared" si="112"/>
        <v>1.1378724696903022</v>
      </c>
      <c r="S162" s="160">
        <f t="shared" si="113"/>
        <v>0.49738531197923663</v>
      </c>
      <c r="T162" s="160" t="str">
        <f t="shared" si="105"/>
        <v>1+0.000692213172857068i</v>
      </c>
      <c r="U162" s="160">
        <f t="shared" si="114"/>
        <v>1.0000002395795096</v>
      </c>
      <c r="V162" s="160">
        <f t="shared" si="115"/>
        <v>6.9221306229702486E-4</v>
      </c>
      <c r="W162" s="98" t="str">
        <f t="shared" si="106"/>
        <v>1-0.00977918886861783i</v>
      </c>
      <c r="X162" s="160">
        <f t="shared" si="116"/>
        <v>1.0000478151243211</v>
      </c>
      <c r="Y162" s="160">
        <f t="shared" si="117"/>
        <v>-9.778877150296867E-3</v>
      </c>
      <c r="Z162" s="98" t="str">
        <f t="shared" si="107"/>
        <v>0.999999082250193+0.00292304881872435i</v>
      </c>
      <c r="AA162" s="160">
        <f t="shared" si="118"/>
        <v>1.0000033543521867</v>
      </c>
      <c r="AB162" s="160">
        <f t="shared" si="119"/>
        <v>2.9230431763221263E-3</v>
      </c>
      <c r="AC162" s="171" t="str">
        <f t="shared" si="120"/>
        <v>13.8162435687979-7.71726616227206i</v>
      </c>
      <c r="AD162" s="190">
        <f t="shared" si="121"/>
        <v>23.987119900024531</v>
      </c>
      <c r="AE162" s="169">
        <f t="shared" si="122"/>
        <v>-29.18618470764126</v>
      </c>
      <c r="AF162" s="98" t="str">
        <f t="shared" si="108"/>
        <v>-0.0000816326530612245</v>
      </c>
      <c r="AG162" s="98" t="str">
        <f t="shared" si="109"/>
        <v>0.0000406675239053527i</v>
      </c>
      <c r="AH162" s="98">
        <f t="shared" si="123"/>
        <v>4.0667523905352703E-5</v>
      </c>
      <c r="AI162" s="98">
        <f t="shared" si="124"/>
        <v>1.5707963267948966</v>
      </c>
      <c r="AJ162" s="98" t="str">
        <f t="shared" si="110"/>
        <v>1+0.0123935613821111i</v>
      </c>
      <c r="AK162" s="98">
        <f t="shared" si="125"/>
        <v>1.0000767972329585</v>
      </c>
      <c r="AL162" s="98">
        <f t="shared" si="126"/>
        <v>1.2392926888739712E-2</v>
      </c>
      <c r="AM162" s="98" t="str">
        <f t="shared" si="111"/>
        <v>1+0.194165794986408i</v>
      </c>
      <c r="AN162" s="98">
        <f t="shared" si="127"/>
        <v>1.0186757854895265</v>
      </c>
      <c r="AO162" s="98">
        <f t="shared" si="128"/>
        <v>0.19177950531228885</v>
      </c>
      <c r="AP162" s="168" t="str">
        <f t="shared" si="129"/>
        <v>-0.364818641526278+2.01183940986414i</v>
      </c>
      <c r="AQ162" s="98">
        <f t="shared" si="130"/>
        <v>6.2123762437331429</v>
      </c>
      <c r="AR162" s="169">
        <f t="shared" si="131"/>
        <v>100.2780938449619</v>
      </c>
      <c r="AS162" s="168" t="str">
        <f t="shared" si="132"/>
        <v>10.4854769919049+30.6114658656064i</v>
      </c>
      <c r="AT162" s="190">
        <f t="shared" si="133"/>
        <v>30.199496143757678</v>
      </c>
      <c r="AU162" s="169">
        <f t="shared" si="134"/>
        <v>71.091909137320656</v>
      </c>
      <c r="AV162" s="225"/>
      <c r="AX162">
        <f t="shared" si="135"/>
        <v>0</v>
      </c>
      <c r="AY162">
        <f t="shared" si="136"/>
        <v>0</v>
      </c>
    </row>
    <row r="163" spans="14:51" x14ac:dyDescent="0.25">
      <c r="N163" s="170">
        <v>45</v>
      </c>
      <c r="O163" s="199">
        <f t="shared" si="102"/>
        <v>281.83829312644554</v>
      </c>
      <c r="P163" s="189" t="str">
        <f t="shared" si="103"/>
        <v>18.0065359477124</v>
      </c>
      <c r="Q163" s="160" t="str">
        <f t="shared" si="104"/>
        <v>1+0.555558344273776i</v>
      </c>
      <c r="R163" s="160">
        <f t="shared" si="112"/>
        <v>1.1439602588779993</v>
      </c>
      <c r="S163" s="160">
        <f t="shared" si="113"/>
        <v>0.5071006353914731</v>
      </c>
      <c r="T163" s="160" t="str">
        <f t="shared" si="105"/>
        <v>1+0.000708336888949064i</v>
      </c>
      <c r="U163" s="160">
        <f t="shared" si="114"/>
        <v>1.0000002508705426</v>
      </c>
      <c r="V163" s="160">
        <f t="shared" si="115"/>
        <v>7.0833677048184505E-4</v>
      </c>
      <c r="W163" s="98" t="str">
        <f t="shared" si="106"/>
        <v>1-0.0100069754394466i</v>
      </c>
      <c r="X163" s="160">
        <f t="shared" si="116"/>
        <v>1.0000500685252942</v>
      </c>
      <c r="Y163" s="160">
        <f t="shared" si="117"/>
        <v>-1.0006641428151058E-2</v>
      </c>
      <c r="Z163" s="98" t="str">
        <f t="shared" si="107"/>
        <v>0.999999038997977+0.00299113537229516i</v>
      </c>
      <c r="AA163" s="160">
        <f t="shared" si="118"/>
        <v>1.000003512437678</v>
      </c>
      <c r="AB163" s="160">
        <f t="shared" si="119"/>
        <v>2.9911293263533713E-3</v>
      </c>
      <c r="AC163" s="171" t="str">
        <f t="shared" si="120"/>
        <v>13.6653375927149-7.81318724917861i</v>
      </c>
      <c r="AD163" s="190">
        <f t="shared" si="121"/>
        <v>23.94079124963238</v>
      </c>
      <c r="AE163" s="169">
        <f t="shared" si="122"/>
        <v>-29.758858896222947</v>
      </c>
      <c r="AF163" s="98" t="str">
        <f t="shared" si="108"/>
        <v>-0.0000816326530612245</v>
      </c>
      <c r="AG163" s="98" t="str">
        <f t="shared" si="109"/>
        <v>0.0000416147922257574i</v>
      </c>
      <c r="AH163" s="98">
        <f t="shared" si="123"/>
        <v>4.1614792225757399E-5</v>
      </c>
      <c r="AI163" s="98">
        <f t="shared" si="124"/>
        <v>1.5707963267948966</v>
      </c>
      <c r="AJ163" s="98" t="str">
        <f t="shared" si="110"/>
        <v>1+0.0126822445117156i</v>
      </c>
      <c r="AK163" s="98">
        <f t="shared" si="125"/>
        <v>1.0000804164295265</v>
      </c>
      <c r="AL163" s="98">
        <f t="shared" si="126"/>
        <v>1.268156464277166E-2</v>
      </c>
      <c r="AM163" s="98" t="str">
        <f t="shared" si="111"/>
        <v>1+0.198688497350212i</v>
      </c>
      <c r="AN163" s="98">
        <f t="shared" si="127"/>
        <v>1.0195475069751705</v>
      </c>
      <c r="AO163" s="98">
        <f t="shared" si="128"/>
        <v>0.19613418214385875</v>
      </c>
      <c r="AP163" s="168" t="str">
        <f t="shared" si="129"/>
        <v>-0.364816001042643+1.96625255708479i</v>
      </c>
      <c r="AQ163" s="98">
        <f t="shared" si="130"/>
        <v>6.0197744938586384</v>
      </c>
      <c r="AR163" s="169">
        <f t="shared" si="131"/>
        <v>100.51106072344012</v>
      </c>
      <c r="AS163" s="168" t="str">
        <f t="shared" si="132"/>
        <v>10.3773655942078+29.7198807127453i</v>
      </c>
      <c r="AT163" s="190">
        <f t="shared" si="133"/>
        <v>29.960565743491024</v>
      </c>
      <c r="AU163" s="169">
        <f t="shared" si="134"/>
        <v>70.752201827217149</v>
      </c>
      <c r="AV163" s="225"/>
      <c r="AX163">
        <f t="shared" si="135"/>
        <v>0</v>
      </c>
      <c r="AY163">
        <f t="shared" si="136"/>
        <v>0</v>
      </c>
    </row>
    <row r="164" spans="14:51" x14ac:dyDescent="0.25">
      <c r="N164" s="170">
        <v>46</v>
      </c>
      <c r="O164" s="199">
        <f t="shared" si="102"/>
        <v>288.40315031266073</v>
      </c>
      <c r="P164" s="189" t="str">
        <f t="shared" si="103"/>
        <v>18.0065359477124</v>
      </c>
      <c r="Q164" s="160" t="str">
        <f t="shared" si="104"/>
        <v>1+0.568498960498453i</v>
      </c>
      <c r="R164" s="160">
        <f t="shared" si="112"/>
        <v>1.1503004251445887</v>
      </c>
      <c r="S164" s="160">
        <f t="shared" si="113"/>
        <v>0.51693485133078387</v>
      </c>
      <c r="T164" s="160" t="str">
        <f t="shared" si="105"/>
        <v>1+0.000724836174635528i</v>
      </c>
      <c r="U164" s="160">
        <f t="shared" si="114"/>
        <v>1.0000002626937055</v>
      </c>
      <c r="V164" s="160">
        <f t="shared" si="115"/>
        <v>7.2483604769561761E-4</v>
      </c>
      <c r="W164" s="98" t="str">
        <f t="shared" si="106"/>
        <v>1-0.0102400678411113i</v>
      </c>
      <c r="X164" s="160">
        <f t="shared" si="116"/>
        <v>1.0000524281203413</v>
      </c>
      <c r="Y164" s="160">
        <f t="shared" si="117"/>
        <v>-1.0239709942573321E-2</v>
      </c>
      <c r="Z164" s="98" t="str">
        <f t="shared" si="107"/>
        <v>0.999998993707347+0.00306080786543273i</v>
      </c>
      <c r="AA164" s="160">
        <f t="shared" si="118"/>
        <v>1.0000036779734842</v>
      </c>
      <c r="AB164" s="160">
        <f t="shared" si="119"/>
        <v>3.060801387090644E-3</v>
      </c>
      <c r="AC164" s="171" t="str">
        <f t="shared" si="120"/>
        <v>13.5107156764486-7.90727729647505i</v>
      </c>
      <c r="AD164" s="190">
        <f t="shared" si="121"/>
        <v>23.892803549565848</v>
      </c>
      <c r="AE164" s="169">
        <f t="shared" si="122"/>
        <v>-30.338718382660353</v>
      </c>
      <c r="AF164" s="98" t="str">
        <f t="shared" si="108"/>
        <v>-0.0000816326530612245</v>
      </c>
      <c r="AG164" s="98" t="str">
        <f t="shared" si="109"/>
        <v>0.0000425841252598372i</v>
      </c>
      <c r="AH164" s="98">
        <f t="shared" si="123"/>
        <v>4.2584125259837202E-5</v>
      </c>
      <c r="AI164" s="98">
        <f t="shared" si="124"/>
        <v>1.5707963267948966</v>
      </c>
      <c r="AJ164" s="98" t="str">
        <f t="shared" si="110"/>
        <v>1+0.0129776519352297i</v>
      </c>
      <c r="AK164" s="98">
        <f t="shared" si="125"/>
        <v>1.0000842061795356</v>
      </c>
      <c r="AL164" s="98">
        <f t="shared" si="126"/>
        <v>1.2976923445844018E-2</v>
      </c>
      <c r="AM164" s="98" t="str">
        <f t="shared" si="111"/>
        <v>1+0.203316546985266i</v>
      </c>
      <c r="AN164" s="98">
        <f t="shared" si="127"/>
        <v>1.0204595132968342</v>
      </c>
      <c r="AO164" s="98">
        <f t="shared" si="128"/>
        <v>0.20058250391432153</v>
      </c>
      <c r="AP164" s="168" t="str">
        <f t="shared" si="129"/>
        <v>-0.364813236157817+1.92170823428092i</v>
      </c>
      <c r="AQ164" s="98">
        <f t="shared" si="130"/>
        <v>5.8275078140473475</v>
      </c>
      <c r="AR164" s="169">
        <f t="shared" si="131"/>
        <v>100.74900797394571</v>
      </c>
      <c r="AS164" s="168" t="str">
        <f t="shared" si="132"/>
        <v>10.2665919826453+28.8483329861839i</v>
      </c>
      <c r="AT164" s="190">
        <f t="shared" si="133"/>
        <v>29.720311363613199</v>
      </c>
      <c r="AU164" s="169">
        <f t="shared" si="134"/>
        <v>70.410289591285391</v>
      </c>
      <c r="AV164" s="225"/>
      <c r="AX164">
        <f t="shared" si="135"/>
        <v>0</v>
      </c>
      <c r="AY164">
        <f t="shared" si="136"/>
        <v>0</v>
      </c>
    </row>
    <row r="165" spans="14:51" x14ac:dyDescent="0.25">
      <c r="N165" s="170">
        <v>47</v>
      </c>
      <c r="O165" s="199">
        <f t="shared" si="102"/>
        <v>295.12092266663871</v>
      </c>
      <c r="P165" s="189" t="str">
        <f t="shared" si="103"/>
        <v>18.0065359477124</v>
      </c>
      <c r="Q165" s="160" t="str">
        <f t="shared" si="104"/>
        <v>1+0.58174100239696i</v>
      </c>
      <c r="R165" s="160">
        <f t="shared" si="112"/>
        <v>1.15690215397406</v>
      </c>
      <c r="S165" s="160">
        <f t="shared" si="113"/>
        <v>0.5268855646600219</v>
      </c>
      <c r="T165" s="160" t="str">
        <f t="shared" si="105"/>
        <v>1+0.000741719778056124i</v>
      </c>
      <c r="U165" s="160">
        <f t="shared" si="114"/>
        <v>1.0000002750740768</v>
      </c>
      <c r="V165" s="160">
        <f t="shared" si="115"/>
        <v>7.4171964203756141E-4</v>
      </c>
      <c r="W165" s="98" t="str">
        <f t="shared" si="106"/>
        <v>1-0.0104785896622887i</v>
      </c>
      <c r="X165" s="160">
        <f t="shared" si="116"/>
        <v>1.0000548989137099</v>
      </c>
      <c r="Y165" s="160">
        <f t="shared" si="117"/>
        <v>-1.0478206168232942E-2</v>
      </c>
      <c r="Z165" s="98" t="str">
        <f t="shared" si="107"/>
        <v>0.999998946282235+0.00313210323941512i</v>
      </c>
      <c r="AA165" s="160">
        <f t="shared" si="118"/>
        <v>1.000003851310725</v>
      </c>
      <c r="AB165" s="160">
        <f t="shared" si="119"/>
        <v>3.1320962977479227E-3</v>
      </c>
      <c r="AC165" s="171" t="str">
        <f t="shared" si="120"/>
        <v>13.3524088439348-7.99936780115164i</v>
      </c>
      <c r="AD165" s="190">
        <f t="shared" si="121"/>
        <v>23.84311662421096</v>
      </c>
      <c r="AE165" s="169">
        <f t="shared" si="122"/>
        <v>-30.925634625512899</v>
      </c>
      <c r="AF165" s="98" t="str">
        <f t="shared" si="108"/>
        <v>-0.0000816326530612245</v>
      </c>
      <c r="AG165" s="98" t="str">
        <f t="shared" si="109"/>
        <v>0.0000435760369607972i</v>
      </c>
      <c r="AH165" s="98">
        <f t="shared" si="123"/>
        <v>4.35760369607972E-5</v>
      </c>
      <c r="AI165" s="98">
        <f t="shared" si="124"/>
        <v>1.5707963267948966</v>
      </c>
      <c r="AJ165" s="98" t="str">
        <f t="shared" si="110"/>
        <v>1+0.0132799402815793i</v>
      </c>
      <c r="AK165" s="98">
        <f t="shared" si="125"/>
        <v>1.0000881745195682</v>
      </c>
      <c r="AL165" s="98">
        <f t="shared" si="126"/>
        <v>1.327915969485584E-2</v>
      </c>
      <c r="AM165" s="98" t="str">
        <f t="shared" si="111"/>
        <v>1+0.208052397744743i</v>
      </c>
      <c r="AN165" s="98">
        <f t="shared" si="127"/>
        <v>1.0214136283638164</v>
      </c>
      <c r="AO165" s="98">
        <f t="shared" si="128"/>
        <v>0.20512612467623098</v>
      </c>
      <c r="AP165" s="168" t="str">
        <f t="shared" si="129"/>
        <v>-0.3648103410129+1.87818282323727i</v>
      </c>
      <c r="AQ165" s="98">
        <f t="shared" si="130"/>
        <v>5.6355907369521132</v>
      </c>
      <c r="AR165" s="169">
        <f t="shared" si="131"/>
        <v>100.99202140582692</v>
      </c>
      <c r="AS165" s="168" t="str">
        <f t="shared" si="132"/>
        <v>10.1531783771808+27.9965170349455i</v>
      </c>
      <c r="AT165" s="190">
        <f t="shared" si="133"/>
        <v>29.478707361163075</v>
      </c>
      <c r="AU165" s="169">
        <f t="shared" si="134"/>
        <v>70.066386780313991</v>
      </c>
      <c r="AV165" s="225"/>
      <c r="AX165">
        <f t="shared" si="135"/>
        <v>0</v>
      </c>
      <c r="AY165">
        <f t="shared" si="136"/>
        <v>0</v>
      </c>
    </row>
    <row r="166" spans="14:51" x14ac:dyDescent="0.25">
      <c r="N166" s="170">
        <v>48</v>
      </c>
      <c r="O166" s="199">
        <f t="shared" si="102"/>
        <v>301.99517204020168</v>
      </c>
      <c r="P166" s="189" t="str">
        <f t="shared" si="103"/>
        <v>18.0065359477124</v>
      </c>
      <c r="Q166" s="160" t="str">
        <f t="shared" si="104"/>
        <v>1+0.595291491075191i</v>
      </c>
      <c r="R166" s="160">
        <f t="shared" si="112"/>
        <v>1.1637748748561829</v>
      </c>
      <c r="S166" s="160">
        <f t="shared" si="113"/>
        <v>0.5369501684604977</v>
      </c>
      <c r="T166" s="160" t="str">
        <f t="shared" si="105"/>
        <v>1+0.000758996651120868i</v>
      </c>
      <c r="U166" s="160">
        <f t="shared" si="114"/>
        <v>1.0000002880379166</v>
      </c>
      <c r="V166" s="160">
        <f t="shared" si="115"/>
        <v>7.5899650537435462E-4</v>
      </c>
      <c r="W166" s="98" t="str">
        <f t="shared" si="106"/>
        <v>1-0.0107226673704056i</v>
      </c>
      <c r="X166" s="160">
        <f t="shared" si="116"/>
        <v>1.0000574861454397</v>
      </c>
      <c r="Y166" s="160">
        <f t="shared" si="117"/>
        <v>-1.0722256450397141E-2</v>
      </c>
      <c r="Z166" s="98" t="str">
        <f t="shared" si="107"/>
        <v>0.999998896622047+0.00320505929599334i</v>
      </c>
      <c r="AA166" s="160">
        <f t="shared" si="118"/>
        <v>1.0000040328170692</v>
      </c>
      <c r="AB166" s="160">
        <f t="shared" si="119"/>
        <v>3.2050518578645116E-3</v>
      </c>
      <c r="AC166" s="171" t="str">
        <f t="shared" si="120"/>
        <v>13.1904576109937-8.08928874880774i</v>
      </c>
      <c r="AD166" s="190">
        <f t="shared" si="121"/>
        <v>23.791690688244351</v>
      </c>
      <c r="AE166" s="169">
        <f t="shared" si="122"/>
        <v>-31.519467151242797</v>
      </c>
      <c r="AF166" s="98" t="str">
        <f t="shared" si="108"/>
        <v>-0.0000816326530612245</v>
      </c>
      <c r="AG166" s="98" t="str">
        <f t="shared" si="109"/>
        <v>0.0000445910532533509i</v>
      </c>
      <c r="AH166" s="98">
        <f t="shared" si="123"/>
        <v>4.4591053253350901E-5</v>
      </c>
      <c r="AI166" s="98">
        <f t="shared" si="124"/>
        <v>1.5707963267948966</v>
      </c>
      <c r="AJ166" s="98" t="str">
        <f t="shared" si="110"/>
        <v>1+0.013589269828047i</v>
      </c>
      <c r="AK166" s="98">
        <f t="shared" si="125"/>
        <v>1.0000923298648279</v>
      </c>
      <c r="AL166" s="98">
        <f t="shared" si="126"/>
        <v>1.3588433418473846E-2</v>
      </c>
      <c r="AM166" s="98" t="str">
        <f t="shared" si="111"/>
        <v>1+0.212898560639403i</v>
      </c>
      <c r="AN166" s="98">
        <f t="shared" si="127"/>
        <v>1.0224117551761274</v>
      </c>
      <c r="AO166" s="98">
        <f t="shared" si="128"/>
        <v>0.20976670275801712</v>
      </c>
      <c r="AP166" s="168" t="str">
        <f t="shared" si="129"/>
        <v>-0.364807309473257+1.83565324596297i</v>
      </c>
      <c r="AQ166" s="98">
        <f t="shared" si="130"/>
        <v>5.4440383662472165</v>
      </c>
      <c r="AR166" s="169">
        <f t="shared" si="131"/>
        <v>101.24018686533657</v>
      </c>
      <c r="AS166" s="168" t="str">
        <f t="shared" si="132"/>
        <v>10.037153797493+27.1641379933624i</v>
      </c>
      <c r="AT166" s="190">
        <f t="shared" si="133"/>
        <v>29.235729054491571</v>
      </c>
      <c r="AU166" s="169">
        <f t="shared" si="134"/>
        <v>69.720719714093775</v>
      </c>
      <c r="AV166" s="225"/>
      <c r="AX166">
        <f t="shared" si="135"/>
        <v>0</v>
      </c>
      <c r="AY166">
        <f t="shared" si="136"/>
        <v>0</v>
      </c>
    </row>
    <row r="167" spans="14:51" x14ac:dyDescent="0.25">
      <c r="N167" s="170">
        <v>49</v>
      </c>
      <c r="O167" s="199">
        <f t="shared" si="102"/>
        <v>309.02954325135937</v>
      </c>
      <c r="P167" s="189" t="str">
        <f t="shared" si="103"/>
        <v>18.0065359477124</v>
      </c>
      <c r="Q167" s="160" t="str">
        <f t="shared" si="104"/>
        <v>1+0.609157611181603i</v>
      </c>
      <c r="R167" s="160">
        <f t="shared" si="112"/>
        <v>1.1709282622178341</v>
      </c>
      <c r="S167" s="160">
        <f t="shared" si="113"/>
        <v>0.54712584251208263</v>
      </c>
      <c r="T167" s="160" t="str">
        <f t="shared" si="105"/>
        <v>1+0.000776675954256544i</v>
      </c>
      <c r="U167" s="160">
        <f t="shared" si="114"/>
        <v>1.0000003016127235</v>
      </c>
      <c r="V167" s="160">
        <f t="shared" si="115"/>
        <v>7.7667579808634376E-4</v>
      </c>
      <c r="W167" s="98" t="str">
        <f t="shared" si="106"/>
        <v>1-0.0109724303786935i</v>
      </c>
      <c r="X167" s="160">
        <f t="shared" si="116"/>
        <v>1.0000601953024704</v>
      </c>
      <c r="Y167" s="160">
        <f t="shared" si="117"/>
        <v>-1.0971990071402909E-2</v>
      </c>
      <c r="Z167" s="98" t="str">
        <f t="shared" si="107"/>
        <v>0.999998844621446+0.00327971471743427i</v>
      </c>
      <c r="AA167" s="160">
        <f t="shared" si="118"/>
        <v>1.0000042228775108</v>
      </c>
      <c r="AB167" s="160">
        <f t="shared" si="119"/>
        <v>3.279706747337414E-3</v>
      </c>
      <c r="AC167" s="171" t="str">
        <f t="shared" si="120"/>
        <v>13.0249122814131-8.17686921255134i</v>
      </c>
      <c r="AD167" s="190">
        <f t="shared" si="121"/>
        <v>23.738486451502489</v>
      </c>
      <c r="AE167" s="169">
        <f t="shared" si="122"/>
        <v>-32.120063471815278</v>
      </c>
      <c r="AF167" s="98" t="str">
        <f t="shared" si="108"/>
        <v>-0.0000816326530612245</v>
      </c>
      <c r="AG167" s="98" t="str">
        <f t="shared" si="109"/>
        <v>0.000045629712312572i</v>
      </c>
      <c r="AH167" s="98">
        <f t="shared" si="123"/>
        <v>4.5629712312571997E-5</v>
      </c>
      <c r="AI167" s="98">
        <f t="shared" si="124"/>
        <v>1.5707963267948966</v>
      </c>
      <c r="AJ167" s="98" t="str">
        <f t="shared" si="110"/>
        <v>1+0.0139058045852528i</v>
      </c>
      <c r="AK167" s="98">
        <f t="shared" si="125"/>
        <v>1.0000966810269711</v>
      </c>
      <c r="AL167" s="98">
        <f t="shared" si="126"/>
        <v>1.3904908360927344E-2</v>
      </c>
      <c r="AM167" s="98" t="str">
        <f t="shared" si="111"/>
        <v>1+0.217857605168961i</v>
      </c>
      <c r="AN167" s="98">
        <f t="shared" si="127"/>
        <v>1.0234558789366324</v>
      </c>
      <c r="AO167" s="98">
        <f t="shared" si="128"/>
        <v>0.21450589880496843</v>
      </c>
      <c r="AP167" s="168" t="str">
        <f t="shared" si="129"/>
        <v>-0.364804135115554+1.79409695245409i</v>
      </c>
      <c r="AQ167" s="98">
        <f t="shared" si="130"/>
        <v>5.2528663936073876</v>
      </c>
      <c r="AR167" s="169">
        <f t="shared" si="131"/>
        <v>101.49359011858766</v>
      </c>
      <c r="AS167" s="168" t="str">
        <f t="shared" si="132"/>
        <v>9.91855427507717+26.3509111311029i</v>
      </c>
      <c r="AT167" s="190">
        <f t="shared" si="133"/>
        <v>28.991352845109883</v>
      </c>
      <c r="AU167" s="169">
        <f t="shared" si="134"/>
        <v>69.373526646772405</v>
      </c>
      <c r="AV167" s="225"/>
      <c r="AX167">
        <f t="shared" si="135"/>
        <v>0</v>
      </c>
      <c r="AY167">
        <f t="shared" si="136"/>
        <v>0</v>
      </c>
    </row>
    <row r="168" spans="14:51" x14ac:dyDescent="0.25">
      <c r="N168" s="170">
        <v>50</v>
      </c>
      <c r="O168" s="199">
        <f t="shared" si="102"/>
        <v>316.22776601683825</v>
      </c>
      <c r="P168" s="189" t="str">
        <f t="shared" si="103"/>
        <v>18.0065359477124</v>
      </c>
      <c r="Q168" s="160" t="str">
        <f t="shared" si="104"/>
        <v>1+0.623346714716618i</v>
      </c>
      <c r="R168" s="160">
        <f t="shared" si="112"/>
        <v>1.1783722360731352</v>
      </c>
      <c r="S168" s="160">
        <f t="shared" si="113"/>
        <v>0.55740955254689628</v>
      </c>
      <c r="T168" s="160" t="str">
        <f t="shared" si="105"/>
        <v>1+0.000794767061263688i</v>
      </c>
      <c r="U168" s="160">
        <f t="shared" si="114"/>
        <v>1.000000315827291</v>
      </c>
      <c r="V168" s="160">
        <f t="shared" si="115"/>
        <v>7.9476689392430635E-4</v>
      </c>
      <c r="W168" s="98" t="str">
        <f t="shared" si="106"/>
        <v>1-0.0112280111148055i</v>
      </c>
      <c r="X168" s="160">
        <f t="shared" si="116"/>
        <v>1.0000630321302724</v>
      </c>
      <c r="Y168" s="160">
        <f t="shared" si="117"/>
        <v>-1.1227539318649418E-2</v>
      </c>
      <c r="Z168" s="98" t="str">
        <f t="shared" si="107"/>
        <v>0.999998790170132+0.00335610908703054i</v>
      </c>
      <c r="AA168" s="160">
        <f t="shared" si="118"/>
        <v>1.0000044218951896</v>
      </c>
      <c r="AB168" s="160">
        <f t="shared" si="119"/>
        <v>3.3561005469198899E-3</v>
      </c>
      <c r="AC168" s="171" t="str">
        <f t="shared" si="120"/>
        <v>12.8558332018507-8.26193799043868i</v>
      </c>
      <c r="AD168" s="190">
        <f t="shared" si="121"/>
        <v>23.683465226853624</v>
      </c>
      <c r="AE168" s="169">
        <f t="shared" si="122"/>
        <v>-32.72725904673019</v>
      </c>
      <c r="AF168" s="98" t="str">
        <f t="shared" si="108"/>
        <v>-0.0000816326530612245</v>
      </c>
      <c r="AG168" s="98" t="str">
        <f t="shared" si="109"/>
        <v>0.0000466925648492417i</v>
      </c>
      <c r="AH168" s="98">
        <f t="shared" si="123"/>
        <v>4.66925648492417E-5</v>
      </c>
      <c r="AI168" s="98">
        <f t="shared" si="124"/>
        <v>1.5707963267948966</v>
      </c>
      <c r="AJ168" s="98" t="str">
        <f t="shared" si="110"/>
        <v>1+0.0142297123841147i</v>
      </c>
      <c r="AK168" s="98">
        <f t="shared" si="125"/>
        <v>1.0001012372327787</v>
      </c>
      <c r="AL168" s="98">
        <f t="shared" si="126"/>
        <v>1.4228752067698303E-2</v>
      </c>
      <c r="AM168" s="98" t="str">
        <f t="shared" si="111"/>
        <v>1+0.222932160684465i</v>
      </c>
      <c r="AN168" s="98">
        <f t="shared" si="127"/>
        <v>1.0245480702570495</v>
      </c>
      <c r="AO168" s="98">
        <f t="shared" si="128"/>
        <v>0.21934537367009649</v>
      </c>
      <c r="AP168" s="168" t="str">
        <f t="shared" si="129"/>
        <v>-0.364800811214192+1.75349190873612i</v>
      </c>
      <c r="AQ168" s="98">
        <f t="shared" si="130"/>
        <v>5.0620911156729509</v>
      </c>
      <c r="AR168" s="169">
        <f t="shared" si="131"/>
        <v>101.75231672579935</v>
      </c>
      <c r="AS168" s="168" t="str">
        <f t="shared" si="132"/>
        <v>9.79742303584431+25.5565611806198i</v>
      </c>
      <c r="AT168" s="190">
        <f t="shared" si="133"/>
        <v>28.745556342526587</v>
      </c>
      <c r="AU168" s="169">
        <f t="shared" si="134"/>
        <v>69.025057679069192</v>
      </c>
      <c r="AV168" s="225"/>
      <c r="AX168">
        <f t="shared" si="135"/>
        <v>0</v>
      </c>
      <c r="AY168">
        <f t="shared" si="136"/>
        <v>0</v>
      </c>
    </row>
    <row r="169" spans="14:51" x14ac:dyDescent="0.25">
      <c r="N169" s="170">
        <v>51</v>
      </c>
      <c r="O169" s="199">
        <f t="shared" si="102"/>
        <v>323.59365692962825</v>
      </c>
      <c r="P169" s="189" t="str">
        <f t="shared" si="103"/>
        <v>18.0065359477124</v>
      </c>
      <c r="Q169" s="160" t="str">
        <f t="shared" si="104"/>
        <v>1+0.637866324930745i</v>
      </c>
      <c r="R169" s="160">
        <f t="shared" si="112"/>
        <v>1.1861169623947947</v>
      </c>
      <c r="S169" s="160">
        <f t="shared" si="113"/>
        <v>0.56779805032305397</v>
      </c>
      <c r="T169" s="160" t="str">
        <f t="shared" si="105"/>
        <v>1+0.0008132795642867i</v>
      </c>
      <c r="U169" s="160">
        <f t="shared" si="114"/>
        <v>1.0000003307117702</v>
      </c>
      <c r="V169" s="160">
        <f t="shared" si="115"/>
        <v>8.1327938497932531E-4</v>
      </c>
      <c r="W169" s="98" t="str">
        <f t="shared" si="106"/>
        <v>1-0.0114895450910309i</v>
      </c>
      <c r="X169" s="160">
        <f t="shared" si="116"/>
        <v>1.0000660026450248</v>
      </c>
      <c r="Y169" s="160">
        <f t="shared" si="117"/>
        <v>-1.1489039554143493E-2</v>
      </c>
      <c r="Z169" s="98" t="str">
        <f t="shared" si="107"/>
        <v>0.999998733152607+0.00343428291008811i</v>
      </c>
      <c r="AA169" s="160">
        <f t="shared" si="118"/>
        <v>1.000004630292243</v>
      </c>
      <c r="AB169" s="160">
        <f t="shared" si="119"/>
        <v>3.4342737591969191E-3</v>
      </c>
      <c r="AC169" s="171" t="str">
        <f t="shared" si="120"/>
        <v>12.6832909707842-8.34432427859545i</v>
      </c>
      <c r="AD169" s="190">
        <f t="shared" si="121"/>
        <v>23.626589040597757</v>
      </c>
      <c r="AE169" s="169">
        <f t="shared" si="122"/>
        <v>-33.340877292149116</v>
      </c>
      <c r="AF169" s="98" t="str">
        <f t="shared" si="108"/>
        <v>-0.0000816326530612245</v>
      </c>
      <c r="AG169" s="98" t="str">
        <f t="shared" si="109"/>
        <v>0.0000477801744018437i</v>
      </c>
      <c r="AH169" s="98">
        <f t="shared" si="123"/>
        <v>4.7780174401843702E-5</v>
      </c>
      <c r="AI169" s="98">
        <f t="shared" si="124"/>
        <v>1.5707963267948966</v>
      </c>
      <c r="AJ169" s="98" t="str">
        <f t="shared" si="110"/>
        <v>1+0.0145611649648352i</v>
      </c>
      <c r="AK169" s="98">
        <f t="shared" si="125"/>
        <v>1.0001060081437032</v>
      </c>
      <c r="AL169" s="98">
        <f t="shared" si="126"/>
        <v>1.4560135973146581E-2</v>
      </c>
      <c r="AM169" s="98" t="str">
        <f t="shared" si="111"/>
        <v>1+0.228124917782419i</v>
      </c>
      <c r="AN169" s="98">
        <f t="shared" si="127"/>
        <v>1.025690488458012</v>
      </c>
      <c r="AO169" s="98">
        <f t="shared" si="128"/>
        <v>0.22428678614834877</v>
      </c>
      <c r="AP169" s="168" t="str">
        <f t="shared" si="129"/>
        <v>-0.364797330727101+1.71381658517995i</v>
      </c>
      <c r="AQ169" s="98">
        <f t="shared" si="130"/>
        <v>4.8717294509405731</v>
      </c>
      <c r="AR169" s="169">
        <f t="shared" si="131"/>
        <v>102.01645190645571</v>
      </c>
      <c r="AS169" s="168" t="str">
        <f t="shared" si="132"/>
        <v>9.67381064979939+24.780821643946i</v>
      </c>
      <c r="AT169" s="190">
        <f t="shared" si="133"/>
        <v>28.498318491538321</v>
      </c>
      <c r="AU169" s="169">
        <f t="shared" si="134"/>
        <v>68.675574614306569</v>
      </c>
      <c r="AV169" s="225"/>
      <c r="AX169">
        <f t="shared" si="135"/>
        <v>0</v>
      </c>
      <c r="AY169">
        <f t="shared" si="136"/>
        <v>0</v>
      </c>
    </row>
    <row r="170" spans="14:51" x14ac:dyDescent="0.25">
      <c r="N170" s="170">
        <v>52</v>
      </c>
      <c r="O170" s="199">
        <f t="shared" si="102"/>
        <v>331.13112148259137</v>
      </c>
      <c r="P170" s="189" t="str">
        <f t="shared" si="103"/>
        <v>18.0065359477124</v>
      </c>
      <c r="Q170" s="160" t="str">
        <f t="shared" si="104"/>
        <v>1+0.652724140313512i</v>
      </c>
      <c r="R170" s="160">
        <f t="shared" si="112"/>
        <v>1.1941728532118008</v>
      </c>
      <c r="S170" s="160">
        <f t="shared" si="113"/>
        <v>0.57828787456102071</v>
      </c>
      <c r="T170" s="160" t="str">
        <f t="shared" si="105"/>
        <v>1+0.000832223278899728i</v>
      </c>
      <c r="U170" s="160">
        <f t="shared" si="114"/>
        <v>1.0000003462977329</v>
      </c>
      <c r="V170" s="160">
        <f t="shared" si="115"/>
        <v>8.3222308676841796E-4</v>
      </c>
      <c r="W170" s="98" t="str">
        <f t="shared" si="106"/>
        <v>1-0.0117571709761457i</v>
      </c>
      <c r="X170" s="160">
        <f t="shared" si="116"/>
        <v>1.0000691131463677</v>
      </c>
      <c r="Y170" s="160">
        <f t="shared" si="117"/>
        <v>-1.1756629285633162E-2</v>
      </c>
      <c r="Z170" s="98" t="str">
        <f t="shared" si="107"/>
        <v>0.999998673447929+0.00351427763540273i</v>
      </c>
      <c r="AA170" s="160">
        <f t="shared" si="118"/>
        <v>1.0000048485107043</v>
      </c>
      <c r="AB170" s="160">
        <f t="shared" si="119"/>
        <v>3.5142678300486693E-3</v>
      </c>
      <c r="AC170" s="171" t="str">
        <f t="shared" si="120"/>
        <v>12.5073665969125-8.42385837655891i</v>
      </c>
      <c r="AD170" s="190">
        <f t="shared" si="121"/>
        <v>23.567820744871675</v>
      </c>
      <c r="AE170" s="169">
        <f t="shared" si="122"/>
        <v>-33.96072963955914</v>
      </c>
      <c r="AF170" s="98" t="str">
        <f t="shared" si="108"/>
        <v>-0.0000816326530612245</v>
      </c>
      <c r="AG170" s="98" t="str">
        <f t="shared" si="109"/>
        <v>0.000048893117635359i</v>
      </c>
      <c r="AH170" s="98">
        <f t="shared" si="123"/>
        <v>4.8893117635359001E-5</v>
      </c>
      <c r="AI170" s="98">
        <f t="shared" si="124"/>
        <v>1.5707963267948966</v>
      </c>
      <c r="AJ170" s="98" t="str">
        <f t="shared" si="110"/>
        <v>1+0.01490033806796i</v>
      </c>
      <c r="AK170" s="98">
        <f t="shared" si="125"/>
        <v>1.0001110038763394</v>
      </c>
      <c r="AL170" s="98">
        <f t="shared" si="126"/>
        <v>1.4899235490110086E-2</v>
      </c>
      <c r="AM170" s="98" t="str">
        <f t="shared" si="111"/>
        <v>1+0.233438629731374i</v>
      </c>
      <c r="AN170" s="98">
        <f t="shared" si="127"/>
        <v>1.026885384963123</v>
      </c>
      <c r="AO170" s="98">
        <f t="shared" si="128"/>
        <v>0.22933179054765215</v>
      </c>
      <c r="AP170" s="168" t="str">
        <f t="shared" si="129"/>
        <v>-0.364793686280892+1.67504994508514i</v>
      </c>
      <c r="AQ170" s="98">
        <f t="shared" si="130"/>
        <v>4.6817989565131715</v>
      </c>
      <c r="AR170" s="169">
        <f t="shared" si="131"/>
        <v>102.28608039500372</v>
      </c>
      <c r="AS170" s="168" t="str">
        <f t="shared" si="132"/>
        <v>9.54777514450579+24.0234340812111i</v>
      </c>
      <c r="AT170" s="190">
        <f t="shared" si="133"/>
        <v>28.249619701384848</v>
      </c>
      <c r="AU170" s="169">
        <f t="shared" si="134"/>
        <v>68.325350755444603</v>
      </c>
      <c r="AV170" s="225"/>
      <c r="AX170">
        <f t="shared" si="135"/>
        <v>0</v>
      </c>
      <c r="AY170">
        <f t="shared" si="136"/>
        <v>0</v>
      </c>
    </row>
    <row r="171" spans="14:51" x14ac:dyDescent="0.25">
      <c r="N171" s="170">
        <v>53</v>
      </c>
      <c r="O171" s="199">
        <f t="shared" si="102"/>
        <v>338.84415613920277</v>
      </c>
      <c r="P171" s="189" t="str">
        <f t="shared" si="103"/>
        <v>18.0065359477124</v>
      </c>
      <c r="Q171" s="160" t="str">
        <f t="shared" si="104"/>
        <v>1+0.667928038675294i</v>
      </c>
      <c r="R171" s="160">
        <f t="shared" si="112"/>
        <v>1.2025505664414387</v>
      </c>
      <c r="S171" s="160">
        <f t="shared" si="113"/>
        <v>0.58887535278038305</v>
      </c>
      <c r="T171" s="160" t="str">
        <f t="shared" si="105"/>
        <v>1+0.000851608249311i</v>
      </c>
      <c r="U171" s="160">
        <f t="shared" si="114"/>
        <v>1.0000003626182394</v>
      </c>
      <c r="V171" s="160">
        <f t="shared" si="115"/>
        <v>8.5160804343859626E-4</v>
      </c>
      <c r="W171" s="98" t="str">
        <f t="shared" si="106"/>
        <v>1-0.0120310306689365i</v>
      </c>
      <c r="X171" s="160">
        <f t="shared" si="116"/>
        <v>1.0000723702307532</v>
      </c>
      <c r="Y171" s="160">
        <f t="shared" si="117"/>
        <v>-1.2030450239363361E-2</v>
      </c>
      <c r="Z171" s="98" t="str">
        <f t="shared" si="107"/>
        <v>0.999998610929456+0.00359613567723658i</v>
      </c>
      <c r="AA171" s="160">
        <f t="shared" si="118"/>
        <v>1.0000050770134372</v>
      </c>
      <c r="AB171" s="160">
        <f t="shared" si="119"/>
        <v>3.5961251706132279E-3</v>
      </c>
      <c r="AC171" s="171" t="str">
        <f t="shared" si="120"/>
        <v>12.32815160266-8.50037242077315i</v>
      </c>
      <c r="AD171" s="190">
        <f t="shared" si="121"/>
        <v>23.507124131485462</v>
      </c>
      <c r="AE171" s="169">
        <f t="shared" si="122"/>
        <v>-34.586615646139457</v>
      </c>
      <c r="AF171" s="98" t="str">
        <f t="shared" si="108"/>
        <v>-0.0000816326530612245</v>
      </c>
      <c r="AG171" s="98" t="str">
        <f t="shared" si="109"/>
        <v>0.0000500319846470214i</v>
      </c>
      <c r="AH171" s="98">
        <f t="shared" si="123"/>
        <v>5.0031984647021398E-5</v>
      </c>
      <c r="AI171" s="98">
        <f t="shared" si="124"/>
        <v>1.5707963267948966</v>
      </c>
      <c r="AJ171" s="98" t="str">
        <f t="shared" si="110"/>
        <v>1+0.0152474115275575i</v>
      </c>
      <c r="AK171" s="98">
        <f t="shared" si="125"/>
        <v>1.000116235023855</v>
      </c>
      <c r="AL171" s="98">
        <f t="shared" si="126"/>
        <v>1.5246230101521516E-2</v>
      </c>
      <c r="AM171" s="98" t="str">
        <f t="shared" si="111"/>
        <v>1+0.238876113931735i</v>
      </c>
      <c r="AN171" s="98">
        <f t="shared" si="127"/>
        <v>1.0281351067866165</v>
      </c>
      <c r="AO171" s="98">
        <f t="shared" si="128"/>
        <v>0.23448203409037269</v>
      </c>
      <c r="AP171" s="168" t="str">
        <f t="shared" si="129"/>
        <v>-0.364789870155268+1.63717143352445i</v>
      </c>
      <c r="AQ171" s="98">
        <f t="shared" si="130"/>
        <v>4.4923178446360552</v>
      </c>
      <c r="AR171" s="169">
        <f t="shared" si="131"/>
        <v>102.56128628671857</v>
      </c>
      <c r="AS171" s="168" t="str">
        <f t="shared" si="132"/>
        <v>9.41938207922008+23.2841473836789i</v>
      </c>
      <c r="AT171" s="190">
        <f t="shared" si="133"/>
        <v>27.999441976121528</v>
      </c>
      <c r="AU171" s="169">
        <f t="shared" si="134"/>
        <v>67.974670640579149</v>
      </c>
      <c r="AV171" s="225"/>
      <c r="AX171">
        <f t="shared" si="135"/>
        <v>0</v>
      </c>
      <c r="AY171">
        <f t="shared" si="136"/>
        <v>0</v>
      </c>
    </row>
    <row r="172" spans="14:51" x14ac:dyDescent="0.25">
      <c r="N172" s="170">
        <v>54</v>
      </c>
      <c r="O172" s="199">
        <f t="shared" si="102"/>
        <v>346.73685045253183</v>
      </c>
      <c r="P172" s="189" t="str">
        <f t="shared" si="103"/>
        <v>18.0065359477124</v>
      </c>
      <c r="Q172" s="160" t="str">
        <f t="shared" si="104"/>
        <v>1+0.683486081324257i</v>
      </c>
      <c r="R172" s="160">
        <f t="shared" si="112"/>
        <v>1.2112610054666124</v>
      </c>
      <c r="S172" s="160">
        <f t="shared" si="113"/>
        <v>0.59955660406943889</v>
      </c>
      <c r="T172" s="160" t="str">
        <f t="shared" si="105"/>
        <v>1+0.000871444753688428i</v>
      </c>
      <c r="U172" s="160">
        <f t="shared" si="114"/>
        <v>1.0000003797079073</v>
      </c>
      <c r="V172" s="160">
        <f t="shared" si="115"/>
        <v>8.7144453309217758E-4</v>
      </c>
      <c r="W172" s="98" t="str">
        <f t="shared" si="106"/>
        <v>1-0.0123112693734376i</v>
      </c>
      <c r="X172" s="160">
        <f t="shared" si="116"/>
        <v>1.0000757808054275</v>
      </c>
      <c r="Y172" s="160">
        <f t="shared" si="117"/>
        <v>-1.2310647434489935E-2</v>
      </c>
      <c r="Z172" s="98" t="str">
        <f t="shared" si="107"/>
        <v>0.999998545464578+0.00367990043780699i</v>
      </c>
      <c r="AA172" s="160">
        <f t="shared" si="118"/>
        <v>1.0000053162851203</v>
      </c>
      <c r="AB172" s="160">
        <f t="shared" si="119"/>
        <v>3.6798891797603984E-3</v>
      </c>
      <c r="AC172" s="171" t="str">
        <f t="shared" si="120"/>
        <v>12.1457480687685-8.5737011415815i</v>
      </c>
      <c r="AD172" s="190">
        <f t="shared" si="121"/>
        <v>23.444464046571536</v>
      </c>
      <c r="AE172" s="169">
        <f t="shared" si="122"/>
        <v>-35.218323158694893</v>
      </c>
      <c r="AF172" s="98" t="str">
        <f t="shared" si="108"/>
        <v>-0.0000816326530612245</v>
      </c>
      <c r="AG172" s="98" t="str">
        <f t="shared" si="109"/>
        <v>0.0000511973792791952i</v>
      </c>
      <c r="AH172" s="98">
        <f t="shared" si="123"/>
        <v>5.11973792791952E-5</v>
      </c>
      <c r="AI172" s="98">
        <f t="shared" si="124"/>
        <v>1.5707963267948966</v>
      </c>
      <c r="AJ172" s="98" t="str">
        <f t="shared" si="110"/>
        <v>1+0.0156025693665704i</v>
      </c>
      <c r="AK172" s="98">
        <f t="shared" si="125"/>
        <v>1.0001217126784312</v>
      </c>
      <c r="AL172" s="98">
        <f t="shared" si="126"/>
        <v>1.5601303454085587E-2</v>
      </c>
      <c r="AM172" s="98" t="str">
        <f t="shared" si="111"/>
        <v>1+0.244440253409604i</v>
      </c>
      <c r="AN172" s="98">
        <f t="shared" si="127"/>
        <v>1.0294421001139167</v>
      </c>
      <c r="AO172" s="98">
        <f t="shared" si="128"/>
        <v>0.23973915413897653</v>
      </c>
      <c r="AP172" s="168" t="str">
        <f t="shared" si="129"/>
        <v>-0.36478587426676+1.60016096644379i</v>
      </c>
      <c r="AQ172" s="98">
        <f t="shared" si="130"/>
        <v>4.3033049989400727</v>
      </c>
      <c r="AR172" s="169">
        <f t="shared" si="131"/>
        <v>102.84215287337769</v>
      </c>
      <c r="AS172" s="168" t="str">
        <f t="shared" si="132"/>
        <v>9.28870457682375+22.5627170345371i</v>
      </c>
      <c r="AT172" s="190">
        <f t="shared" si="133"/>
        <v>27.747769045511603</v>
      </c>
      <c r="AU172" s="169">
        <f t="shared" si="134"/>
        <v>67.62382971468277</v>
      </c>
      <c r="AV172" s="225"/>
      <c r="AX172">
        <f t="shared" si="135"/>
        <v>0</v>
      </c>
      <c r="AY172">
        <f t="shared" si="136"/>
        <v>0</v>
      </c>
    </row>
    <row r="173" spans="14:51" x14ac:dyDescent="0.25">
      <c r="N173" s="170">
        <v>55</v>
      </c>
      <c r="O173" s="199">
        <f t="shared" si="102"/>
        <v>354.81338923357566</v>
      </c>
      <c r="P173" s="189" t="str">
        <f t="shared" si="103"/>
        <v>18.0065359477124</v>
      </c>
      <c r="Q173" s="160" t="str">
        <f t="shared" si="104"/>
        <v>1+0.699406517340546i</v>
      </c>
      <c r="R173" s="160">
        <f t="shared" si="112"/>
        <v>1.2203153184724149</v>
      </c>
      <c r="S173" s="160">
        <f t="shared" si="113"/>
        <v>0.61032754281373336</v>
      </c>
      <c r="T173" s="160" t="str">
        <f t="shared" si="105"/>
        <v>1+0.000891743309609196i</v>
      </c>
      <c r="U173" s="160">
        <f t="shared" si="114"/>
        <v>1.0000003976029861</v>
      </c>
      <c r="V173" s="160">
        <f t="shared" si="115"/>
        <v>8.9174307323605997E-4</v>
      </c>
      <c r="W173" s="98" t="str">
        <f t="shared" si="106"/>
        <v>1-0.0125980356759194i</v>
      </c>
      <c r="X173" s="160">
        <f t="shared" si="116"/>
        <v>1.0000793521030678</v>
      </c>
      <c r="Y173" s="160">
        <f t="shared" si="117"/>
        <v>-1.2597369259186126E-2</v>
      </c>
      <c r="Z173" s="98" t="str">
        <f t="shared" si="107"/>
        <v>0.999998476914436+0.00376561633029877i</v>
      </c>
      <c r="AA173" s="160">
        <f t="shared" si="118"/>
        <v>1.0000055668332746</v>
      </c>
      <c r="AB173" s="160">
        <f t="shared" si="119"/>
        <v>3.765604267088054E-3</v>
      </c>
      <c r="AC173" s="171" t="str">
        <f t="shared" si="120"/>
        <v>11.9602686163841-8.64368263849263i</v>
      </c>
      <c r="AD173" s="190">
        <f t="shared" si="121"/>
        <v>23.379806505387929</v>
      </c>
      <c r="AE173" s="169">
        <f t="shared" si="122"/>
        <v>-35.855628532650385</v>
      </c>
      <c r="AF173" s="98" t="str">
        <f t="shared" si="108"/>
        <v>-0.0000816326530612245</v>
      </c>
      <c r="AG173" s="98" t="str">
        <f t="shared" si="109"/>
        <v>0.0000523899194395404i</v>
      </c>
      <c r="AH173" s="98">
        <f t="shared" si="123"/>
        <v>5.2389919439540402E-5</v>
      </c>
      <c r="AI173" s="98">
        <f t="shared" si="124"/>
        <v>1.5707963267948966</v>
      </c>
      <c r="AJ173" s="98" t="str">
        <f t="shared" si="110"/>
        <v>1+0.0159659998943859i</v>
      </c>
      <c r="AK173" s="98">
        <f t="shared" si="125"/>
        <v>1.0001274484547595</v>
      </c>
      <c r="AL173" s="98">
        <f t="shared" si="126"/>
        <v>1.5964643454055235E-2</v>
      </c>
      <c r="AM173" s="98" t="str">
        <f t="shared" si="111"/>
        <v>1+0.250133998345379i</v>
      </c>
      <c r="AN173" s="98">
        <f t="shared" si="127"/>
        <v>1.0308089139739944</v>
      </c>
      <c r="AO173" s="98">
        <f t="shared" si="128"/>
        <v>0.24510477523977242</v>
      </c>
      <c r="AP173" s="168" t="str">
        <f t="shared" si="129"/>
        <v>-0.364781690151652+1.56399892001154i</v>
      </c>
      <c r="AQ173" s="98">
        <f t="shared" si="130"/>
        <v>4.1147799903032976</v>
      </c>
      <c r="AR173" s="169">
        <f t="shared" si="131"/>
        <v>103.12876246839308</v>
      </c>
      <c r="AS173" s="168" t="str">
        <f t="shared" si="132"/>
        <v>9.15582331097262+21.8589043610765i</v>
      </c>
      <c r="AT173" s="190">
        <f t="shared" si="133"/>
        <v>27.494586495691237</v>
      </c>
      <c r="AU173" s="169">
        <f t="shared" si="134"/>
        <v>67.273133935742706</v>
      </c>
      <c r="AV173" s="225"/>
      <c r="AX173">
        <f t="shared" si="135"/>
        <v>0</v>
      </c>
      <c r="AY173">
        <f t="shared" si="136"/>
        <v>0</v>
      </c>
    </row>
    <row r="174" spans="14:51" x14ac:dyDescent="0.25">
      <c r="N174" s="170">
        <v>56</v>
      </c>
      <c r="O174" s="199">
        <f t="shared" si="102"/>
        <v>363.07805477010152</v>
      </c>
      <c r="P174" s="189" t="str">
        <f t="shared" si="103"/>
        <v>18.0065359477124</v>
      </c>
      <c r="Q174" s="160" t="str">
        <f t="shared" si="104"/>
        <v>1+0.715697787950071i</v>
      </c>
      <c r="R174" s="160">
        <f t="shared" si="112"/>
        <v>1.2297248975590536</v>
      </c>
      <c r="S174" s="160">
        <f t="shared" si="113"/>
        <v>0.62118388340291386</v>
      </c>
      <c r="T174" s="160" t="str">
        <f t="shared" si="105"/>
        <v>1+0.00091251467963634i</v>
      </c>
      <c r="U174" s="160">
        <f t="shared" si="114"/>
        <v>1.0000004163414336</v>
      </c>
      <c r="V174" s="160">
        <f t="shared" si="115"/>
        <v>9.1251442635796717E-4</v>
      </c>
      <c r="W174" s="98" t="str">
        <f t="shared" si="106"/>
        <v>1-0.0128914816236712i</v>
      </c>
      <c r="X174" s="160">
        <f t="shared" si="116"/>
        <v>1.0000830916971117</v>
      </c>
      <c r="Y174" s="160">
        <f t="shared" si="117"/>
        <v>-1.289076754848042E-2</v>
      </c>
      <c r="Z174" s="98" t="str">
        <f t="shared" si="107"/>
        <v>0.999998405133624+0.00385332880241272i</v>
      </c>
      <c r="AA174" s="160">
        <f t="shared" si="118"/>
        <v>1.0000058291893359</v>
      </c>
      <c r="AB174" s="160">
        <f t="shared" si="119"/>
        <v>3.8533158764535386E-3</v>
      </c>
      <c r="AC174" s="171" t="str">
        <f t="shared" si="120"/>
        <v>11.7718363235398-8.71015916796896i</v>
      </c>
      <c r="AD174" s="190">
        <f t="shared" si="121"/>
        <v>23.313118806577947</v>
      </c>
      <c r="AE174" s="169">
        <f t="shared" si="122"/>
        <v>-36.498296907222247</v>
      </c>
      <c r="AF174" s="98" t="str">
        <f t="shared" si="108"/>
        <v>-0.0000816326530612245</v>
      </c>
      <c r="AG174" s="98" t="str">
        <f t="shared" si="109"/>
        <v>0.0000536102374286349i</v>
      </c>
      <c r="AH174" s="98">
        <f t="shared" si="123"/>
        <v>5.3610237428634902E-5</v>
      </c>
      <c r="AI174" s="98">
        <f t="shared" si="124"/>
        <v>1.5707963267948966</v>
      </c>
      <c r="AJ174" s="98" t="str">
        <f t="shared" si="110"/>
        <v>1+0.0163378958066804i</v>
      </c>
      <c r="AK174" s="98">
        <f t="shared" si="125"/>
        <v>1.0001334545146412</v>
      </c>
      <c r="AL174" s="98">
        <f t="shared" si="126"/>
        <v>1.6336442365154181E-2</v>
      </c>
      <c r="AM174" s="98" t="str">
        <f t="shared" si="111"/>
        <v>1+0.255960367637993i</v>
      </c>
      <c r="AN174" s="98">
        <f t="shared" si="127"/>
        <v>1.0322382040020495</v>
      </c>
      <c r="AO174" s="98">
        <f t="shared" si="128"/>
        <v>0.25058050597903037</v>
      </c>
      <c r="AP174" s="168" t="str">
        <f t="shared" si="129"/>
        <v>-0.364777308948153+1.52866612021196i</v>
      </c>
      <c r="AQ174" s="98">
        <f t="shared" si="130"/>
        <v>3.9267630922388506</v>
      </c>
      <c r="AR174" s="169">
        <f t="shared" si="131"/>
        <v>103.42119622106908</v>
      </c>
      <c r="AS174" s="168" t="str">
        <f t="shared" si="132"/>
        <v>9.02082644624878+21.1724757822776i</v>
      </c>
      <c r="AT174" s="190">
        <f t="shared" si="133"/>
        <v>27.239881898816797</v>
      </c>
      <c r="AU174" s="169">
        <f t="shared" si="134"/>
        <v>66.922899313846841</v>
      </c>
      <c r="AV174" s="225"/>
      <c r="AX174">
        <f t="shared" si="135"/>
        <v>0</v>
      </c>
      <c r="AY174">
        <f t="shared" si="136"/>
        <v>0</v>
      </c>
    </row>
    <row r="175" spans="14:51" x14ac:dyDescent="0.25">
      <c r="N175" s="170">
        <v>57</v>
      </c>
      <c r="O175" s="199">
        <f t="shared" si="102"/>
        <v>371.53522909717265</v>
      </c>
      <c r="P175" s="189" t="str">
        <f t="shared" si="103"/>
        <v>18.0065359477124</v>
      </c>
      <c r="Q175" s="160" t="str">
        <f t="shared" si="104"/>
        <v>1+0.732368531000144i</v>
      </c>
      <c r="R175" s="160">
        <f t="shared" si="112"/>
        <v>1.2395013776512347</v>
      </c>
      <c r="S175" s="160">
        <f t="shared" si="113"/>
        <v>0.63212114592767754</v>
      </c>
      <c r="T175" s="160" t="str">
        <f t="shared" si="105"/>
        <v>1+0.000933769877025184i</v>
      </c>
      <c r="U175" s="160">
        <f t="shared" si="114"/>
        <v>1.0000004359629966</v>
      </c>
      <c r="V175" s="160">
        <f t="shared" si="115"/>
        <v>9.3376960563252437E-4</v>
      </c>
      <c r="W175" s="98" t="str">
        <f t="shared" si="106"/>
        <v>1-0.0131917628056189i</v>
      </c>
      <c r="X175" s="160">
        <f t="shared" si="116"/>
        <v>1.0000870075178059</v>
      </c>
      <c r="Y175" s="160">
        <f t="shared" si="117"/>
        <v>-1.3190997663861786E-2</v>
      </c>
      <c r="Z175" s="98" t="str">
        <f t="shared" si="107"/>
        <v>0.999998329969888+0.00394308436046252i</v>
      </c>
      <c r="AA175" s="160">
        <f t="shared" si="118"/>
        <v>1.0000061039097905</v>
      </c>
      <c r="AB175" s="160">
        <f t="shared" si="119"/>
        <v>3.9430705100521836E-3</v>
      </c>
      <c r="AC175" s="171" t="str">
        <f t="shared" si="120"/>
        <v>11.5805845735191-8.77297793750823i</v>
      </c>
      <c r="AD175" s="190">
        <f t="shared" si="121"/>
        <v>23.244369645160319</v>
      </c>
      <c r="AE175" s="169">
        <f t="shared" si="122"/>
        <v>-37.146082537443554</v>
      </c>
      <c r="AF175" s="98" t="str">
        <f t="shared" si="108"/>
        <v>-0.0000816326530612245</v>
      </c>
      <c r="AG175" s="98" t="str">
        <f t="shared" si="109"/>
        <v>0.0000548589802752295i</v>
      </c>
      <c r="AH175" s="98">
        <f t="shared" si="123"/>
        <v>5.4858980275229502E-5</v>
      </c>
      <c r="AI175" s="98">
        <f t="shared" si="124"/>
        <v>1.5707963267948966</v>
      </c>
      <c r="AJ175" s="98" t="str">
        <f t="shared" si="110"/>
        <v>1+0.0167184542875891i</v>
      </c>
      <c r="AK175" s="98">
        <f t="shared" si="125"/>
        <v>1.0001397435927473</v>
      </c>
      <c r="AL175" s="98">
        <f t="shared" si="126"/>
        <v>1.6716896908687082E-2</v>
      </c>
      <c r="AM175" s="98" t="str">
        <f t="shared" si="111"/>
        <v>1+0.261922450505564i</v>
      </c>
      <c r="AN175" s="98">
        <f t="shared" si="127"/>
        <v>1.0337327362905944</v>
      </c>
      <c r="AO175" s="98">
        <f t="shared" si="128"/>
        <v>0.25616793564599499</v>
      </c>
      <c r="AP175" s="168" t="str">
        <f t="shared" si="129"/>
        <v>-0.364772721377688+1.49414383267681i</v>
      </c>
      <c r="AQ175" s="98">
        <f t="shared" si="130"/>
        <v>3.7392752957047</v>
      </c>
      <c r="AR175" s="169">
        <f t="shared" si="131"/>
        <v>103.71953391967132</v>
      </c>
      <c r="AS175" s="168" t="str">
        <f t="shared" si="132"/>
        <v>8.88380952951061+20.5032020561671i</v>
      </c>
      <c r="AT175" s="190">
        <f t="shared" si="133"/>
        <v>26.983644940865034</v>
      </c>
      <c r="AU175" s="169">
        <f t="shared" si="134"/>
        <v>66.573451382227802</v>
      </c>
      <c r="AV175" s="225"/>
      <c r="AX175">
        <f t="shared" si="135"/>
        <v>0</v>
      </c>
      <c r="AY175">
        <f t="shared" si="136"/>
        <v>0</v>
      </c>
    </row>
    <row r="176" spans="14:51" x14ac:dyDescent="0.25">
      <c r="N176" s="170">
        <v>58</v>
      </c>
      <c r="O176" s="199">
        <f t="shared" si="102"/>
        <v>380.18939632056163</v>
      </c>
      <c r="P176" s="189" t="str">
        <f t="shared" si="103"/>
        <v>18.0065359477124</v>
      </c>
      <c r="Q176" s="160" t="str">
        <f t="shared" si="104"/>
        <v>1+0.749427585539398i</v>
      </c>
      <c r="R176" s="160">
        <f t="shared" si="112"/>
        <v>1.2496566352272178</v>
      </c>
      <c r="S176" s="160">
        <f t="shared" si="113"/>
        <v>0.64313466287060339</v>
      </c>
      <c r="T176" s="160" t="str">
        <f t="shared" si="105"/>
        <v>1+0.000955520171562732i</v>
      </c>
      <c r="U176" s="160">
        <f t="shared" si="114"/>
        <v>1.000000456509295</v>
      </c>
      <c r="V176" s="160">
        <f t="shared" si="115"/>
        <v>9.5551988076026501E-4</v>
      </c>
      <c r="W176" s="98" t="str">
        <f t="shared" si="106"/>
        <v>1-0.0134990384348197i</v>
      </c>
      <c r="X176" s="160">
        <f t="shared" si="116"/>
        <v>1.0000911078690105</v>
      </c>
      <c r="Y176" s="160">
        <f t="shared" si="117"/>
        <v>-1.349821857468954E-2</v>
      </c>
      <c r="Z176" s="98" t="str">
        <f t="shared" si="107"/>
        <v>0.999998251263793+0.00403493059403314i</v>
      </c>
      <c r="AA176" s="160">
        <f t="shared" si="118"/>
        <v>1.0000063915773454</v>
      </c>
      <c r="AB176" s="160">
        <f t="shared" si="119"/>
        <v>4.0349157530560941E-3</v>
      </c>
      <c r="AC176" s="171" t="str">
        <f t="shared" si="120"/>
        <v>11.3866568332383-8.83199189937308i</v>
      </c>
      <c r="AD176" s="190">
        <f t="shared" si="121"/>
        <v>23.173529223498846</v>
      </c>
      <c r="AE176" s="169">
        <f t="shared" si="122"/>
        <v>-37.798729183261919</v>
      </c>
      <c r="AF176" s="98" t="str">
        <f t="shared" si="108"/>
        <v>-0.0000816326530612245</v>
      </c>
      <c r="AG176" s="98" t="str">
        <f t="shared" si="109"/>
        <v>0.0000561368100793105i</v>
      </c>
      <c r="AH176" s="98">
        <f t="shared" si="123"/>
        <v>5.6136810079310502E-5</v>
      </c>
      <c r="AI176" s="98">
        <f t="shared" si="124"/>
        <v>1.5707963267948966</v>
      </c>
      <c r="AJ176" s="98" t="str">
        <f t="shared" si="110"/>
        <v>1+0.0171078771142561i</v>
      </c>
      <c r="AK176" s="98">
        <f t="shared" si="125"/>
        <v>1.0001463290235866</v>
      </c>
      <c r="AL176" s="98">
        <f t="shared" si="126"/>
        <v>1.7106208365883144E-2</v>
      </c>
      <c r="AM176" s="98" t="str">
        <f t="shared" si="111"/>
        <v>1+0.268023408123346i</v>
      </c>
      <c r="AN176" s="98">
        <f t="shared" si="127"/>
        <v>1.0352953913265788</v>
      </c>
      <c r="AO176" s="98">
        <f t="shared" si="128"/>
        <v>0.26186863069783545</v>
      </c>
      <c r="AP176" s="168" t="str">
        <f t="shared" si="129"/>
        <v>-0.364767917725361+1.46041375275002i</v>
      </c>
      <c r="AQ176" s="98">
        <f t="shared" si="130"/>
        <v>3.5523383232266377</v>
      </c>
      <c r="AR176" s="169">
        <f t="shared" si="131"/>
        <v>104.02385378301956</v>
      </c>
      <c r="AS176" s="168" t="str">
        <f t="shared" si="132"/>
        <v>8.74487533110763+19.8508575316078i</v>
      </c>
      <c r="AT176" s="190">
        <f t="shared" si="133"/>
        <v>26.725867546725492</v>
      </c>
      <c r="AU176" s="169">
        <f t="shared" si="134"/>
        <v>66.225124599757663</v>
      </c>
      <c r="AV176" s="225"/>
      <c r="AX176">
        <f t="shared" si="135"/>
        <v>0</v>
      </c>
      <c r="AY176">
        <f t="shared" si="136"/>
        <v>0</v>
      </c>
    </row>
    <row r="177" spans="14:51" x14ac:dyDescent="0.25">
      <c r="N177" s="170">
        <v>59</v>
      </c>
      <c r="O177" s="199">
        <f t="shared" si="102"/>
        <v>389.04514499428063</v>
      </c>
      <c r="P177" s="189" t="str">
        <f t="shared" si="103"/>
        <v>18.0065359477124</v>
      </c>
      <c r="Q177" s="160" t="str">
        <f t="shared" si="104"/>
        <v>1+0.766883996504351i</v>
      </c>
      <c r="R177" s="160">
        <f t="shared" si="112"/>
        <v>1.2602027868936354</v>
      </c>
      <c r="S177" s="160">
        <f t="shared" si="113"/>
        <v>0.65421958678604919</v>
      </c>
      <c r="T177" s="160" t="str">
        <f t="shared" si="105"/>
        <v>1+0.000977777095543048i</v>
      </c>
      <c r="U177" s="160">
        <f t="shared" si="114"/>
        <v>1.00000047802391</v>
      </c>
      <c r="V177" s="160">
        <f t="shared" si="115"/>
        <v>9.7777678394259885E-4</v>
      </c>
      <c r="W177" s="98" t="str">
        <f t="shared" si="106"/>
        <v>1-0.0138134714328796i</v>
      </c>
      <c r="X177" s="160">
        <f t="shared" si="116"/>
        <v>1.0000954014457955</v>
      </c>
      <c r="Y177" s="160">
        <f t="shared" si="117"/>
        <v>-1.3812592941448517E-2</v>
      </c>
      <c r="Z177" s="98" t="str">
        <f t="shared" si="107"/>
        <v>0.999998168848395+0.00412891620121333i</v>
      </c>
      <c r="AA177" s="160">
        <f t="shared" si="118"/>
        <v>1.0000066928021731</v>
      </c>
      <c r="AB177" s="160">
        <f t="shared" si="119"/>
        <v>4.1289002988255377E-3</v>
      </c>
      <c r="AC177" s="171" t="str">
        <f t="shared" si="120"/>
        <v>11.1902063605082-8.88706053698366i</v>
      </c>
      <c r="AD177" s="190">
        <f t="shared" si="121"/>
        <v>23.1005693594851</v>
      </c>
      <c r="AE177" s="169">
        <f t="shared" si="122"/>
        <v>-38.455970555437766</v>
      </c>
      <c r="AF177" s="98" t="str">
        <f t="shared" si="108"/>
        <v>-0.0000816326530612245</v>
      </c>
      <c r="AG177" s="98" t="str">
        <f t="shared" si="109"/>
        <v>0.000057444404363154i</v>
      </c>
      <c r="AH177" s="98">
        <f t="shared" si="123"/>
        <v>5.7444404363153998E-5</v>
      </c>
      <c r="AI177" s="98">
        <f t="shared" si="124"/>
        <v>1.5707963267948966</v>
      </c>
      <c r="AJ177" s="98" t="str">
        <f t="shared" si="110"/>
        <v>1+0.0175063707638186i</v>
      </c>
      <c r="AK177" s="98">
        <f t="shared" si="125"/>
        <v>1.0001532247697451</v>
      </c>
      <c r="AL177" s="98">
        <f t="shared" si="126"/>
        <v>1.7504582682516184E-2</v>
      </c>
      <c r="AM177" s="98" t="str">
        <f t="shared" si="111"/>
        <v>1+0.274266475299825i</v>
      </c>
      <c r="AN177" s="98">
        <f t="shared" si="127"/>
        <v>1.0369291680116774</v>
      </c>
      <c r="AO177" s="98">
        <f t="shared" si="128"/>
        <v>0.26768413102203159</v>
      </c>
      <c r="AP177" s="168" t="str">
        <f t="shared" si="129"/>
        <v>-0.364762887819476+1.42745799578007i</v>
      </c>
      <c r="AQ177" s="98">
        <f t="shared" si="130"/>
        <v>3.3659746422156402</v>
      </c>
      <c r="AR177" s="169">
        <f t="shared" si="131"/>
        <v>104.33423224034335</v>
      </c>
      <c r="AS177" s="168" t="str">
        <f t="shared" si="132"/>
        <v>8.60413363514401+19.2152194094331i</v>
      </c>
      <c r="AT177" s="190">
        <f t="shared" si="133"/>
        <v>26.466544001700743</v>
      </c>
      <c r="AU177" s="169">
        <f t="shared" si="134"/>
        <v>65.878261684905596</v>
      </c>
      <c r="AV177" s="225"/>
      <c r="AX177">
        <f t="shared" si="135"/>
        <v>0</v>
      </c>
      <c r="AY177">
        <f t="shared" si="136"/>
        <v>0</v>
      </c>
    </row>
    <row r="178" spans="14:51" x14ac:dyDescent="0.25">
      <c r="N178" s="170">
        <v>60</v>
      </c>
      <c r="O178" s="199">
        <f t="shared" si="102"/>
        <v>398.10717055349761</v>
      </c>
      <c r="P178" s="189" t="str">
        <f t="shared" si="103"/>
        <v>18.0065359477124</v>
      </c>
      <c r="Q178" s="160" t="str">
        <f t="shared" si="104"/>
        <v>1+0.784747019515159i</v>
      </c>
      <c r="R178" s="160">
        <f t="shared" si="112"/>
        <v>1.271152187835086</v>
      </c>
      <c r="S178" s="160">
        <f t="shared" si="113"/>
        <v>0.66537089895546753</v>
      </c>
      <c r="T178" s="160" t="str">
        <f t="shared" si="105"/>
        <v>1+0.00100055244988183i</v>
      </c>
      <c r="U178" s="160">
        <f t="shared" si="114"/>
        <v>1.0000005005524772</v>
      </c>
      <c r="V178" s="160">
        <f t="shared" si="115"/>
        <v>1.0005521159959421E-3</v>
      </c>
      <c r="W178" s="98" t="str">
        <f t="shared" si="106"/>
        <v>1-0.014135228516336i</v>
      </c>
      <c r="X178" s="160">
        <f t="shared" si="116"/>
        <v>1.0000998973528639</v>
      </c>
      <c r="Y178" s="160">
        <f t="shared" si="117"/>
        <v>-1.4134287200886277E-2</v>
      </c>
      <c r="Z178" s="98" t="str">
        <f t="shared" si="107"/>
        <v>0.999998082548879+0.00422509101441607i</v>
      </c>
      <c r="AA178" s="160">
        <f t="shared" si="118"/>
        <v>1.0000070082231998</v>
      </c>
      <c r="AB178" s="160">
        <f t="shared" si="119"/>
        <v>4.2250739747068597E-3</v>
      </c>
      <c r="AC178" s="171" t="str">
        <f t="shared" si="120"/>
        <v>10.9913958398143-8.93805063673315i</v>
      </c>
      <c r="AD178" s="190">
        <f t="shared" si="121"/>
        <v>23.025463591158349</v>
      </c>
      <c r="AE178" s="169">
        <f t="shared" si="122"/>
        <v>-39.117530817462338</v>
      </c>
      <c r="AF178" s="98" t="str">
        <f t="shared" si="108"/>
        <v>-0.0000816326530612245</v>
      </c>
      <c r="AG178" s="98" t="str">
        <f t="shared" si="109"/>
        <v>0.0000587824564305575i</v>
      </c>
      <c r="AH178" s="98">
        <f t="shared" si="123"/>
        <v>5.8782456430557501E-5</v>
      </c>
      <c r="AI178" s="98">
        <f t="shared" si="124"/>
        <v>1.5707963267948966</v>
      </c>
      <c r="AJ178" s="98" t="str">
        <f t="shared" si="110"/>
        <v>1+0.0179141465228842i</v>
      </c>
      <c r="AK178" s="98">
        <f t="shared" si="125"/>
        <v>1.0001604454514501</v>
      </c>
      <c r="AL178" s="98">
        <f t="shared" si="126"/>
        <v>1.7912230575849019E-2</v>
      </c>
      <c r="AM178" s="98" t="str">
        <f t="shared" si="111"/>
        <v>1+0.280654962191853i</v>
      </c>
      <c r="AN178" s="98">
        <f t="shared" si="127"/>
        <v>1.0386371877623632</v>
      </c>
      <c r="AO178" s="98">
        <f t="shared" si="128"/>
        <v>0.27361594599233752</v>
      </c>
      <c r="AP178" s="168" t="str">
        <f t="shared" si="129"/>
        <v>-0.364757621010104+1.39525908763472i</v>
      </c>
      <c r="AQ178" s="98">
        <f t="shared" si="130"/>
        <v>3.1802074773518036</v>
      </c>
      <c r="AR178" s="169">
        <f t="shared" si="131"/>
        <v>104.65074369917905</v>
      </c>
      <c r="AS178" s="168" t="str">
        <f t="shared" si="132"/>
        <v>8.4617009785302+18.596067018014i</v>
      </c>
      <c r="AT178" s="190">
        <f t="shared" si="133"/>
        <v>26.20567106851016</v>
      </c>
      <c r="AU178" s="169">
        <f t="shared" si="134"/>
        <v>65.53321288171675</v>
      </c>
      <c r="AV178" s="225"/>
      <c r="AX178">
        <f t="shared" si="135"/>
        <v>0</v>
      </c>
      <c r="AY178">
        <f t="shared" si="136"/>
        <v>0</v>
      </c>
    </row>
    <row r="179" spans="14:51" x14ac:dyDescent="0.25">
      <c r="N179" s="170">
        <v>61</v>
      </c>
      <c r="O179" s="199">
        <f t="shared" si="102"/>
        <v>407.38027780411272</v>
      </c>
      <c r="P179" s="189" t="str">
        <f t="shared" si="103"/>
        <v>18.0065359477124</v>
      </c>
      <c r="Q179" s="160" t="str">
        <f t="shared" si="104"/>
        <v>1+0.803026125783071i</v>
      </c>
      <c r="R179" s="160">
        <f t="shared" si="112"/>
        <v>1.2825174301701199</v>
      </c>
      <c r="S179" s="160">
        <f t="shared" si="113"/>
        <v>0.67658341899526941</v>
      </c>
      <c r="T179" s="160" t="str">
        <f t="shared" si="105"/>
        <v>1+0.00102385831037342i</v>
      </c>
      <c r="U179" s="160">
        <f t="shared" si="114"/>
        <v>1.0000005241427825</v>
      </c>
      <c r="V179" s="160">
        <f t="shared" si="115"/>
        <v>1.0238579526082555E-3</v>
      </c>
      <c r="W179" s="98" t="str">
        <f t="shared" si="106"/>
        <v>1-0.0144644802850538i</v>
      </c>
      <c r="X179" s="160">
        <f t="shared" si="116"/>
        <v>1.0001046051238425</v>
      </c>
      <c r="Y179" s="160">
        <f t="shared" si="117"/>
        <v>-1.4463471653074827E-2</v>
      </c>
      <c r="Z179" s="98" t="str">
        <f t="shared" si="107"/>
        <v>0.999997992182191+0.00432350602680035i</v>
      </c>
      <c r="AA179" s="160">
        <f t="shared" si="118"/>
        <v>1.0000073385094617</v>
      </c>
      <c r="AB179" s="160">
        <f t="shared" si="119"/>
        <v>4.3234877684300574E-3</v>
      </c>
      <c r="AC179" s="171" t="str">
        <f t="shared" si="120"/>
        <v>10.7903969470825-8.98483703782921i</v>
      </c>
      <c r="AD179" s="190">
        <f t="shared" si="121"/>
        <v>22.948187276988229</v>
      </c>
      <c r="AE179" s="169">
        <f t="shared" si="122"/>
        <v>-39.78312514219089</v>
      </c>
      <c r="AF179" s="98" t="str">
        <f t="shared" si="108"/>
        <v>-0.0000816326530612245</v>
      </c>
      <c r="AG179" s="98" t="str">
        <f t="shared" si="109"/>
        <v>0.0000601516757344382i</v>
      </c>
      <c r="AH179" s="98">
        <f t="shared" si="123"/>
        <v>6.01516757344382E-5</v>
      </c>
      <c r="AI179" s="98">
        <f t="shared" si="124"/>
        <v>1.5707963267948966</v>
      </c>
      <c r="AJ179" s="98" t="str">
        <f t="shared" si="110"/>
        <v>1+0.018331420599558i</v>
      </c>
      <c r="AK179" s="98">
        <f t="shared" si="125"/>
        <v>1.0001680063775276</v>
      </c>
      <c r="AL179" s="98">
        <f t="shared" si="126"/>
        <v>1.8329367643946763E-2</v>
      </c>
      <c r="AM179" s="98" t="str">
        <f t="shared" si="111"/>
        <v>1+0.287192256059743i</v>
      </c>
      <c r="AN179" s="98">
        <f t="shared" si="127"/>
        <v>1.0404226986858203</v>
      </c>
      <c r="AO179" s="98">
        <f t="shared" si="128"/>
        <v>0.2796655503151893</v>
      </c>
      <c r="AP179" s="168" t="str">
        <f t="shared" si="129"/>
        <v>-0.364752106146668+1.36379995543351i</v>
      </c>
      <c r="AQ179" s="98">
        <f t="shared" si="130"/>
        <v>2.9950608219022912</v>
      </c>
      <c r="AR179" s="169">
        <f t="shared" si="131"/>
        <v>104.9734603011221</v>
      </c>
      <c r="AS179" s="168" t="str">
        <f t="shared" si="132"/>
        <v>8.31770033916191+17.9931811084738i</v>
      </c>
      <c r="AT179" s="190">
        <f t="shared" si="133"/>
        <v>25.943248098890521</v>
      </c>
      <c r="AU179" s="169">
        <f t="shared" si="134"/>
        <v>65.190335158931248</v>
      </c>
      <c r="AV179" s="225"/>
      <c r="AX179">
        <f t="shared" si="135"/>
        <v>0</v>
      </c>
      <c r="AY179">
        <f t="shared" si="136"/>
        <v>0</v>
      </c>
    </row>
    <row r="180" spans="14:51" x14ac:dyDescent="0.25">
      <c r="N180" s="170">
        <v>62</v>
      </c>
      <c r="O180" s="199">
        <f t="shared" si="102"/>
        <v>416.86938347033572</v>
      </c>
      <c r="P180" s="189" t="str">
        <f t="shared" si="103"/>
        <v>18.0065359477124</v>
      </c>
      <c r="Q180" s="160" t="str">
        <f t="shared" si="104"/>
        <v>1+0.821731007132182i</v>
      </c>
      <c r="R180" s="160">
        <f t="shared" si="112"/>
        <v>1.2943113412477192</v>
      </c>
      <c r="S180" s="160">
        <f t="shared" si="113"/>
        <v>0.68785181538508455</v>
      </c>
      <c r="T180" s="160" t="str">
        <f t="shared" si="105"/>
        <v>1+0.00104770703409353i</v>
      </c>
      <c r="U180" s="160">
        <f t="shared" si="114"/>
        <v>1.000000548844864</v>
      </c>
      <c r="V180" s="160">
        <f t="shared" si="115"/>
        <v>1.0477066507412608E-3</v>
      </c>
      <c r="W180" s="98" t="str">
        <f t="shared" si="106"/>
        <v>1-0.0148014013126787i</v>
      </c>
      <c r="X180" s="160">
        <f t="shared" si="116"/>
        <v>1.0001095347414797</v>
      </c>
      <c r="Y180" s="160">
        <f t="shared" si="117"/>
        <v>-1.4800320550434213E-2</v>
      </c>
      <c r="Z180" s="98" t="str">
        <f t="shared" si="107"/>
        <v>0.999997897556653+0.00442421341930841i</v>
      </c>
      <c r="AA180" s="160">
        <f t="shared" si="118"/>
        <v>1.0000076843615282</v>
      </c>
      <c r="AB180" s="160">
        <f t="shared" si="119"/>
        <v>4.4241938551201031E-3</v>
      </c>
      <c r="AC180" s="171" t="str">
        <f t="shared" si="120"/>
        <v>10.5873898447594-9.02730335271065i</v>
      </c>
      <c r="AD180" s="190">
        <f t="shared" si="121"/>
        <v>22.868717691055714</v>
      </c>
      <c r="AE180" s="169">
        <f t="shared" si="122"/>
        <v>-40.452460321348532</v>
      </c>
      <c r="AF180" s="98" t="str">
        <f t="shared" si="108"/>
        <v>-0.0000816326530612245</v>
      </c>
      <c r="AG180" s="98" t="str">
        <f t="shared" si="109"/>
        <v>0.0000615527882529949i</v>
      </c>
      <c r="AH180" s="98">
        <f t="shared" si="123"/>
        <v>6.1552788252994896E-5</v>
      </c>
      <c r="AI180" s="98">
        <f t="shared" si="124"/>
        <v>1.5707963267948966</v>
      </c>
      <c r="AJ180" s="98" t="str">
        <f t="shared" si="110"/>
        <v>1+0.0187584142380788i</v>
      </c>
      <c r="AK180" s="98">
        <f t="shared" si="125"/>
        <v>1.0001759235778112</v>
      </c>
      <c r="AL180" s="98">
        <f t="shared" si="126"/>
        <v>1.8756214477405435E-2</v>
      </c>
      <c r="AM180" s="98" t="str">
        <f t="shared" si="111"/>
        <v>1+0.293881823063236i</v>
      </c>
      <c r="AN180" s="98">
        <f t="shared" si="127"/>
        <v>1.0422890798271711</v>
      </c>
      <c r="AO180" s="98">
        <f t="shared" si="128"/>
        <v>0.28583437966422304</v>
      </c>
      <c r="AP180" s="168" t="str">
        <f t="shared" si="129"/>
        <v>-0.364746331554459+1.33306391849258i</v>
      </c>
      <c r="AQ180" s="98">
        <f t="shared" si="130"/>
        <v>2.8105594478266522</v>
      </c>
      <c r="AR180" s="169">
        <f t="shared" si="131"/>
        <v>105.30245166530244</v>
      </c>
      <c r="AS180" s="168" t="str">
        <f t="shared" si="132"/>
        <v>8.17226077417274+17.406343174794i</v>
      </c>
      <c r="AT180" s="190">
        <f t="shared" si="133"/>
        <v>25.67927713888237</v>
      </c>
      <c r="AU180" s="169">
        <f t="shared" si="134"/>
        <v>64.849991343953931</v>
      </c>
      <c r="AV180" s="225"/>
      <c r="AX180">
        <f t="shared" si="135"/>
        <v>0</v>
      </c>
      <c r="AY180">
        <f t="shared" si="136"/>
        <v>0</v>
      </c>
    </row>
    <row r="181" spans="14:51" x14ac:dyDescent="0.25">
      <c r="N181" s="170">
        <v>63</v>
      </c>
      <c r="O181" s="199">
        <f t="shared" si="102"/>
        <v>426.57951880159294</v>
      </c>
      <c r="P181" s="189" t="str">
        <f t="shared" si="103"/>
        <v>18.0065359477124</v>
      </c>
      <c r="Q181" s="160" t="str">
        <f t="shared" si="104"/>
        <v>1+0.840871581138168i</v>
      </c>
      <c r="R181" s="160">
        <f t="shared" si="112"/>
        <v>1.3065469819205899</v>
      </c>
      <c r="S181" s="160">
        <f t="shared" si="113"/>
        <v>0.69917061687498661</v>
      </c>
      <c r="T181" s="160" t="str">
        <f t="shared" si="105"/>
        <v>1+0.00107211126595116i</v>
      </c>
      <c r="U181" s="160">
        <f t="shared" si="114"/>
        <v>1.0000005747111183</v>
      </c>
      <c r="V181" s="160">
        <f t="shared" si="115"/>
        <v>1.0721108551818156E-3</v>
      </c>
      <c r="W181" s="98" t="str">
        <f t="shared" si="106"/>
        <v>1-0.0151461702391992i</v>
      </c>
      <c r="X181" s="160">
        <f t="shared" si="116"/>
        <v>1.0001146966587955</v>
      </c>
      <c r="Y181" s="160">
        <f t="shared" si="117"/>
        <v>-1.5145012188762668E-2</v>
      </c>
      <c r="Z181" s="98" t="str">
        <f t="shared" si="107"/>
        <v>0.999997798471551+0.00452726658833277i</v>
      </c>
      <c r="AA181" s="160">
        <f t="shared" si="118"/>
        <v>1.0000080465129821</v>
      </c>
      <c r="AB181" s="160">
        <f t="shared" si="119"/>
        <v>4.5272456249362191E-3</v>
      </c>
      <c r="AC181" s="171" t="str">
        <f t="shared" si="120"/>
        <v>10.382562609414-9.06534265064737i</v>
      </c>
      <c r="AD181" s="190">
        <f t="shared" si="121"/>
        <v>22.787034112386124</v>
      </c>
      <c r="AE181" s="169">
        <f t="shared" si="122"/>
        <v>-41.125235425541121</v>
      </c>
      <c r="AF181" s="98" t="str">
        <f t="shared" si="108"/>
        <v>-0.0000816326530612245</v>
      </c>
      <c r="AG181" s="98" t="str">
        <f t="shared" si="109"/>
        <v>0.0000629865368746308i</v>
      </c>
      <c r="AH181" s="98">
        <f t="shared" si="123"/>
        <v>6.2986536874630794E-5</v>
      </c>
      <c r="AI181" s="98">
        <f t="shared" si="124"/>
        <v>1.5707963267948966</v>
      </c>
      <c r="AJ181" s="98" t="str">
        <f t="shared" si="110"/>
        <v>1+0.0191953538361256i</v>
      </c>
      <c r="AK181" s="98">
        <f t="shared" si="125"/>
        <v>1.0001842138370782</v>
      </c>
      <c r="AL181" s="98">
        <f t="shared" si="126"/>
        <v>1.919299677354332E-2</v>
      </c>
      <c r="AM181" s="98" t="str">
        <f t="shared" si="111"/>
        <v>1+0.300727210099302i</v>
      </c>
      <c r="AN181" s="98">
        <f t="shared" si="127"/>
        <v>1.0442398454828803</v>
      </c>
      <c r="AO181" s="98">
        <f t="shared" si="128"/>
        <v>0.29212382610154525</v>
      </c>
      <c r="AP181" s="168" t="str">
        <f t="shared" si="129"/>
        <v>-0.364740285010069+1.30303467947734i</v>
      </c>
      <c r="AQ181" s="98">
        <f t="shared" si="130"/>
        <v>2.6267289145194619</v>
      </c>
      <c r="AR181" s="169">
        <f t="shared" si="131"/>
        <v>105.63778461949984</v>
      </c>
      <c r="AS181" s="168" t="str">
        <f t="shared" si="132"/>
        <v>8.02551700984601+16.8353348040222i</v>
      </c>
      <c r="AT181" s="190">
        <f t="shared" si="133"/>
        <v>25.413763026905567</v>
      </c>
      <c r="AU181" s="169">
        <f t="shared" si="134"/>
        <v>64.512549193958662</v>
      </c>
      <c r="AV181" s="225"/>
      <c r="AX181">
        <f t="shared" si="135"/>
        <v>0</v>
      </c>
      <c r="AY181">
        <f t="shared" si="136"/>
        <v>0</v>
      </c>
    </row>
    <row r="182" spans="14:51" x14ac:dyDescent="0.25">
      <c r="N182" s="170">
        <v>64</v>
      </c>
      <c r="O182" s="199">
        <f t="shared" si="102"/>
        <v>436.51583224016622</v>
      </c>
      <c r="P182" s="189" t="str">
        <f t="shared" si="103"/>
        <v>18.0065359477124</v>
      </c>
      <c r="Q182" s="160" t="str">
        <f t="shared" si="104"/>
        <v>1+0.860457996386723i</v>
      </c>
      <c r="R182" s="160">
        <f t="shared" si="112"/>
        <v>1.3192376448335053</v>
      </c>
      <c r="S182" s="160">
        <f t="shared" si="113"/>
        <v>0.71053422472108463</v>
      </c>
      <c r="T182" s="160" t="str">
        <f t="shared" si="105"/>
        <v>1+0.00109708394539307i</v>
      </c>
      <c r="U182" s="160">
        <f t="shared" si="114"/>
        <v>1.0000006017964105</v>
      </c>
      <c r="V182" s="160">
        <f t="shared" si="115"/>
        <v>1.0970835052458018E-3</v>
      </c>
      <c r="W182" s="98" t="str">
        <f t="shared" si="106"/>
        <v>1-0.0154989698656639i</v>
      </c>
      <c r="X182" s="160">
        <f t="shared" si="116"/>
        <v>1.0001201018212247</v>
      </c>
      <c r="Y182" s="160">
        <f t="shared" si="117"/>
        <v>-1.5497729000312616E-2</v>
      </c>
      <c r="Z182" s="98" t="str">
        <f t="shared" si="107"/>
        <v>0.999997694716712+0.00463272017402771i</v>
      </c>
      <c r="AA182" s="160">
        <f t="shared" si="118"/>
        <v>1.0000084257319781</v>
      </c>
      <c r="AB182" s="160">
        <f t="shared" si="119"/>
        <v>4.6326977113536017E-3</v>
      </c>
      <c r="AC182" s="171" t="str">
        <f t="shared" si="120"/>
        <v>10.1761105949551-9.09885809730602i</v>
      </c>
      <c r="AD182" s="190">
        <f t="shared" si="121"/>
        <v>22.703117907718415</v>
      </c>
      <c r="AE182" s="169">
        <f t="shared" si="122"/>
        <v>-41.801142511869934</v>
      </c>
      <c r="AF182" s="98" t="str">
        <f t="shared" si="108"/>
        <v>-0.0000816326530612245</v>
      </c>
      <c r="AG182" s="98" t="str">
        <f t="shared" si="109"/>
        <v>0.000064453681791843i</v>
      </c>
      <c r="AH182" s="98">
        <f t="shared" si="123"/>
        <v>6.4453681791842995E-5</v>
      </c>
      <c r="AI182" s="98">
        <f t="shared" si="124"/>
        <v>1.5707963267948966</v>
      </c>
      <c r="AJ182" s="98" t="str">
        <f t="shared" si="110"/>
        <v>1+0.0196424710648567i</v>
      </c>
      <c r="AK182" s="98">
        <f t="shared" si="125"/>
        <v>1.0001928947305783</v>
      </c>
      <c r="AL182" s="98">
        <f t="shared" si="126"/>
        <v>1.9639945453102492E-2</v>
      </c>
      <c r="AM182" s="98" t="str">
        <f t="shared" si="111"/>
        <v>1+0.307732046682757i</v>
      </c>
      <c r="AN182" s="98">
        <f t="shared" si="127"/>
        <v>1.0462786495745569</v>
      </c>
      <c r="AO182" s="98">
        <f t="shared" si="128"/>
        <v>0.29853523328546661</v>
      </c>
      <c r="AP182" s="168" t="str">
        <f t="shared" si="129"/>
        <v>-0.364733953715684+1.27369631575817i</v>
      </c>
      <c r="AQ182" s="98">
        <f t="shared" si="130"/>
        <v>2.4435955760292645</v>
      </c>
      <c r="AR182" s="169">
        <f t="shared" si="131"/>
        <v>105.97952291888083</v>
      </c>
      <c r="AS182" s="168" t="str">
        <f t="shared" si="132"/>
        <v>7.87760898539903+16.2799370616704i</v>
      </c>
      <c r="AT182" s="190">
        <f t="shared" si="133"/>
        <v>25.146713483747689</v>
      </c>
      <c r="AU182" s="169">
        <f t="shared" si="134"/>
        <v>64.178380407010934</v>
      </c>
      <c r="AV182" s="225"/>
      <c r="AX182">
        <f t="shared" si="135"/>
        <v>0</v>
      </c>
      <c r="AY182">
        <f t="shared" si="136"/>
        <v>0</v>
      </c>
    </row>
    <row r="183" spans="14:51" x14ac:dyDescent="0.25">
      <c r="N183" s="170">
        <v>65</v>
      </c>
      <c r="O183" s="199">
        <f t="shared" si="102"/>
        <v>446.68359215096331</v>
      </c>
      <c r="P183" s="189" t="str">
        <f t="shared" si="103"/>
        <v>18.0065359477124</v>
      </c>
      <c r="Q183" s="160" t="str">
        <f t="shared" si="104"/>
        <v>1+0.880500637854472i</v>
      </c>
      <c r="R183" s="160">
        <f t="shared" si="112"/>
        <v>1.3323968527665218</v>
      </c>
      <c r="S183" s="160">
        <f t="shared" si="113"/>
        <v>0.72193692569001988</v>
      </c>
      <c r="T183" s="160" t="str">
        <f t="shared" si="105"/>
        <v>1+0.00112263831326445i</v>
      </c>
      <c r="U183" s="160">
        <f t="shared" si="114"/>
        <v>1.0000006301581927</v>
      </c>
      <c r="V183" s="160">
        <f t="shared" si="115"/>
        <v>1.1226378416381709E-3</v>
      </c>
      <c r="W183" s="98" t="str">
        <f t="shared" si="106"/>
        <v>1-0.0158599872511044i</v>
      </c>
      <c r="X183" s="160">
        <f t="shared" si="116"/>
        <v>1.0001257616898014</v>
      </c>
      <c r="Y183" s="160">
        <f t="shared" si="117"/>
        <v>-1.5858657648955048E-2</v>
      </c>
      <c r="Z183" s="98" t="str">
        <f t="shared" si="107"/>
        <v>0.999997586072057+0.00474063008928023i</v>
      </c>
      <c r="AA183" s="160">
        <f t="shared" si="118"/>
        <v>1.0000088228228712</v>
      </c>
      <c r="AB183" s="160">
        <f t="shared" si="119"/>
        <v>4.7406060201024992E-3</v>
      </c>
      <c r="AC183" s="171" t="str">
        <f t="shared" si="120"/>
        <v>9.96823573542271-9.12776354335475i</v>
      </c>
      <c r="AD183" s="190">
        <f t="shared" si="121"/>
        <v>22.616952607030399</v>
      </c>
      <c r="AE183" s="169">
        <f t="shared" si="122"/>
        <v>-42.479867375754488</v>
      </c>
      <c r="AF183" s="98" t="str">
        <f t="shared" si="108"/>
        <v>-0.0000816326530612245</v>
      </c>
      <c r="AG183" s="98" t="str">
        <f t="shared" si="109"/>
        <v>0.0000659550009042866i</v>
      </c>
      <c r="AH183" s="98">
        <f t="shared" si="123"/>
        <v>6.5955000904286602E-5</v>
      </c>
      <c r="AI183" s="98">
        <f t="shared" si="124"/>
        <v>1.5707963267948966</v>
      </c>
      <c r="AJ183" s="98" t="str">
        <f t="shared" si="110"/>
        <v>1+0.0201000029917454i</v>
      </c>
      <c r="AK183" s="98">
        <f t="shared" si="125"/>
        <v>1.0002019846612324</v>
      </c>
      <c r="AL183" s="98">
        <f t="shared" si="126"/>
        <v>2.0097296779508701E-2</v>
      </c>
      <c r="AM183" s="98" t="str">
        <f t="shared" si="111"/>
        <v>1+0.314900046870679i</v>
      </c>
      <c r="AN183" s="98">
        <f t="shared" si="127"/>
        <v>1.0484092900767124</v>
      </c>
      <c r="AO183" s="98">
        <f t="shared" si="128"/>
        <v>0.30506989146559771</v>
      </c>
      <c r="AP183" s="168" t="str">
        <f t="shared" si="129"/>
        <v>-0.364727324272167+1.2450332709646i</v>
      </c>
      <c r="AQ183" s="98">
        <f t="shared" si="130"/>
        <v>2.2611865865857266</v>
      </c>
      <c r="AR183" s="169">
        <f t="shared" si="131"/>
        <v>106.32772695240504</v>
      </c>
      <c r="AS183" s="168" t="str">
        <f t="shared" si="132"/>
        <v>7.72868135347947+15.7399299171764i</v>
      </c>
      <c r="AT183" s="190">
        <f t="shared" si="133"/>
        <v>24.878139193616143</v>
      </c>
      <c r="AU183" s="169">
        <f t="shared" si="134"/>
        <v>63.847859576650613</v>
      </c>
      <c r="AV183" s="225"/>
      <c r="AX183">
        <f t="shared" si="135"/>
        <v>0</v>
      </c>
      <c r="AY183">
        <f t="shared" si="136"/>
        <v>0</v>
      </c>
    </row>
    <row r="184" spans="14:51" x14ac:dyDescent="0.25">
      <c r="N184" s="170">
        <v>66</v>
      </c>
      <c r="O184" s="199">
        <f t="shared" ref="O184:O218" si="137">10^(2+(N184/100))</f>
        <v>457.0881896148756</v>
      </c>
      <c r="P184" s="189" t="str">
        <f t="shared" si="103"/>
        <v>18.0065359477124</v>
      </c>
      <c r="Q184" s="160" t="str">
        <f t="shared" si="104"/>
        <v>1+0.901010132415216i</v>
      </c>
      <c r="R184" s="160">
        <f t="shared" si="112"/>
        <v>1.346038357074153</v>
      </c>
      <c r="S184" s="160">
        <f t="shared" si="113"/>
        <v>0.73337290576449465</v>
      </c>
      <c r="T184" s="160" t="str">
        <f t="shared" si="105"/>
        <v>1+0.0011487879188294i</v>
      </c>
      <c r="U184" s="160">
        <f t="shared" si="114"/>
        <v>1.0000006598566236</v>
      </c>
      <c r="V184" s="160">
        <f t="shared" si="115"/>
        <v>1.1487874134727552E-3</v>
      </c>
      <c r="W184" s="98" t="str">
        <f t="shared" si="106"/>
        <v>1-0.0162294138117172i</v>
      </c>
      <c r="X184" s="160">
        <f t="shared" si="116"/>
        <v>1.0001316882654363</v>
      </c>
      <c r="Y184" s="160">
        <f t="shared" si="117"/>
        <v>-1.622798912747726E-2</v>
      </c>
      <c r="Z184" s="98" t="str">
        <f t="shared" si="107"/>
        <v>0.999997472307138+0.00485105354935575i</v>
      </c>
      <c r="AA184" s="160">
        <f t="shared" si="118"/>
        <v>1.000009238627926</v>
      </c>
      <c r="AB184" s="160">
        <f t="shared" si="119"/>
        <v>4.8510277587797404E-3</v>
      </c>
      <c r="AC184" s="171" t="str">
        <f t="shared" si="120"/>
        <v>9.75914579215927-9.15198405559075i</v>
      </c>
      <c r="AD184" s="190">
        <f t="shared" si="121"/>
        <v>22.528523971191309</v>
      </c>
      <c r="AE184" s="169">
        <f t="shared" si="122"/>
        <v>-43.161090343068743</v>
      </c>
      <c r="AF184" s="98" t="str">
        <f t="shared" si="108"/>
        <v>-0.0000816326530612245</v>
      </c>
      <c r="AG184" s="98" t="str">
        <f t="shared" si="109"/>
        <v>0.0000674912902312273i</v>
      </c>
      <c r="AH184" s="98">
        <f t="shared" si="123"/>
        <v>6.7491290231227297E-5</v>
      </c>
      <c r="AI184" s="98">
        <f t="shared" si="124"/>
        <v>1.5707963267948966</v>
      </c>
      <c r="AJ184" s="98" t="str">
        <f t="shared" si="110"/>
        <v>1+0.0205681922062752i</v>
      </c>
      <c r="AK184" s="98">
        <f t="shared" si="125"/>
        <v>1.000211502898579</v>
      </c>
      <c r="AL184" s="98">
        <f t="shared" si="126"/>
        <v>2.0565292480735527E-2</v>
      </c>
      <c r="AM184" s="98" t="str">
        <f t="shared" si="111"/>
        <v>1+0.322235011231647i</v>
      </c>
      <c r="AN184" s="98">
        <f t="shared" si="127"/>
        <v>1.0506357134913411</v>
      </c>
      <c r="AO184" s="98">
        <f t="shared" si="128"/>
        <v>0.31172903226756443</v>
      </c>
      <c r="AP184" s="168" t="str">
        <f t="shared" si="129"/>
        <v>-0.364720382650898+1.21703034673329i</v>
      </c>
      <c r="AQ184" s="98">
        <f t="shared" si="130"/>
        <v>2.079529904257766</v>
      </c>
      <c r="AR184" s="169">
        <f t="shared" si="131"/>
        <v>106.68245343703066</v>
      </c>
      <c r="AS184" s="168" t="str">
        <f t="shared" si="132"/>
        <v>7.57888294081092+15.2150917140223i</v>
      </c>
      <c r="AT184" s="190">
        <f t="shared" si="133"/>
        <v>24.608053875449073</v>
      </c>
      <c r="AU184" s="169">
        <f t="shared" si="134"/>
        <v>63.521363093961931</v>
      </c>
      <c r="AV184" s="225"/>
      <c r="AX184">
        <f t="shared" si="135"/>
        <v>0</v>
      </c>
      <c r="AY184">
        <f t="shared" si="136"/>
        <v>0</v>
      </c>
    </row>
    <row r="185" spans="14:51" x14ac:dyDescent="0.25">
      <c r="N185" s="170">
        <v>67</v>
      </c>
      <c r="O185" s="199">
        <f t="shared" si="137"/>
        <v>467.7351412871983</v>
      </c>
      <c r="P185" s="189" t="str">
        <f t="shared" si="103"/>
        <v>18.0065359477124</v>
      </c>
      <c r="Q185" s="160" t="str">
        <f t="shared" si="104"/>
        <v>1+0.921997354474444i</v>
      </c>
      <c r="R185" s="160">
        <f t="shared" si="112"/>
        <v>1.3601761362624598</v>
      </c>
      <c r="S185" s="160">
        <f t="shared" si="113"/>
        <v>0.74483626447413132</v>
      </c>
      <c r="T185" s="160" t="str">
        <f t="shared" si="105"/>
        <v>1+0.00117554662695492i</v>
      </c>
      <c r="U185" s="160">
        <f t="shared" si="114"/>
        <v>1.0000006909546972</v>
      </c>
      <c r="V185" s="160">
        <f t="shared" si="115"/>
        <v>1.1755460854555393E-3</v>
      </c>
      <c r="W185" s="98" t="str">
        <f t="shared" si="106"/>
        <v>1-0.0166074454223547i</v>
      </c>
      <c r="X185" s="160">
        <f t="shared" si="116"/>
        <v>1.0001378941143348</v>
      </c>
      <c r="Y185" s="160">
        <f t="shared" si="117"/>
        <v>-1.6605918857055132E-2</v>
      </c>
      <c r="Z185" s="98" t="str">
        <f t="shared" si="107"/>
        <v>0.999997353180644+0.00496404910223441i</v>
      </c>
      <c r="AA185" s="160">
        <f t="shared" si="118"/>
        <v>1.0000096740290982</v>
      </c>
      <c r="AB185" s="160">
        <f t="shared" si="119"/>
        <v>4.9640214671484457E-3</v>
      </c>
      <c r="AC185" s="171" t="str">
        <f t="shared" si="120"/>
        <v>9.54905355094994-9.17145638459485i</v>
      </c>
      <c r="AD185" s="190">
        <f t="shared" si="121"/>
        <v>22.437820051165623</v>
      </c>
      <c r="AE185" s="169">
        <f t="shared" si="122"/>
        <v>-43.844487098263834</v>
      </c>
      <c r="AF185" s="98" t="str">
        <f t="shared" si="108"/>
        <v>-0.0000816326530612245</v>
      </c>
      <c r="AG185" s="98" t="str">
        <f t="shared" si="109"/>
        <v>0.0000690633643336014i</v>
      </c>
      <c r="AH185" s="98">
        <f t="shared" si="123"/>
        <v>6.90633643336014E-5</v>
      </c>
      <c r="AI185" s="98">
        <f t="shared" si="124"/>
        <v>1.5707963267948966</v>
      </c>
      <c r="AJ185" s="98" t="str">
        <f t="shared" si="110"/>
        <v>1+0.0210472869485651i</v>
      </c>
      <c r="AK185" s="98">
        <f t="shared" si="125"/>
        <v>1.0002214696195513</v>
      </c>
      <c r="AL185" s="98">
        <f t="shared" si="126"/>
        <v>2.1044179873825203E-2</v>
      </c>
      <c r="AM185" s="98" t="str">
        <f t="shared" si="111"/>
        <v>1+0.329740828860854i</v>
      </c>
      <c r="AN185" s="98">
        <f t="shared" si="127"/>
        <v>1.0529620193614977</v>
      </c>
      <c r="AO185" s="98">
        <f t="shared" si="128"/>
        <v>0.31851382327108996</v>
      </c>
      <c r="AP185" s="168" t="str">
        <f t="shared" si="129"/>
        <v>-0.364713114164295+1.18967269464582i</v>
      </c>
      <c r="AQ185" s="98">
        <f t="shared" si="130"/>
        <v>1.8986542925618768</v>
      </c>
      <c r="AR185" s="169">
        <f t="shared" si="131"/>
        <v>107.04375509992489</v>
      </c>
      <c r="AS185" s="168" t="str">
        <f t="shared" si="132"/>
        <v>7.42836617299899+14.7051986887234i</v>
      </c>
      <c r="AT185" s="190">
        <f t="shared" si="133"/>
        <v>24.336474343727478</v>
      </c>
      <c r="AU185" s="169">
        <f t="shared" si="134"/>
        <v>63.199268001661004</v>
      </c>
      <c r="AV185" s="225"/>
      <c r="AX185">
        <f t="shared" si="135"/>
        <v>0</v>
      </c>
      <c r="AY185">
        <f t="shared" si="136"/>
        <v>0</v>
      </c>
    </row>
    <row r="186" spans="14:51" x14ac:dyDescent="0.25">
      <c r="N186" s="170">
        <v>68</v>
      </c>
      <c r="O186" s="199">
        <f t="shared" si="137"/>
        <v>478.63009232263886</v>
      </c>
      <c r="P186" s="189" t="str">
        <f t="shared" si="103"/>
        <v>18.0065359477124</v>
      </c>
      <c r="Q186" s="160" t="str">
        <f t="shared" si="104"/>
        <v>1+0.943473431735093i</v>
      </c>
      <c r="R186" s="160">
        <f t="shared" si="112"/>
        <v>1.3748243947464684</v>
      </c>
      <c r="S186" s="160">
        <f t="shared" si="113"/>
        <v>0.75632102976882742</v>
      </c>
      <c r="T186" s="160" t="str">
        <f t="shared" si="105"/>
        <v>1+0.00120292862546224i</v>
      </c>
      <c r="U186" s="160">
        <f t="shared" si="114"/>
        <v>1.0000007235183772</v>
      </c>
      <c r="V186" s="160">
        <f t="shared" si="115"/>
        <v>1.2029280452352225E-3</v>
      </c>
      <c r="W186" s="98" t="str">
        <f t="shared" si="106"/>
        <v>1-0.0169942825203807i</v>
      </c>
      <c r="X186" s="160">
        <f t="shared" si="116"/>
        <v>1.0001443923946094</v>
      </c>
      <c r="Y186" s="160">
        <f t="shared" si="117"/>
        <v>-1.6992646788945704E-2</v>
      </c>
      <c r="Z186" s="98" t="str">
        <f t="shared" si="107"/>
        <v>0.999997228439891+0.00507967665965405i</v>
      </c>
      <c r="AA186" s="160">
        <f t="shared" si="118"/>
        <v>1.0000101299499071</v>
      </c>
      <c r="AB186" s="160">
        <f t="shared" si="119"/>
        <v>5.0796470481417853E-3</v>
      </c>
      <c r="AC186" s="171" t="str">
        <f t="shared" si="120"/>
        <v>9.33817597545325-9.18612936354699i</v>
      </c>
      <c r="AD186" s="190">
        <f t="shared" si="121"/>
        <v>22.344831238259818</v>
      </c>
      <c r="AE186" s="169">
        <f t="shared" si="122"/>
        <v>-44.5297295437299</v>
      </c>
      <c r="AF186" s="98" t="str">
        <f t="shared" si="108"/>
        <v>-0.0000816326530612245</v>
      </c>
      <c r="AG186" s="98" t="str">
        <f t="shared" si="109"/>
        <v>0.0000706720567459069i</v>
      </c>
      <c r="AH186" s="98">
        <f t="shared" si="123"/>
        <v>7.06720567459069E-5</v>
      </c>
      <c r="AI186" s="98">
        <f t="shared" si="124"/>
        <v>1.5707963267948966</v>
      </c>
      <c r="AJ186" s="98" t="str">
        <f t="shared" si="110"/>
        <v>1+0.0215375412409888i</v>
      </c>
      <c r="AK186" s="98">
        <f t="shared" si="125"/>
        <v>1.0002319059511686</v>
      </c>
      <c r="AL186" s="98">
        <f t="shared" si="126"/>
        <v>2.1534211992110409E-2</v>
      </c>
      <c r="AM186" s="98" t="str">
        <f t="shared" si="111"/>
        <v>1+0.337421479442159i</v>
      </c>
      <c r="AN186" s="98">
        <f t="shared" si="127"/>
        <v>1.0553924648153099</v>
      </c>
      <c r="AO186" s="98">
        <f t="shared" si="128"/>
        <v>0.32542536238681496</v>
      </c>
      <c r="AP186" s="168" t="str">
        <f t="shared" si="129"/>
        <v>-0.364705503434973+1.16294580835145i</v>
      </c>
      <c r="AQ186" s="98">
        <f t="shared" si="130"/>
        <v>1.7185893198272841</v>
      </c>
      <c r="AR186" s="169">
        <f t="shared" si="131"/>
        <v>107.41168034899201</v>
      </c>
      <c r="AS186" s="168" t="str">
        <f t="shared" si="132"/>
        <v>7.2772864680191+14.2100245424528i</v>
      </c>
      <c r="AT186" s="190">
        <f t="shared" si="133"/>
        <v>24.063420558087124</v>
      </c>
      <c r="AU186" s="169">
        <f t="shared" si="134"/>
        <v>62.881950805262164</v>
      </c>
      <c r="AV186" s="225"/>
      <c r="AX186">
        <f t="shared" si="135"/>
        <v>0</v>
      </c>
      <c r="AY186">
        <f t="shared" si="136"/>
        <v>0</v>
      </c>
    </row>
    <row r="187" spans="14:51" x14ac:dyDescent="0.25">
      <c r="N187" s="170">
        <v>69</v>
      </c>
      <c r="O187" s="199">
        <f t="shared" si="137"/>
        <v>489.77881936844625</v>
      </c>
      <c r="P187" s="189" t="str">
        <f t="shared" si="103"/>
        <v>18.0065359477124</v>
      </c>
      <c r="Q187" s="160" t="str">
        <f t="shared" si="104"/>
        <v>1+0.965449751097597i</v>
      </c>
      <c r="R187" s="160">
        <f t="shared" si="112"/>
        <v>1.3899975618303839</v>
      </c>
      <c r="S187" s="160">
        <f t="shared" si="113"/>
        <v>0.76782117334550104</v>
      </c>
      <c r="T187" s="160" t="str">
        <f t="shared" si="105"/>
        <v>1+0.00123094843264944i</v>
      </c>
      <c r="U187" s="160">
        <f t="shared" si="114"/>
        <v>1.0000007576167349</v>
      </c>
      <c r="V187" s="160">
        <f t="shared" si="115"/>
        <v>1.2309478109250149E-3</v>
      </c>
      <c r="W187" s="98" t="str">
        <f t="shared" si="106"/>
        <v>1-0.0173901302119449i</v>
      </c>
      <c r="X187" s="160">
        <f t="shared" si="116"/>
        <v>1.0001511968841452</v>
      </c>
      <c r="Y187" s="160">
        <f t="shared" si="117"/>
        <v>-1.738837750844429E-2</v>
      </c>
      <c r="Z187" s="98" t="str">
        <f t="shared" si="107"/>
        <v>0.999997097820287+0.0051979975288761i</v>
      </c>
      <c r="AA187" s="160">
        <f t="shared" si="118"/>
        <v>1.0000106073573953</v>
      </c>
      <c r="AB187" s="160">
        <f t="shared" si="119"/>
        <v>5.1979657995868357E-3</v>
      </c>
      <c r="AC187" s="171" t="str">
        <f t="shared" si="120"/>
        <v>9.12673332388597-9.1959642335622i</v>
      </c>
      <c r="AD187" s="190">
        <f t="shared" si="121"/>
        <v>22.249550304974189</v>
      </c>
      <c r="AE187" s="169">
        <f t="shared" si="122"/>
        <v>-45.216486685296886</v>
      </c>
      <c r="AF187" s="98" t="str">
        <f t="shared" si="108"/>
        <v>-0.0000816326530612245</v>
      </c>
      <c r="AG187" s="98" t="str">
        <f t="shared" si="109"/>
        <v>0.0000723182204181543i</v>
      </c>
      <c r="AH187" s="98">
        <f t="shared" si="123"/>
        <v>7.2318220418154304E-5</v>
      </c>
      <c r="AI187" s="98">
        <f t="shared" si="124"/>
        <v>1.5707963267948966</v>
      </c>
      <c r="AJ187" s="98" t="str">
        <f t="shared" si="110"/>
        <v>1+0.0220392150228616i</v>
      </c>
      <c r="AK187" s="98">
        <f t="shared" si="125"/>
        <v>1.0002428340152325</v>
      </c>
      <c r="AL187" s="98">
        <f t="shared" si="126"/>
        <v>2.2035647715189993E-2</v>
      </c>
      <c r="AM187" s="98" t="str">
        <f t="shared" si="111"/>
        <v>1+0.345281035358167i</v>
      </c>
      <c r="AN187" s="98">
        <f t="shared" si="127"/>
        <v>1.0579314691311568</v>
      </c>
      <c r="AO187" s="98">
        <f t="shared" si="128"/>
        <v>0.33246467203900976</v>
      </c>
      <c r="AP187" s="168" t="str">
        <f t="shared" si="129"/>
        <v>-0.364697534363468+1.13683551587122i</v>
      </c>
      <c r="AQ187" s="98">
        <f t="shared" si="130"/>
        <v>1.5393653561258884</v>
      </c>
      <c r="AR187" s="169">
        <f t="shared" si="131"/>
        <v>107.78627293211876</v>
      </c>
      <c r="AS187" s="168" t="str">
        <f t="shared" si="132"/>
        <v>7.12580160338086+13.7293400685537i</v>
      </c>
      <c r="AT187" s="190">
        <f t="shared" si="133"/>
        <v>23.788915661100059</v>
      </c>
      <c r="AU187" s="169">
        <f t="shared" si="134"/>
        <v>62.569786246821828</v>
      </c>
      <c r="AV187" s="225"/>
      <c r="AX187">
        <f t="shared" si="135"/>
        <v>0</v>
      </c>
      <c r="AY187">
        <f t="shared" si="136"/>
        <v>0</v>
      </c>
    </row>
    <row r="188" spans="14:51" x14ac:dyDescent="0.25">
      <c r="N188" s="170">
        <v>70</v>
      </c>
      <c r="O188" s="199">
        <f t="shared" si="137"/>
        <v>501.18723362727269</v>
      </c>
      <c r="P188" s="189" t="str">
        <f t="shared" si="103"/>
        <v>18.0065359477124</v>
      </c>
      <c r="Q188" s="160" t="str">
        <f t="shared" si="104"/>
        <v>1+0.987937964697368i</v>
      </c>
      <c r="R188" s="160">
        <f t="shared" si="112"/>
        <v>1.405710290952719</v>
      </c>
      <c r="S188" s="160">
        <f t="shared" si="113"/>
        <v>0.77933062633383365</v>
      </c>
      <c r="T188" s="160" t="str">
        <f t="shared" si="105"/>
        <v>1+0.00125962090498914i</v>
      </c>
      <c r="U188" s="160">
        <f t="shared" si="114"/>
        <v>1.0000007933220973</v>
      </c>
      <c r="V188" s="160">
        <f t="shared" si="115"/>
        <v>1.2596202387994443E-3</v>
      </c>
      <c r="W188" s="98" t="str">
        <f t="shared" si="106"/>
        <v>1-0.017795198380733i</v>
      </c>
      <c r="X188" s="160">
        <f t="shared" si="116"/>
        <v>1.0001583220097754</v>
      </c>
      <c r="Y188" s="160">
        <f t="shared" si="117"/>
        <v>-1.7793320341151695E-2</v>
      </c>
      <c r="Z188" s="98" t="str">
        <f t="shared" si="107"/>
        <v>0.999996961044771+0.00531907444519159i</v>
      </c>
      <c r="AA188" s="160">
        <f t="shared" si="118"/>
        <v>1.0000111072641797</v>
      </c>
      <c r="AB188" s="160">
        <f t="shared" si="119"/>
        <v>5.3190404466655549E-3</v>
      </c>
      <c r="AC188" s="171" t="str">
        <f t="shared" si="120"/>
        <v>8.91494823647804-9.20093489171985i</v>
      </c>
      <c r="AD188" s="190">
        <f t="shared" si="121"/>
        <v>22.151972436101815</v>
      </c>
      <c r="AE188" s="169">
        <f t="shared" si="122"/>
        <v>-45.904425538468821</v>
      </c>
      <c r="AF188" s="98" t="str">
        <f t="shared" si="108"/>
        <v>-0.0000816326530612245</v>
      </c>
      <c r="AG188" s="98" t="str">
        <f t="shared" si="109"/>
        <v>0.0000740027281681123i</v>
      </c>
      <c r="AH188" s="98">
        <f t="shared" si="123"/>
        <v>7.4002728168112301E-5</v>
      </c>
      <c r="AI188" s="98">
        <f t="shared" si="124"/>
        <v>1.5707963267948966</v>
      </c>
      <c r="AJ188" s="98" t="str">
        <f t="shared" si="110"/>
        <v>1+0.022552574288263i</v>
      </c>
      <c r="AK188" s="98">
        <f t="shared" si="125"/>
        <v>1.0002542769751237</v>
      </c>
      <c r="AL188" s="98">
        <f t="shared" si="126"/>
        <v>2.2548751901704241E-2</v>
      </c>
      <c r="AM188" s="98" t="str">
        <f t="shared" si="111"/>
        <v>1+0.353323663849455i</v>
      </c>
      <c r="AN188" s="98">
        <f t="shared" si="127"/>
        <v>1.0605836183139934</v>
      </c>
      <c r="AO188" s="98">
        <f t="shared" si="128"/>
        <v>0.33963269316326949</v>
      </c>
      <c r="AP188" s="168" t="str">
        <f t="shared" si="129"/>
        <v>-0.364689190094447+1.11132797207874i</v>
      </c>
      <c r="AQ188" s="98">
        <f t="shared" si="130"/>
        <v>1.3610135675626891</v>
      </c>
      <c r="AR188" s="169">
        <f t="shared" si="131"/>
        <v>108.16757158566176</v>
      </c>
      <c r="AS188" s="168" t="str">
        <f t="shared" si="132"/>
        <v>6.97407106234845+13.2629128386051i</v>
      </c>
      <c r="AT188" s="190">
        <f t="shared" si="133"/>
        <v>23.512986003664487</v>
      </c>
      <c r="AU188" s="169">
        <f t="shared" si="134"/>
        <v>62.263146047192883</v>
      </c>
      <c r="AV188" s="225"/>
      <c r="AX188">
        <f t="shared" si="135"/>
        <v>0</v>
      </c>
      <c r="AY188">
        <f t="shared" si="136"/>
        <v>0</v>
      </c>
    </row>
    <row r="189" spans="14:51" x14ac:dyDescent="0.25">
      <c r="N189" s="170">
        <v>71</v>
      </c>
      <c r="O189" s="199">
        <f t="shared" si="137"/>
        <v>512.86138399136519</v>
      </c>
      <c r="P189" s="189" t="str">
        <f t="shared" si="103"/>
        <v>18.0065359477124</v>
      </c>
      <c r="Q189" s="160" t="str">
        <f t="shared" si="104"/>
        <v>1+1.01094999608293i</v>
      </c>
      <c r="R189" s="160">
        <f t="shared" si="112"/>
        <v>1.4219774592376901</v>
      </c>
      <c r="S189" s="160">
        <f t="shared" si="113"/>
        <v>0.79084329524237329</v>
      </c>
      <c r="T189" s="160" t="str">
        <f t="shared" si="105"/>
        <v>1+0.00128896124500573i</v>
      </c>
      <c r="U189" s="160">
        <f t="shared" si="114"/>
        <v>1.0000008307102006</v>
      </c>
      <c r="V189" s="160">
        <f t="shared" si="115"/>
        <v>1.2889605311706422E-3</v>
      </c>
      <c r="W189" s="98" t="str">
        <f t="shared" si="106"/>
        <v>1-0.0182097017992499i</v>
      </c>
      <c r="X189" s="160">
        <f t="shared" si="116"/>
        <v>1.0001657828778274</v>
      </c>
      <c r="Y189" s="160">
        <f t="shared" si="117"/>
        <v>-1.8207689461597239E-2</v>
      </c>
      <c r="Z189" s="98" t="str">
        <f t="shared" si="107"/>
        <v>0.999996817823223+0.00544297160518419i</v>
      </c>
      <c r="AA189" s="160">
        <f t="shared" si="118"/>
        <v>1.0000116307305966</v>
      </c>
      <c r="AB189" s="160">
        <f t="shared" si="119"/>
        <v>5.442935175129583E-3</v>
      </c>
      <c r="AC189" s="171" t="str">
        <f t="shared" si="120"/>
        <v>8.70304480165493-9.20102805884222i</v>
      </c>
      <c r="AD189" s="190">
        <f t="shared" si="121"/>
        <v>22.052095249800008</v>
      </c>
      <c r="AE189" s="169">
        <f t="shared" si="122"/>
        <v>-46.593212049743912</v>
      </c>
      <c r="AF189" s="98" t="str">
        <f t="shared" si="108"/>
        <v>-0.0000816326530612245</v>
      </c>
      <c r="AG189" s="98" t="str">
        <f t="shared" si="109"/>
        <v>0.0000757264731440868i</v>
      </c>
      <c r="AH189" s="98">
        <f t="shared" si="123"/>
        <v>7.5726473144086803E-5</v>
      </c>
      <c r="AI189" s="98">
        <f t="shared" si="124"/>
        <v>1.5707963267948966</v>
      </c>
      <c r="AJ189" s="98" t="str">
        <f t="shared" si="110"/>
        <v>1+0.0230778912270706i</v>
      </c>
      <c r="AK189" s="98">
        <f t="shared" si="125"/>
        <v>1.0002662590847942</v>
      </c>
      <c r="AL189" s="98">
        <f t="shared" si="126"/>
        <v>2.3073795524961346E-2</v>
      </c>
      <c r="AM189" s="98" t="str">
        <f t="shared" si="111"/>
        <v>1+0.361553629224108i</v>
      </c>
      <c r="AN189" s="98">
        <f t="shared" si="127"/>
        <v>1.0633536696721011</v>
      </c>
      <c r="AO189" s="98">
        <f t="shared" si="128"/>
        <v>0.34693027903038504</v>
      </c>
      <c r="AP189" s="168" t="str">
        <f t="shared" si="129"/>
        <v>-0.364680452981385+1.08640965135422i</v>
      </c>
      <c r="AQ189" s="98">
        <f t="shared" si="130"/>
        <v>1.1835659077262304</v>
      </c>
      <c r="AR189" s="169">
        <f t="shared" si="131"/>
        <v>108.55560967280897</v>
      </c>
      <c r="AS189" s="168" t="str">
        <f t="shared" si="132"/>
        <v>6.82225536492237+12.8105069490791i</v>
      </c>
      <c r="AT189" s="190">
        <f t="shared" si="133"/>
        <v>23.235661157526234</v>
      </c>
      <c r="AU189" s="169">
        <f t="shared" si="134"/>
        <v>61.96239762306503</v>
      </c>
      <c r="AV189" s="225"/>
      <c r="AX189">
        <f t="shared" si="135"/>
        <v>0</v>
      </c>
      <c r="AY189">
        <f t="shared" si="136"/>
        <v>0</v>
      </c>
    </row>
    <row r="190" spans="14:51" x14ac:dyDescent="0.25">
      <c r="N190" s="170">
        <v>72</v>
      </c>
      <c r="O190" s="199">
        <f t="shared" si="137"/>
        <v>524.80746024977248</v>
      </c>
      <c r="P190" s="189" t="str">
        <f t="shared" si="103"/>
        <v>18.0065359477124</v>
      </c>
      <c r="Q190" s="160" t="str">
        <f t="shared" si="104"/>
        <v>1+1.03449804653792i</v>
      </c>
      <c r="R190" s="160">
        <f t="shared" si="112"/>
        <v>1.4388141673929864</v>
      </c>
      <c r="S190" s="160">
        <f t="shared" si="113"/>
        <v>0.8023530780632262</v>
      </c>
      <c r="T190" s="160" t="str">
        <f t="shared" si="105"/>
        <v>1+0.00131898500933584i</v>
      </c>
      <c r="U190" s="160">
        <f t="shared" si="114"/>
        <v>1.0000008698603491</v>
      </c>
      <c r="V190" s="160">
        <f t="shared" si="115"/>
        <v>1.3189842444477986E-3</v>
      </c>
      <c r="W190" s="98" t="str">
        <f t="shared" si="106"/>
        <v>1-0.0186338602426947i</v>
      </c>
      <c r="X190" s="160">
        <f t="shared" si="116"/>
        <v>1.0001735953061071</v>
      </c>
      <c r="Y190" s="160">
        <f t="shared" si="117"/>
        <v>-1.8631704004263609E-2</v>
      </c>
      <c r="Z190" s="98" t="str">
        <f t="shared" si="107"/>
        <v>0.999996667851852+0.00556975470076812i</v>
      </c>
      <c r="AA190" s="160">
        <f t="shared" si="118"/>
        <v>1.0000121788669545</v>
      </c>
      <c r="AB190" s="160">
        <f t="shared" si="119"/>
        <v>5.5697156652864364E-3</v>
      </c>
      <c r="AC190" s="171" t="str">
        <f t="shared" si="120"/>
        <v>8.49124760923104-9.19624336501899i</v>
      </c>
      <c r="AD190" s="190">
        <f t="shared" si="121"/>
        <v>21.949918808448668</v>
      </c>
      <c r="AE190" s="169">
        <f t="shared" si="122"/>
        <v>-47.282512027192595</v>
      </c>
      <c r="AF190" s="98" t="str">
        <f t="shared" si="108"/>
        <v>-0.0000816326530612245</v>
      </c>
      <c r="AG190" s="98" t="str">
        <f t="shared" si="109"/>
        <v>0.0000774903692984807i</v>
      </c>
      <c r="AH190" s="98">
        <f t="shared" si="123"/>
        <v>7.7490369298480703E-5</v>
      </c>
      <c r="AI190" s="98">
        <f t="shared" si="124"/>
        <v>1.5707963267948966</v>
      </c>
      <c r="AJ190" s="98" t="str">
        <f t="shared" si="110"/>
        <v>1+0.0236154443692789i</v>
      </c>
      <c r="AK190" s="98">
        <f t="shared" si="125"/>
        <v>1.0002788057400589</v>
      </c>
      <c r="AL190" s="98">
        <f t="shared" si="126"/>
        <v>2.3611055811463062E-2</v>
      </c>
      <c r="AM190" s="98" t="str">
        <f t="shared" si="111"/>
        <v>1+0.369975295118704i</v>
      </c>
      <c r="AN190" s="98">
        <f t="shared" si="127"/>
        <v>1.0662465563827965</v>
      </c>
      <c r="AO190" s="98">
        <f t="shared" si="128"/>
        <v>0.35435818890976573</v>
      </c>
      <c r="AP190" s="168" t="str">
        <f t="shared" si="129"/>
        <v>-0.364671304549563+1.0620673404073i</v>
      </c>
      <c r="AQ190" s="98">
        <f t="shared" si="130"/>
        <v>1.0070551060884747</v>
      </c>
      <c r="AR190" s="169">
        <f t="shared" si="131"/>
        <v>108.95041481258443</v>
      </c>
      <c r="AS190" s="168" t="str">
        <f t="shared" si="132"/>
        <v>6.67051538951236+12.3718828299526i</v>
      </c>
      <c r="AT190" s="190">
        <f t="shared" si="133"/>
        <v>22.956973914537148</v>
      </c>
      <c r="AU190" s="169">
        <f t="shared" si="134"/>
        <v>61.667902785391831</v>
      </c>
      <c r="AV190" s="225"/>
      <c r="AX190">
        <f t="shared" si="135"/>
        <v>0</v>
      </c>
      <c r="AY190">
        <f t="shared" si="136"/>
        <v>0</v>
      </c>
    </row>
    <row r="191" spans="14:51" x14ac:dyDescent="0.25">
      <c r="N191" s="170">
        <v>73</v>
      </c>
      <c r="O191" s="199">
        <f t="shared" si="137"/>
        <v>537.03179637025301</v>
      </c>
      <c r="P191" s="189" t="str">
        <f t="shared" si="103"/>
        <v>18.0065359477124</v>
      </c>
      <c r="Q191" s="160" t="str">
        <f t="shared" si="104"/>
        <v>1+1.05859460155038i</v>
      </c>
      <c r="R191" s="160">
        <f t="shared" si="112"/>
        <v>1.4562357399925354</v>
      </c>
      <c r="S191" s="160">
        <f t="shared" si="113"/>
        <v>0.81385388043173124</v>
      </c>
      <c r="T191" s="160" t="str">
        <f t="shared" si="105"/>
        <v>1+0.00134970811697673i</v>
      </c>
      <c r="U191" s="160">
        <f t="shared" si="114"/>
        <v>1.0000009108555856</v>
      </c>
      <c r="V191" s="160">
        <f t="shared" si="115"/>
        <v>1.3497072973844676E-3</v>
      </c>
      <c r="W191" s="98" t="str">
        <f t="shared" si="106"/>
        <v>1-0.0190678986054884i</v>
      </c>
      <c r="X191" s="160">
        <f t="shared" si="116"/>
        <v>1.0001817758573834</v>
      </c>
      <c r="Y191" s="160">
        <f t="shared" si="117"/>
        <v>-1.9065588177060947E-2</v>
      </c>
      <c r="Z191" s="98" t="str">
        <f t="shared" si="107"/>
        <v>0.999996510812548+0.00569949095401879i</v>
      </c>
      <c r="AA191" s="160">
        <f t="shared" si="118"/>
        <v>1.0000127528358853</v>
      </c>
      <c r="AB191" s="160">
        <f t="shared" si="119"/>
        <v>5.6994491267747605E-3</v>
      </c>
      <c r="AC191" s="171" t="str">
        <f t="shared" si="120"/>
        <v>8.27978079909666-9.18659335185248i</v>
      </c>
      <c r="AD191" s="190">
        <f t="shared" si="121"/>
        <v>21.845445619200955</v>
      </c>
      <c r="AE191" s="169">
        <f t="shared" si="122"/>
        <v>-47.971992074358639</v>
      </c>
      <c r="AF191" s="98" t="str">
        <f t="shared" si="108"/>
        <v>-0.0000816326530612245</v>
      </c>
      <c r="AG191" s="98" t="str">
        <f t="shared" si="109"/>
        <v>0.0000792953518723831i</v>
      </c>
      <c r="AH191" s="98">
        <f t="shared" si="123"/>
        <v>7.9295351872383097E-5</v>
      </c>
      <c r="AI191" s="98">
        <f t="shared" si="124"/>
        <v>1.5707963267948966</v>
      </c>
      <c r="AJ191" s="98" t="str">
        <f t="shared" si="110"/>
        <v>1+0.0241655187326791i</v>
      </c>
      <c r="AK191" s="98">
        <f t="shared" si="125"/>
        <v>1.0002919435322968</v>
      </c>
      <c r="AL191" s="98">
        <f t="shared" si="126"/>
        <v>2.4160816382378162E-2</v>
      </c>
      <c r="AM191" s="98" t="str">
        <f t="shared" si="111"/>
        <v>1+0.378593126811973i</v>
      </c>
      <c r="AN191" s="98">
        <f t="shared" si="127"/>
        <v>1.0692673920349702</v>
      </c>
      <c r="AO191" s="98">
        <f t="shared" si="128"/>
        <v>0.36191708158821506</v>
      </c>
      <c r="AP191" s="168" t="str">
        <f t="shared" si="129"/>
        <v>-0.364661725457371+1.03828813126516i</v>
      </c>
      <c r="AQ191" s="98">
        <f t="shared" si="130"/>
        <v>0.83151465314853867</v>
      </c>
      <c r="AR191" s="169">
        <f t="shared" si="131"/>
        <v>109.35200850039573</v>
      </c>
      <c r="AS191" s="168" t="str">
        <f t="shared" si="132"/>
        <v>6.51901169138046+11.946797115941i</v>
      </c>
      <c r="AT191" s="190">
        <f t="shared" si="133"/>
        <v>22.676960272349515</v>
      </c>
      <c r="AU191" s="169">
        <f t="shared" si="134"/>
        <v>61.380016426037159</v>
      </c>
      <c r="AV191" s="225"/>
      <c r="AX191">
        <f t="shared" si="135"/>
        <v>0</v>
      </c>
      <c r="AY191">
        <f t="shared" si="136"/>
        <v>0</v>
      </c>
    </row>
    <row r="192" spans="14:51" x14ac:dyDescent="0.25">
      <c r="N192" s="170">
        <v>74</v>
      </c>
      <c r="O192" s="199">
        <f t="shared" si="137"/>
        <v>549.54087385762534</v>
      </c>
      <c r="P192" s="189" t="str">
        <f t="shared" si="103"/>
        <v>18.0065359477124</v>
      </c>
      <c r="Q192" s="160" t="str">
        <f t="shared" si="104"/>
        <v>1+1.08325243743274i</v>
      </c>
      <c r="R192" s="160">
        <f t="shared" si="112"/>
        <v>1.4742577261808643</v>
      </c>
      <c r="S192" s="160">
        <f t="shared" si="113"/>
        <v>0.82533963173680158</v>
      </c>
      <c r="T192" s="160" t="str">
        <f t="shared" si="105"/>
        <v>1+0.00138114685772674i</v>
      </c>
      <c r="U192" s="160">
        <f t="shared" si="114"/>
        <v>1.0000009537828665</v>
      </c>
      <c r="V192" s="160">
        <f t="shared" si="115"/>
        <v>1.3811459795178538E-3</v>
      </c>
      <c r="W192" s="98" t="str">
        <f t="shared" si="106"/>
        <v>1-0.0195120470205163i</v>
      </c>
      <c r="X192" s="160">
        <f t="shared" si="116"/>
        <v>1.0001903418744509</v>
      </c>
      <c r="Y192" s="160">
        <f t="shared" si="117"/>
        <v>-1.9509571377297617E-2</v>
      </c>
      <c r="Z192" s="98" t="str">
        <f t="shared" si="107"/>
        <v>0.99999634637221+0.00583224915281499i</v>
      </c>
      <c r="AA192" s="160">
        <f t="shared" si="118"/>
        <v>1.0000133538548119</v>
      </c>
      <c r="AB192" s="160">
        <f t="shared" si="119"/>
        <v>5.832204334147148E-3</v>
      </c>
      <c r="AC192" s="171" t="str">
        <f t="shared" si="120"/>
        <v>8.06886711394911-9.17210339139677i</v>
      </c>
      <c r="AD192" s="190">
        <f t="shared" si="121"/>
        <v>21.738680624223843</v>
      </c>
      <c r="AE192" s="169">
        <f t="shared" si="122"/>
        <v>-48.661320521515563</v>
      </c>
      <c r="AF192" s="98" t="str">
        <f t="shared" si="108"/>
        <v>-0.0000816326530612245</v>
      </c>
      <c r="AG192" s="98" t="str">
        <f t="shared" si="109"/>
        <v>0.0000811423778914463i</v>
      </c>
      <c r="AH192" s="98">
        <f t="shared" si="123"/>
        <v>8.1142377891446301E-5</v>
      </c>
      <c r="AI192" s="98">
        <f t="shared" si="124"/>
        <v>1.5707963267948966</v>
      </c>
      <c r="AJ192" s="98" t="str">
        <f t="shared" si="110"/>
        <v>1+0.0247284059739798i</v>
      </c>
      <c r="AK192" s="98">
        <f t="shared" si="125"/>
        <v>1.0003057003046687</v>
      </c>
      <c r="AL192" s="98">
        <f t="shared" si="126"/>
        <v>2.4723367398014166E-2</v>
      </c>
      <c r="AM192" s="98" t="str">
        <f t="shared" si="111"/>
        <v>1+0.387411693592352i</v>
      </c>
      <c r="AN192" s="98">
        <f t="shared" si="127"/>
        <v>1.0724214751356365</v>
      </c>
      <c r="AO192" s="98">
        <f t="shared" si="128"/>
        <v>0.36960750876233633</v>
      </c>
      <c r="AP192" s="168" t="str">
        <f t="shared" si="129"/>
        <v>-0.364651695455837+1.01505941442215i</v>
      </c>
      <c r="AQ192" s="98">
        <f t="shared" si="130"/>
        <v>0.65697878211315208</v>
      </c>
      <c r="AR192" s="169">
        <f t="shared" si="131"/>
        <v>109.76040572116892</v>
      </c>
      <c r="AS192" s="168" t="str">
        <f t="shared" si="132"/>
        <v>6.36790382398123+11.5350025803044i</v>
      </c>
      <c r="AT192" s="190">
        <f t="shared" si="133"/>
        <v>22.395659406337</v>
      </c>
      <c r="AU192" s="169">
        <f t="shared" si="134"/>
        <v>61.099085199653388</v>
      </c>
      <c r="AV192" s="225"/>
      <c r="AX192">
        <f t="shared" si="135"/>
        <v>0</v>
      </c>
      <c r="AY192">
        <f t="shared" si="136"/>
        <v>0</v>
      </c>
    </row>
    <row r="193" spans="14:51" x14ac:dyDescent="0.25">
      <c r="N193" s="170">
        <v>75</v>
      </c>
      <c r="O193" s="199">
        <f t="shared" si="137"/>
        <v>562.34132519034927</v>
      </c>
      <c r="P193" s="189" t="str">
        <f t="shared" si="103"/>
        <v>18.0065359477124</v>
      </c>
      <c r="Q193" s="160" t="str">
        <f t="shared" si="104"/>
        <v>1+1.10848462809597i</v>
      </c>
      <c r="R193" s="160">
        <f t="shared" si="112"/>
        <v>1.4928959008333638</v>
      </c>
      <c r="S193" s="160">
        <f t="shared" si="113"/>
        <v>0.83680430107820991</v>
      </c>
      <c r="T193" s="160" t="str">
        <f t="shared" si="105"/>
        <v>1+0.00141331790082236i</v>
      </c>
      <c r="U193" s="160">
        <f t="shared" si="114"/>
        <v>1.0000009987332457</v>
      </c>
      <c r="V193" s="160">
        <f t="shared" si="115"/>
        <v>1.413316959804635E-3</v>
      </c>
      <c r="W193" s="98" t="str">
        <f t="shared" si="106"/>
        <v>1-0.0199665409811469i</v>
      </c>
      <c r="X193" s="160">
        <f t="shared" si="116"/>
        <v>1.0001993115168355</v>
      </c>
      <c r="Y193" s="160">
        <f t="shared" si="117"/>
        <v>-1.9963888310193911E-2</v>
      </c>
      <c r="Z193" s="98" t="str">
        <f t="shared" si="107"/>
        <v>0.999996174182037+0.00596809968731094i</v>
      </c>
      <c r="AA193" s="160">
        <f t="shared" si="118"/>
        <v>1.0000139831985293</v>
      </c>
      <c r="AB193" s="160">
        <f t="shared" si="119"/>
        <v>5.9680516632785938E-3</v>
      </c>
      <c r="AC193" s="171" t="str">
        <f t="shared" si="120"/>
        <v>7.85872696455983-9.15281152276188i</v>
      </c>
      <c r="AD193" s="190">
        <f t="shared" si="121"/>
        <v>21.629631180720214</v>
      </c>
      <c r="AE193" s="169">
        <f t="shared" si="122"/>
        <v>-49.350168348331607</v>
      </c>
      <c r="AF193" s="98" t="str">
        <f t="shared" si="108"/>
        <v>-0.0000816326530612245</v>
      </c>
      <c r="AG193" s="98" t="str">
        <f t="shared" si="109"/>
        <v>0.0000830324266733137i</v>
      </c>
      <c r="AH193" s="98">
        <f t="shared" si="123"/>
        <v>8.3032426673313706E-5</v>
      </c>
      <c r="AI193" s="98">
        <f t="shared" si="124"/>
        <v>1.5707963267948966</v>
      </c>
      <c r="AJ193" s="98" t="str">
        <f t="shared" si="110"/>
        <v>1+0.0253044045434471i</v>
      </c>
      <c r="AK193" s="98">
        <f t="shared" si="125"/>
        <v>1.0003201052109763</v>
      </c>
      <c r="AL193" s="98">
        <f t="shared" si="126"/>
        <v>2.5299005705334346E-2</v>
      </c>
      <c r="AM193" s="98" t="str">
        <f t="shared" si="111"/>
        <v>1+0.396435671180672i</v>
      </c>
      <c r="AN193" s="98">
        <f t="shared" si="127"/>
        <v>1.0757142935670558</v>
      </c>
      <c r="AO193" s="98">
        <f t="shared" si="128"/>
        <v>0.37742990832545908</v>
      </c>
      <c r="AP193" s="168" t="str">
        <f t="shared" si="129"/>
        <v>-0.364641193346243+0.992368872147135i</v>
      </c>
      <c r="AQ193" s="98">
        <f t="shared" si="130"/>
        <v>0.48348244690825376</v>
      </c>
      <c r="AR193" s="169">
        <f t="shared" si="131"/>
        <v>110.17561455626532</v>
      </c>
      <c r="AS193" s="168" t="str">
        <f t="shared" si="132"/>
        <v>6.21734966927911+11.1362481304657i</v>
      </c>
      <c r="AT193" s="190">
        <f t="shared" si="133"/>
        <v>22.113113627628493</v>
      </c>
      <c r="AU193" s="169">
        <f t="shared" si="134"/>
        <v>60.82544620793383</v>
      </c>
      <c r="AV193" s="225"/>
      <c r="AX193">
        <f t="shared" si="135"/>
        <v>0</v>
      </c>
      <c r="AY193">
        <f t="shared" si="136"/>
        <v>0</v>
      </c>
    </row>
    <row r="194" spans="14:51" x14ac:dyDescent="0.25">
      <c r="N194" s="170">
        <v>76</v>
      </c>
      <c r="O194" s="199">
        <f t="shared" si="137"/>
        <v>575.43993733715706</v>
      </c>
      <c r="P194" s="189" t="str">
        <f t="shared" si="103"/>
        <v>18.0065359477124</v>
      </c>
      <c r="Q194" s="160" t="str">
        <f t="shared" si="104"/>
        <v>1+1.13430455198154i</v>
      </c>
      <c r="R194" s="160">
        <f t="shared" si="112"/>
        <v>1.5121662662042299</v>
      </c>
      <c r="S194" s="160">
        <f t="shared" si="113"/>
        <v>0.84824191296896412</v>
      </c>
      <c r="T194" s="160" t="str">
        <f t="shared" si="105"/>
        <v>1+0.00144623830377647i</v>
      </c>
      <c r="U194" s="160">
        <f t="shared" si="114"/>
        <v>1.0000010458020687</v>
      </c>
      <c r="V194" s="160">
        <f t="shared" si="115"/>
        <v>1.4462372954578682E-3</v>
      </c>
      <c r="W194" s="98" t="str">
        <f t="shared" si="106"/>
        <v>1-0.0204316214660941i</v>
      </c>
      <c r="X194" s="160">
        <f t="shared" si="116"/>
        <v>1.0002087037992289</v>
      </c>
      <c r="Y194" s="160">
        <f t="shared" si="117"/>
        <v>-2.042877910998887E-2</v>
      </c>
      <c r="Z194" s="98" t="str">
        <f t="shared" si="107"/>
        <v>0.999995993876791+0.00610711458725825i</v>
      </c>
      <c r="AA194" s="160">
        <f t="shared" si="118"/>
        <v>1.0000146422019094</v>
      </c>
      <c r="AB194" s="160">
        <f t="shared" si="119"/>
        <v>6.1070631286202891E-3</v>
      </c>
      <c r="AC194" s="171" t="str">
        <f t="shared" si="120"/>
        <v>7.64957751587205-9.12876820833457i</v>
      </c>
      <c r="AD194" s="190">
        <f t="shared" si="121"/>
        <v>21.518307030913522</v>
      </c>
      <c r="AE194" s="169">
        <f t="shared" si="122"/>
        <v>-50.038210092118135</v>
      </c>
      <c r="AF194" s="98" t="str">
        <f t="shared" si="108"/>
        <v>-0.0000816326530612245</v>
      </c>
      <c r="AG194" s="98" t="str">
        <f t="shared" si="109"/>
        <v>0.0000849665003468674i</v>
      </c>
      <c r="AH194" s="98">
        <f t="shared" si="123"/>
        <v>8.4966500346867399E-5</v>
      </c>
      <c r="AI194" s="98">
        <f t="shared" si="124"/>
        <v>1.5707963267948966</v>
      </c>
      <c r="AJ194" s="98" t="str">
        <f t="shared" si="110"/>
        <v>1+0.0258938198431467i</v>
      </c>
      <c r="AK194" s="98">
        <f t="shared" si="125"/>
        <v>1.0003351887772765</v>
      </c>
      <c r="AL194" s="98">
        <f t="shared" si="126"/>
        <v>2.5888034988568925E-2</v>
      </c>
      <c r="AM194" s="98" t="str">
        <f t="shared" si="111"/>
        <v>1+0.405669844209299i</v>
      </c>
      <c r="AN194" s="98">
        <f t="shared" si="127"/>
        <v>1.0791515289804285</v>
      </c>
      <c r="AO194" s="98">
        <f t="shared" si="128"/>
        <v>0.38538459757275795</v>
      </c>
      <c r="AP194" s="168" t="str">
        <f t="shared" si="129"/>
        <v>-0.364630196935818+0.970204471945045i</v>
      </c>
      <c r="AQ194" s="98">
        <f t="shared" si="130"/>
        <v>0.31106129632275592</v>
      </c>
      <c r="AR194" s="169">
        <f t="shared" si="131"/>
        <v>110.59763578553464</v>
      </c>
      <c r="AS194" s="168" t="str">
        <f t="shared" si="132"/>
        <v>6.06750478298773+10.7502788639758i</v>
      </c>
      <c r="AT194" s="190">
        <f t="shared" si="133"/>
        <v>21.829368327236285</v>
      </c>
      <c r="AU194" s="169">
        <f t="shared" si="134"/>
        <v>60.559425693416479</v>
      </c>
      <c r="AV194" s="225"/>
      <c r="AX194">
        <f t="shared" si="135"/>
        <v>0</v>
      </c>
      <c r="AY194">
        <f t="shared" si="136"/>
        <v>0</v>
      </c>
    </row>
    <row r="195" spans="14:51" x14ac:dyDescent="0.25">
      <c r="N195" s="170">
        <v>77</v>
      </c>
      <c r="O195" s="199">
        <f t="shared" si="137"/>
        <v>588.84365535558959</v>
      </c>
      <c r="P195" s="189" t="str">
        <f t="shared" si="103"/>
        <v>18.0065359477124</v>
      </c>
      <c r="Q195" s="160" t="str">
        <f t="shared" si="104"/>
        <v>1+1.16072589915487i</v>
      </c>
      <c r="R195" s="160">
        <f t="shared" si="112"/>
        <v>1.5320850540909539</v>
      </c>
      <c r="S195" s="160">
        <f t="shared" si="113"/>
        <v>0.85964656268393258</v>
      </c>
      <c r="T195" s="160" t="str">
        <f t="shared" si="105"/>
        <v>1+0.00147992552142246i</v>
      </c>
      <c r="U195" s="160">
        <f t="shared" si="114"/>
        <v>1.0000010950891749</v>
      </c>
      <c r="V195" s="160">
        <f t="shared" si="115"/>
        <v>1.4799244409896763E-3</v>
      </c>
      <c r="W195" s="98" t="str">
        <f t="shared" si="106"/>
        <v>1-0.0209075350671871i</v>
      </c>
      <c r="X195" s="160">
        <f t="shared" si="116"/>
        <v>1.0002185386317259</v>
      </c>
      <c r="Y195" s="160">
        <f t="shared" si="117"/>
        <v>-2.0904489463686754E-2</v>
      </c>
      <c r="Z195" s="98" t="str">
        <f t="shared" si="107"/>
        <v>0.999995805074021+0.00624936756019693i</v>
      </c>
      <c r="AA195" s="160">
        <f t="shared" si="118"/>
        <v>1.0000153322627319</v>
      </c>
      <c r="AB195" s="160">
        <f t="shared" si="119"/>
        <v>6.2493124213176014E-3</v>
      </c>
      <c r="AC195" s="171" t="str">
        <f t="shared" si="120"/>
        <v>7.44163180190961-9.10003601250987i</v>
      </c>
      <c r="AD195" s="190">
        <f t="shared" si="121"/>
        <v>21.404720262266753</v>
      </c>
      <c r="AE195" s="169">
        <f t="shared" si="122"/>
        <v>-50.725124735995919</v>
      </c>
      <c r="AF195" s="98" t="str">
        <f t="shared" si="108"/>
        <v>-0.0000816326530612245</v>
      </c>
      <c r="AG195" s="98" t="str">
        <f t="shared" si="109"/>
        <v>0.0000869456243835698i</v>
      </c>
      <c r="AH195" s="98">
        <f t="shared" si="123"/>
        <v>8.6945624383569806E-5</v>
      </c>
      <c r="AI195" s="98">
        <f t="shared" si="124"/>
        <v>1.5707963267948966</v>
      </c>
      <c r="AJ195" s="98" t="str">
        <f t="shared" si="110"/>
        <v>1+0.0264969643888723i</v>
      </c>
      <c r="AK195" s="98">
        <f t="shared" si="125"/>
        <v>1.0003509829663912</v>
      </c>
      <c r="AL195" s="98">
        <f t="shared" si="126"/>
        <v>2.6490765922968545E-2</v>
      </c>
      <c r="AM195" s="98" t="str">
        <f t="shared" si="111"/>
        <v>1+0.415119108759001i</v>
      </c>
      <c r="AN195" s="98">
        <f t="shared" si="127"/>
        <v>1.0827390611116177</v>
      </c>
      <c r="AO195" s="98">
        <f t="shared" si="128"/>
        <v>0.39347176635098763</v>
      </c>
      <c r="AP195" s="168" t="str">
        <f t="shared" si="129"/>
        <v>-0.364618682991369+0.948554460169192i</v>
      </c>
      <c r="AQ195" s="98">
        <f t="shared" si="130"/>
        <v>0.13975164409231899</v>
      </c>
      <c r="AR195" s="169">
        <f t="shared" si="131"/>
        <v>111.02646248601413</v>
      </c>
      <c r="AS195" s="168" t="str">
        <f t="shared" si="132"/>
        <v>5.91852176044754+10.3768361826936i</v>
      </c>
      <c r="AT195" s="190">
        <f t="shared" si="133"/>
        <v>21.54447190635905</v>
      </c>
      <c r="AU195" s="169">
        <f t="shared" si="134"/>
        <v>60.301337750018106</v>
      </c>
      <c r="AV195" s="225"/>
      <c r="AX195">
        <f t="shared" si="135"/>
        <v>0</v>
      </c>
      <c r="AY195">
        <f t="shared" si="136"/>
        <v>0</v>
      </c>
    </row>
    <row r="196" spans="14:51" x14ac:dyDescent="0.25">
      <c r="N196" s="170">
        <v>78</v>
      </c>
      <c r="O196" s="199">
        <f t="shared" si="137"/>
        <v>602.55958607435832</v>
      </c>
      <c r="P196" s="189" t="str">
        <f t="shared" si="103"/>
        <v>18.0065359477124</v>
      </c>
      <c r="Q196" s="160" t="str">
        <f t="shared" si="104"/>
        <v>1+1.18776267856396i</v>
      </c>
      <c r="R196" s="160">
        <f t="shared" si="112"/>
        <v>1.5526687285410989</v>
      </c>
      <c r="S196" s="160">
        <f t="shared" si="113"/>
        <v>0.87101243116002913</v>
      </c>
      <c r="T196" s="160" t="str">
        <f t="shared" si="105"/>
        <v>1+0.00151439741516905i</v>
      </c>
      <c r="U196" s="160">
        <f t="shared" si="114"/>
        <v>1.0000011466991081</v>
      </c>
      <c r="V196" s="160">
        <f t="shared" si="115"/>
        <v>1.5143962574645357E-3</v>
      </c>
      <c r="W196" s="98" t="str">
        <f t="shared" si="106"/>
        <v>1-0.0213945341201167i</v>
      </c>
      <c r="X196" s="160">
        <f t="shared" si="116"/>
        <v>1.0002288368619536</v>
      </c>
      <c r="Y196" s="160">
        <f t="shared" si="117"/>
        <v>-2.1391270737492779E-2</v>
      </c>
      <c r="Z196" s="98" t="str">
        <f t="shared" si="107"/>
        <v>0.99999560737325+0.00639493403053619i</v>
      </c>
      <c r="AA196" s="160">
        <f t="shared" si="118"/>
        <v>1.000016054844646</v>
      </c>
      <c r="AB196" s="160">
        <f t="shared" si="119"/>
        <v>6.3948749482126421E-3</v>
      </c>
      <c r="AC196" s="171" t="str">
        <f t="shared" si="120"/>
        <v>7.23509787703805-9.06668920671484i</v>
      </c>
      <c r="AD196" s="190">
        <f t="shared" si="121"/>
        <v>21.288885258290165</v>
      </c>
      <c r="AE196" s="169">
        <f t="shared" si="122"/>
        <v>-51.410596571562188</v>
      </c>
      <c r="AF196" s="98" t="str">
        <f t="shared" si="108"/>
        <v>-0.0000816326530612245</v>
      </c>
      <c r="AG196" s="98" t="str">
        <f t="shared" si="109"/>
        <v>0.0000889708481411816i</v>
      </c>
      <c r="AH196" s="98">
        <f t="shared" si="123"/>
        <v>8.8970848141181605E-5</v>
      </c>
      <c r="AI196" s="98">
        <f t="shared" si="124"/>
        <v>1.5707963267948966</v>
      </c>
      <c r="AJ196" s="98" t="str">
        <f t="shared" si="110"/>
        <v>1+0.0271141579758457i</v>
      </c>
      <c r="AK196" s="98">
        <f t="shared" si="125"/>
        <v>1.0003675212454366</v>
      </c>
      <c r="AL196" s="98">
        <f t="shared" si="126"/>
        <v>2.7107516331746805E-2</v>
      </c>
      <c r="AM196" s="98" t="str">
        <f t="shared" si="111"/>
        <v>1+0.424788474954918i</v>
      </c>
      <c r="AN196" s="98">
        <f t="shared" si="127"/>
        <v>1.0864829720039448</v>
      </c>
      <c r="AO196" s="98">
        <f t="shared" si="128"/>
        <v>0.40169147018220658</v>
      </c>
      <c r="AP196" s="168" t="str">
        <f t="shared" si="129"/>
        <v>-0.364606627190775+0.927407355780849i</v>
      </c>
      <c r="AQ196" s="98">
        <f t="shared" si="130"/>
        <v>-3.0409565260220203E-2</v>
      </c>
      <c r="AR196" s="169">
        <f t="shared" si="131"/>
        <v>111.4620796289545</v>
      </c>
      <c r="AS196" s="168" t="str">
        <f t="shared" si="132"/>
        <v>5.77054962854419+10.0156579624068i</v>
      </c>
      <c r="AT196" s="190">
        <f t="shared" si="133"/>
        <v>21.258475693029947</v>
      </c>
      <c r="AU196" s="169">
        <f t="shared" si="134"/>
        <v>60.051483057392353</v>
      </c>
      <c r="AV196" s="225"/>
      <c r="AX196">
        <f t="shared" si="135"/>
        <v>0</v>
      </c>
      <c r="AY196">
        <f t="shared" si="136"/>
        <v>0</v>
      </c>
    </row>
    <row r="197" spans="14:51" x14ac:dyDescent="0.25">
      <c r="N197" s="170">
        <v>79</v>
      </c>
      <c r="O197" s="199">
        <f t="shared" si="137"/>
        <v>616.59500186148273</v>
      </c>
      <c r="P197" s="189" t="str">
        <f t="shared" si="103"/>
        <v>18.0065359477124</v>
      </c>
      <c r="Q197" s="160" t="str">
        <f t="shared" si="104"/>
        <v>1+1.21542922546712i</v>
      </c>
      <c r="R197" s="160">
        <f t="shared" si="112"/>
        <v>1.5739339891239412</v>
      </c>
      <c r="S197" s="160">
        <f t="shared" si="113"/>
        <v>0.88233379935857814</v>
      </c>
      <c r="T197" s="160" t="str">
        <f t="shared" si="105"/>
        <v>1+0.00154967226247058i</v>
      </c>
      <c r="U197" s="160">
        <f t="shared" si="114"/>
        <v>1.0000012007413397</v>
      </c>
      <c r="V197" s="160">
        <f t="shared" si="115"/>
        <v>1.5496710219679237E-3</v>
      </c>
      <c r="W197" s="98" t="str">
        <f t="shared" si="106"/>
        <v>1-0.0218928768382269i</v>
      </c>
      <c r="X197" s="160">
        <f t="shared" si="116"/>
        <v>1.0002396203191781</v>
      </c>
      <c r="Y197" s="160">
        <f t="shared" si="117"/>
        <v>-2.1889380105986556E-2</v>
      </c>
      <c r="Z197" s="98" t="str">
        <f t="shared" si="107"/>
        <v>0.99999540035513+0.00654389117954541i</v>
      </c>
      <c r="AA197" s="160">
        <f t="shared" si="118"/>
        <v>1.0000168114802803</v>
      </c>
      <c r="AB197" s="160">
        <f t="shared" si="119"/>
        <v>6.5438278717513589E-3</v>
      </c>
      <c r="AC197" s="171" t="str">
        <f t="shared" si="120"/>
        <v>7.03017801057537-9.02881330532286i</v>
      </c>
      <c r="AD197" s="190">
        <f t="shared" si="121"/>
        <v>21.170818640372403</v>
      </c>
      <c r="AE197" s="169">
        <f t="shared" si="122"/>
        <v>-52.094316030938806</v>
      </c>
      <c r="AF197" s="98" t="str">
        <f t="shared" si="108"/>
        <v>-0.0000816326530612245</v>
      </c>
      <c r="AG197" s="98" t="str">
        <f t="shared" si="109"/>
        <v>0.0000910432454201463i</v>
      </c>
      <c r="AH197" s="98">
        <f t="shared" si="123"/>
        <v>9.1043245420146298E-5</v>
      </c>
      <c r="AI197" s="98">
        <f t="shared" si="124"/>
        <v>1.5707963267948966</v>
      </c>
      <c r="AJ197" s="98" t="str">
        <f t="shared" si="110"/>
        <v>1+0.0277457278482763i</v>
      </c>
      <c r="AK197" s="98">
        <f t="shared" si="125"/>
        <v>1.0003848386565195</v>
      </c>
      <c r="AL197" s="98">
        <f t="shared" si="126"/>
        <v>2.7738611346258074E-2</v>
      </c>
      <c r="AM197" s="98" t="str">
        <f t="shared" si="111"/>
        <v>1+0.434683069622997i</v>
      </c>
      <c r="AN197" s="98">
        <f t="shared" si="127"/>
        <v>1.0903895501227399</v>
      </c>
      <c r="AO197" s="98">
        <f t="shared" si="128"/>
        <v>0.41004362339374723</v>
      </c>
      <c r="AP197" s="168" t="str">
        <f t="shared" si="129"/>
        <v>-0.364594004072247+0.906751944252735i</v>
      </c>
      <c r="AQ197" s="98">
        <f t="shared" si="130"/>
        <v>-0.19938479499820458</v>
      </c>
      <c r="AR197" s="169">
        <f t="shared" si="131"/>
        <v>111.90446367701915</v>
      </c>
      <c r="AS197" s="168" t="str">
        <f t="shared" si="132"/>
        <v>5.62373326868013+9.66647877454048i</v>
      </c>
      <c r="AT197" s="190">
        <f t="shared" si="133"/>
        <v>20.971433845374197</v>
      </c>
      <c r="AU197" s="169">
        <f t="shared" si="134"/>
        <v>59.810147646080338</v>
      </c>
      <c r="AV197" s="225"/>
      <c r="AX197">
        <f t="shared" si="135"/>
        <v>0</v>
      </c>
      <c r="AY197">
        <f t="shared" si="136"/>
        <v>0</v>
      </c>
    </row>
    <row r="198" spans="14:51" x14ac:dyDescent="0.25">
      <c r="N198" s="170">
        <v>80</v>
      </c>
      <c r="O198" s="199">
        <f t="shared" si="137"/>
        <v>630.95734448019323</v>
      </c>
      <c r="P198" s="189" t="str">
        <f t="shared" si="103"/>
        <v>18.0065359477124</v>
      </c>
      <c r="Q198" s="160" t="str">
        <f t="shared" si="104"/>
        <v>1+1.24374020903373i</v>
      </c>
      <c r="R198" s="160">
        <f t="shared" si="112"/>
        <v>1.5958977747861129</v>
      </c>
      <c r="S198" s="160">
        <f t="shared" si="113"/>
        <v>0.89360506200666612</v>
      </c>
      <c r="T198" s="160" t="str">
        <f t="shared" si="105"/>
        <v>1+0.001585768766518i</v>
      </c>
      <c r="U198" s="160">
        <f t="shared" si="114"/>
        <v>1.0000012573304999</v>
      </c>
      <c r="V198" s="160">
        <f t="shared" si="115"/>
        <v>1.585767437295546E-3</v>
      </c>
      <c r="W198" s="98" t="str">
        <f t="shared" si="106"/>
        <v>1-0.0224028274494232i</v>
      </c>
      <c r="X198" s="160">
        <f t="shared" si="116"/>
        <v>1.0002509118604834</v>
      </c>
      <c r="Y198" s="160">
        <f t="shared" si="117"/>
        <v>-2.2399080684082695E-2</v>
      </c>
      <c r="Z198" s="98" t="str">
        <f t="shared" si="107"/>
        <v>0.999995183580545+0.00669631798627665i</v>
      </c>
      <c r="AA198" s="160">
        <f t="shared" si="118"/>
        <v>1.0000176037744841</v>
      </c>
      <c r="AB198" s="160">
        <f t="shared" si="119"/>
        <v>6.6962501508162527E-3</v>
      </c>
      <c r="AC198" s="171" t="str">
        <f t="shared" si="120"/>
        <v>6.82706793110842-8.9865045377875i</v>
      </c>
      <c r="AD198" s="190">
        <f t="shared" si="121"/>
        <v>21.050539201141312</v>
      </c>
      <c r="AE198" s="169">
        <f t="shared" si="122"/>
        <v>-52.775980483438502</v>
      </c>
      <c r="AF198" s="98" t="str">
        <f t="shared" si="108"/>
        <v>-0.0000816326530612245</v>
      </c>
      <c r="AG198" s="98" t="str">
        <f t="shared" si="109"/>
        <v>0.0000931639150329325i</v>
      </c>
      <c r="AH198" s="98">
        <f t="shared" si="123"/>
        <v>9.3163915032932497E-5</v>
      </c>
      <c r="AI198" s="98">
        <f t="shared" si="124"/>
        <v>1.5707963267948966</v>
      </c>
      <c r="AJ198" s="98" t="str">
        <f t="shared" si="110"/>
        <v>1+0.02839200887287i</v>
      </c>
      <c r="AK198" s="98">
        <f t="shared" si="125"/>
        <v>1.0004029718907461</v>
      </c>
      <c r="AL198" s="98">
        <f t="shared" si="126"/>
        <v>2.8384383569456266E-2</v>
      </c>
      <c r="AM198" s="98" t="str">
        <f t="shared" si="111"/>
        <v>1+0.444808139008299i</v>
      </c>
      <c r="AN198" s="98">
        <f t="shared" si="127"/>
        <v>1.0944652943460684</v>
      </c>
      <c r="AO198" s="98">
        <f t="shared" si="128"/>
        <v>0.41852799228963694</v>
      </c>
      <c r="AP198" s="168" t="str">
        <f t="shared" si="129"/>
        <v>-0.364580786981251+0.886577271613208i</v>
      </c>
      <c r="AQ198" s="98">
        <f t="shared" si="130"/>
        <v>-0.36713595931272042</v>
      </c>
      <c r="AR198" s="169">
        <f t="shared" si="131"/>
        <v>112.3535821836697</v>
      </c>
      <c r="AS198" s="168" t="str">
        <f t="shared" si="132"/>
        <v>5.47821287535339+9.32903015607728i</v>
      </c>
      <c r="AT198" s="190">
        <f t="shared" si="133"/>
        <v>20.683403241828593</v>
      </c>
      <c r="AU198" s="169">
        <f t="shared" si="134"/>
        <v>59.577601700231185</v>
      </c>
      <c r="AV198" s="225"/>
      <c r="AX198">
        <f t="shared" si="135"/>
        <v>0</v>
      </c>
      <c r="AY198">
        <f t="shared" si="136"/>
        <v>0</v>
      </c>
    </row>
    <row r="199" spans="14:51" x14ac:dyDescent="0.25">
      <c r="N199" s="170">
        <v>81</v>
      </c>
      <c r="O199" s="199">
        <f t="shared" si="137"/>
        <v>645.65422903465594</v>
      </c>
      <c r="P199" s="189" t="str">
        <f t="shared" si="103"/>
        <v>18.0065359477124</v>
      </c>
      <c r="Q199" s="160" t="str">
        <f t="shared" si="104"/>
        <v>1+1.27271064012201i</v>
      </c>
      <c r="R199" s="160">
        <f t="shared" si="112"/>
        <v>1.6185772683068846</v>
      </c>
      <c r="S199" s="160">
        <f t="shared" si="113"/>
        <v>0.9048207406413431</v>
      </c>
      <c r="T199" s="160" t="str">
        <f t="shared" si="105"/>
        <v>1+0.00162270606615556i</v>
      </c>
      <c r="U199" s="160">
        <f t="shared" si="114"/>
        <v>1.0000013165866219</v>
      </c>
      <c r="V199" s="160">
        <f t="shared" si="115"/>
        <v>1.6227046418681407E-3</v>
      </c>
      <c r="W199" s="98" t="str">
        <f t="shared" si="106"/>
        <v>1-0.0229246563362697i</v>
      </c>
      <c r="X199" s="160">
        <f t="shared" si="116"/>
        <v>1.0002627354191178</v>
      </c>
      <c r="Y199" s="160">
        <f t="shared" si="117"/>
        <v>-2.292064166182723E-2</v>
      </c>
      <c r="Z199" s="98" t="str">
        <f t="shared" si="107"/>
        <v>0.99999495658969+0.00685229526944046i</v>
      </c>
      <c r="AA199" s="160">
        <f t="shared" si="118"/>
        <v>1.0000184334077427</v>
      </c>
      <c r="AB199" s="160">
        <f t="shared" si="119"/>
        <v>6.852222582505855E-3</v>
      </c>
      <c r="AC199" s="171" t="str">
        <f t="shared" si="120"/>
        <v>6.62595612614984-8.93986926296094i</v>
      </c>
      <c r="AD199" s="190">
        <f t="shared" si="121"/>
        <v>20.928067829927862</v>
      </c>
      <c r="AE199" s="169">
        <f t="shared" si="122"/>
        <v>-53.455294992491218</v>
      </c>
      <c r="AF199" s="98" t="str">
        <f t="shared" si="108"/>
        <v>-0.0000816326530612245</v>
      </c>
      <c r="AG199" s="98" t="str">
        <f t="shared" si="109"/>
        <v>0.0000953339813866395i</v>
      </c>
      <c r="AH199" s="98">
        <f t="shared" si="123"/>
        <v>9.5333981386639505E-5</v>
      </c>
      <c r="AI199" s="98">
        <f t="shared" si="124"/>
        <v>1.5707963267948966</v>
      </c>
      <c r="AJ199" s="98" t="str">
        <f t="shared" si="110"/>
        <v>1+0.0290533437163809i</v>
      </c>
      <c r="AK199" s="98">
        <f t="shared" si="125"/>
        <v>1.000421959365698</v>
      </c>
      <c r="AL199" s="98">
        <f t="shared" si="126"/>
        <v>2.9045173242680467E-2</v>
      </c>
      <c r="AM199" s="98" t="str">
        <f t="shared" si="111"/>
        <v>1+0.455169051556636i</v>
      </c>
      <c r="AN199" s="98">
        <f t="shared" si="127"/>
        <v>1.0987169178159439</v>
      </c>
      <c r="AO199" s="98">
        <f t="shared" si="128"/>
        <v>0.42714418840159185</v>
      </c>
      <c r="AP199" s="168" t="str">
        <f t="shared" si="129"/>
        <v>-0.364566948014996+0.866872638627894i</v>
      </c>
      <c r="AQ199" s="98">
        <f t="shared" si="130"/>
        <v>-0.53362447116938116</v>
      </c>
      <c r="AR199" s="169">
        <f t="shared" si="131"/>
        <v>112.80939339692023</v>
      </c>
      <c r="AS199" s="168" t="str">
        <f t="shared" si="132"/>
        <v>5.33412345437964+9.00304092335891i</v>
      </c>
      <c r="AT199" s="190">
        <f t="shared" si="133"/>
        <v>20.394443358758476</v>
      </c>
      <c r="AU199" s="169">
        <f t="shared" si="134"/>
        <v>59.354098404429024</v>
      </c>
      <c r="AV199" s="225"/>
      <c r="AX199">
        <f t="shared" si="135"/>
        <v>0</v>
      </c>
      <c r="AY199">
        <f t="shared" si="136"/>
        <v>0</v>
      </c>
    </row>
    <row r="200" spans="14:51" x14ac:dyDescent="0.25">
      <c r="N200" s="170">
        <v>82</v>
      </c>
      <c r="O200" s="199">
        <f t="shared" si="137"/>
        <v>660.69344800759643</v>
      </c>
      <c r="P200" s="189" t="str">
        <f t="shared" si="103"/>
        <v>18.0065359477124</v>
      </c>
      <c r="Q200" s="160" t="str">
        <f t="shared" si="104"/>
        <v>1+1.30235587923801i</v>
      </c>
      <c r="R200" s="160">
        <f t="shared" si="112"/>
        <v>1.6419899013653556</v>
      </c>
      <c r="S200" s="160">
        <f t="shared" si="113"/>
        <v>0.91597549588839156</v>
      </c>
      <c r="T200" s="160" t="str">
        <f t="shared" si="105"/>
        <v>1+0.00166050374602846i</v>
      </c>
      <c r="U200" s="160">
        <f t="shared" si="114"/>
        <v>1.000001378635395</v>
      </c>
      <c r="V200" s="160">
        <f t="shared" si="115"/>
        <v>1.6605022198771075E-3</v>
      </c>
      <c r="W200" s="98" t="str">
        <f t="shared" si="106"/>
        <v>1-0.0234586401793494i</v>
      </c>
      <c r="X200" s="160">
        <f t="shared" si="116"/>
        <v>1.0002751160551102</v>
      </c>
      <c r="Y200" s="160">
        <f t="shared" si="117"/>
        <v>-2.3454338442079125E-2</v>
      </c>
      <c r="Z200" s="98" t="str">
        <f t="shared" si="107"/>
        <v>0.999994718901084+0.00701190573025699i</v>
      </c>
      <c r="AA200" s="160">
        <f t="shared" si="118"/>
        <v>1.0000193021397277</v>
      </c>
      <c r="AB200" s="160">
        <f t="shared" si="119"/>
        <v>7.0118278448827601E-3</v>
      </c>
      <c r="AC200" s="171" t="str">
        <f t="shared" si="120"/>
        <v>6.42702320197953-8.88902333208756i</v>
      </c>
      <c r="AD200" s="190">
        <f t="shared" si="121"/>
        <v>20.803427430960795</v>
      </c>
      <c r="AE200" s="169">
        <f t="shared" si="122"/>
        <v>-54.131973028922992</v>
      </c>
      <c r="AF200" s="98" t="str">
        <f t="shared" si="108"/>
        <v>-0.0000816326530612245</v>
      </c>
      <c r="AG200" s="98" t="str">
        <f t="shared" si="109"/>
        <v>0.000097554595079172i</v>
      </c>
      <c r="AH200" s="98">
        <f t="shared" si="123"/>
        <v>9.7554595079171996E-5</v>
      </c>
      <c r="AI200" s="98">
        <f t="shared" si="124"/>
        <v>1.5707963267948966</v>
      </c>
      <c r="AJ200" s="98" t="str">
        <f t="shared" si="110"/>
        <v>1+0.0297300830272967i</v>
      </c>
      <c r="AK200" s="98">
        <f t="shared" si="125"/>
        <v>1.0004418413065348</v>
      </c>
      <c r="AL200" s="98">
        <f t="shared" si="126"/>
        <v>2.9721328415807376E-2</v>
      </c>
      <c r="AM200" s="98" t="str">
        <f t="shared" si="111"/>
        <v>1+0.465771300760983i</v>
      </c>
      <c r="AN200" s="98">
        <f t="shared" si="127"/>
        <v>1.1031513516342979</v>
      </c>
      <c r="AO200" s="98">
        <f t="shared" si="128"/>
        <v>0.43589166186051115</v>
      </c>
      <c r="AP200" s="168" t="str">
        <f t="shared" si="129"/>
        <v>-0.364552457964362+0.847627595115641i</v>
      </c>
      <c r="AQ200" s="98">
        <f t="shared" si="130"/>
        <v>-0.69881129497500138</v>
      </c>
      <c r="AR200" s="169">
        <f t="shared" si="131"/>
        <v>113.27184586980292</v>
      </c>
      <c r="AS200" s="168" t="str">
        <f t="shared" si="132"/>
        <v>5.19159436422858+8.68823752506142i</v>
      </c>
      <c r="AT200" s="190">
        <f t="shared" si="133"/>
        <v>20.104616135985797</v>
      </c>
      <c r="AU200" s="169">
        <f t="shared" si="134"/>
        <v>59.139872840879917</v>
      </c>
      <c r="AV200" s="225"/>
      <c r="AX200">
        <f t="shared" si="135"/>
        <v>0</v>
      </c>
      <c r="AY200">
        <f t="shared" si="136"/>
        <v>0</v>
      </c>
    </row>
    <row r="201" spans="14:51" x14ac:dyDescent="0.25">
      <c r="N201" s="170">
        <v>83</v>
      </c>
      <c r="O201" s="199">
        <f t="shared" si="137"/>
        <v>676.08297539198213</v>
      </c>
      <c r="P201" s="189" t="str">
        <f t="shared" si="103"/>
        <v>18.0065359477124</v>
      </c>
      <c r="Q201" s="160" t="str">
        <f t="shared" si="104"/>
        <v>1+1.33269164467989i</v>
      </c>
      <c r="R201" s="160">
        <f t="shared" si="112"/>
        <v>1.6661533602281604</v>
      </c>
      <c r="S201" s="160">
        <f t="shared" si="113"/>
        <v>0.92706413891568717</v>
      </c>
      <c r="T201" s="160" t="str">
        <f t="shared" si="105"/>
        <v>1+0.00169918184696686i</v>
      </c>
      <c r="U201" s="160">
        <f t="shared" si="114"/>
        <v>1.0000014436084326</v>
      </c>
      <c r="V201" s="160">
        <f t="shared" si="115"/>
        <v>1.6991802116663507E-3</v>
      </c>
      <c r="W201" s="98" t="str">
        <f t="shared" si="106"/>
        <v>1-0.0240050621039639i</v>
      </c>
      <c r="X201" s="160">
        <f t="shared" si="116"/>
        <v>1.0002880800082621</v>
      </c>
      <c r="Y201" s="160">
        <f t="shared" si="117"/>
        <v>-2.4000452781126086E-2</v>
      </c>
      <c r="Z201" s="98" t="str">
        <f t="shared" si="107"/>
        <v>0.99999447001056+0.00717523399630525i</v>
      </c>
      <c r="AA201" s="160">
        <f t="shared" si="118"/>
        <v>1.0000202118130426</v>
      </c>
      <c r="AB201" s="160">
        <f t="shared" si="119"/>
        <v>7.1751505407122917E-3</v>
      </c>
      <c r="AC201" s="171" t="str">
        <f t="shared" si="120"/>
        <v>6.23044130768057-8.83409140737985i</v>
      </c>
      <c r="AD201" s="190">
        <f t="shared" si="121"/>
        <v>20.676642834970433</v>
      </c>
      <c r="AE201" s="169">
        <f t="shared" si="122"/>
        <v>-54.8057371371534</v>
      </c>
      <c r="AF201" s="98" t="str">
        <f t="shared" si="108"/>
        <v>-0.0000816326530612245</v>
      </c>
      <c r="AG201" s="98" t="str">
        <f t="shared" si="109"/>
        <v>0.0000998269335093033i</v>
      </c>
      <c r="AH201" s="98">
        <f t="shared" si="123"/>
        <v>9.9826933509303294E-5</v>
      </c>
      <c r="AI201" s="98">
        <f t="shared" si="124"/>
        <v>1.5707963267948966</v>
      </c>
      <c r="AJ201" s="98" t="str">
        <f t="shared" si="110"/>
        <v>1+0.0304225856217577i</v>
      </c>
      <c r="AK201" s="98">
        <f t="shared" si="125"/>
        <v>1.000462659830897</v>
      </c>
      <c r="AL201" s="98">
        <f t="shared" si="126"/>
        <v>3.0413205120816161E-2</v>
      </c>
      <c r="AM201" s="98" t="str">
        <f t="shared" si="111"/>
        <v>1+0.476620508074205i</v>
      </c>
      <c r="AN201" s="98">
        <f t="shared" si="127"/>
        <v>1.1077757483881443</v>
      </c>
      <c r="AO201" s="98">
        <f t="shared" si="128"/>
        <v>0.44476969493217861</v>
      </c>
      <c r="AP201" s="168" t="str">
        <f t="shared" si="129"/>
        <v>-0.364537286253176+0.828831934395739i</v>
      </c>
      <c r="AQ201" s="98">
        <f t="shared" si="130"/>
        <v>-0.86265700415376467</v>
      </c>
      <c r="AR201" s="169">
        <f t="shared" si="131"/>
        <v>113.74087808004653</v>
      </c>
      <c r="AS201" s="168" t="str">
        <f t="shared" si="132"/>
        <v>5.05074890334585+8.38434442934275i</v>
      </c>
      <c r="AT201" s="190">
        <f t="shared" si="133"/>
        <v>19.813985830816662</v>
      </c>
      <c r="AU201" s="169">
        <f t="shared" si="134"/>
        <v>58.935140942893135</v>
      </c>
      <c r="AV201" s="225"/>
      <c r="AX201">
        <f t="shared" si="135"/>
        <v>0</v>
      </c>
      <c r="AY201">
        <f t="shared" si="136"/>
        <v>0</v>
      </c>
    </row>
    <row r="202" spans="14:51" x14ac:dyDescent="0.25">
      <c r="N202" s="170">
        <v>84</v>
      </c>
      <c r="O202" s="199">
        <f t="shared" si="137"/>
        <v>691.83097091893671</v>
      </c>
      <c r="P202" s="189" t="str">
        <f t="shared" si="103"/>
        <v>18.0065359477124</v>
      </c>
      <c r="Q202" s="160" t="str">
        <f t="shared" si="104"/>
        <v>1+1.36373402087205i</v>
      </c>
      <c r="R202" s="160">
        <f t="shared" si="112"/>
        <v>1.6910855920632313</v>
      </c>
      <c r="S202" s="160">
        <f t="shared" si="113"/>
        <v>0.93808164201015809</v>
      </c>
      <c r="T202" s="160" t="str">
        <f t="shared" si="105"/>
        <v>1+0.00173876087661186i</v>
      </c>
      <c r="U202" s="160">
        <f t="shared" si="114"/>
        <v>1.0000015116435503</v>
      </c>
      <c r="V202" s="160">
        <f t="shared" si="115"/>
        <v>1.7387591243559375E-3</v>
      </c>
      <c r="W202" s="98" t="str">
        <f t="shared" si="106"/>
        <v>1-0.0245642118302506i</v>
      </c>
      <c r="X202" s="160">
        <f t="shared" si="116"/>
        <v>1.0003016547536256</v>
      </c>
      <c r="Y202" s="160">
        <f t="shared" si="117"/>
        <v>-2.4559272932284017E-2</v>
      </c>
      <c r="Z202" s="98" t="str">
        <f t="shared" si="107"/>
        <v>0.999994209390187+0.00734236666639378i</v>
      </c>
      <c r="AA202" s="160">
        <f t="shared" si="118"/>
        <v>1.0000211643571193</v>
      </c>
      <c r="AB202" s="160">
        <f t="shared" si="119"/>
        <v>7.3422772422147928E-3</v>
      </c>
      <c r="AC202" s="171" t="str">
        <f t="shared" si="120"/>
        <v>6.03637362650827-8.77520624338196i</v>
      </c>
      <c r="AD202" s="190">
        <f t="shared" si="121"/>
        <v>20.547740704917508</v>
      </c>
      <c r="AE202" s="169">
        <f t="shared" si="122"/>
        <v>-55.476319551392379</v>
      </c>
      <c r="AF202" s="98" t="str">
        <f t="shared" si="108"/>
        <v>-0.0000816326530612245</v>
      </c>
      <c r="AG202" s="98" t="str">
        <f t="shared" si="109"/>
        <v>0.000102152201500947i</v>
      </c>
      <c r="AH202" s="98">
        <f t="shared" si="123"/>
        <v>1.02152201500947E-4</v>
      </c>
      <c r="AI202" s="98">
        <f t="shared" si="124"/>
        <v>1.5707963267948966</v>
      </c>
      <c r="AJ202" s="98" t="str">
        <f t="shared" si="110"/>
        <v>1+0.0311312186738059i</v>
      </c>
      <c r="AK202" s="98">
        <f t="shared" si="125"/>
        <v>1.0004844590377786</v>
      </c>
      <c r="AL202" s="98">
        <f t="shared" si="126"/>
        <v>3.1121167548803751E-2</v>
      </c>
      <c r="AM202" s="98" t="str">
        <f t="shared" si="111"/>
        <v>1+0.487722425889627i</v>
      </c>
      <c r="AN202" s="98">
        <f t="shared" si="127"/>
        <v>1.1125974854886482</v>
      </c>
      <c r="AO202" s="98">
        <f t="shared" si="128"/>
        <v>0.45377739576341369</v>
      </c>
      <c r="AP202" s="168" t="str">
        <f t="shared" si="129"/>
        <v>-0.3645214008747+0.810475687863379i</v>
      </c>
      <c r="AQ202" s="98">
        <f t="shared" si="130"/>
        <v>-1.0251218436944529</v>
      </c>
      <c r="AR202" s="169">
        <f t="shared" si="131"/>
        <v>114.21641806161533</v>
      </c>
      <c r="AS202" s="168" t="str">
        <f t="shared" si="132"/>
        <v>4.91170394571012+8.09108453994665i</v>
      </c>
      <c r="AT202" s="190">
        <f t="shared" si="133"/>
        <v>19.522618861223048</v>
      </c>
      <c r="AU202" s="169">
        <f t="shared" si="134"/>
        <v>58.740098510222957</v>
      </c>
      <c r="AV202" s="225"/>
      <c r="AX202">
        <f t="shared" si="135"/>
        <v>0</v>
      </c>
      <c r="AY202">
        <f t="shared" si="136"/>
        <v>0</v>
      </c>
    </row>
    <row r="203" spans="14:51" x14ac:dyDescent="0.25">
      <c r="N203" s="170">
        <v>85</v>
      </c>
      <c r="O203" s="199">
        <f t="shared" si="137"/>
        <v>707.94578438413873</v>
      </c>
      <c r="P203" s="189" t="str">
        <f t="shared" si="103"/>
        <v>18.0065359477124</v>
      </c>
      <c r="Q203" s="160" t="str">
        <f t="shared" si="104"/>
        <v>1+1.39549946689322i</v>
      </c>
      <c r="R203" s="160">
        <f t="shared" si="112"/>
        <v>1.7168048118814383</v>
      </c>
      <c r="S203" s="160">
        <f t="shared" si="113"/>
        <v>0.94902314823628353</v>
      </c>
      <c r="T203" s="160" t="str">
        <f t="shared" si="105"/>
        <v>1+0.00177926182028886i</v>
      </c>
      <c r="U203" s="160">
        <f t="shared" si="114"/>
        <v>1.0000015828850599</v>
      </c>
      <c r="V203" s="160">
        <f t="shared" si="115"/>
        <v>1.7792599427129718E-3</v>
      </c>
      <c r="W203" s="98" t="str">
        <f t="shared" si="106"/>
        <v>1-0.0251363858267955i</v>
      </c>
      <c r="X203" s="160">
        <f t="shared" si="116"/>
        <v>1.0003158690595852</v>
      </c>
      <c r="Y203" s="160">
        <f t="shared" si="117"/>
        <v>-2.513109379252728E-2</v>
      </c>
      <c r="Z203" s="98" t="str">
        <f t="shared" si="107"/>
        <v>0.999993936487155+0.00751339235647657i</v>
      </c>
      <c r="AA203" s="160">
        <f t="shared" si="118"/>
        <v>1.0000221617923168</v>
      </c>
      <c r="AB203" s="160">
        <f t="shared" si="119"/>
        <v>7.5132965368546259E-3</v>
      </c>
      <c r="AC203" s="171" t="str">
        <f t="shared" si="120"/>
        <v>5.84497393684904-8.71250793850638i</v>
      </c>
      <c r="AD203" s="190">
        <f t="shared" si="121"/>
        <v>20.416749436593058</v>
      </c>
      <c r="AE203" s="169">
        <f t="shared" si="122"/>
        <v>-56.143462759434414</v>
      </c>
      <c r="AF203" s="98" t="str">
        <f t="shared" si="108"/>
        <v>-0.0000816326530612245</v>
      </c>
      <c r="AG203" s="98" t="str">
        <f t="shared" si="109"/>
        <v>0.00010453163194197i</v>
      </c>
      <c r="AH203" s="98">
        <f t="shared" si="123"/>
        <v>1.0453163194197E-4</v>
      </c>
      <c r="AI203" s="98">
        <f t="shared" si="124"/>
        <v>1.5707963267948966</v>
      </c>
      <c r="AJ203" s="98" t="str">
        <f t="shared" si="110"/>
        <v>1+0.0318563579100653i</v>
      </c>
      <c r="AK203" s="98">
        <f t="shared" si="125"/>
        <v>1.0005072851005605</v>
      </c>
      <c r="AL203" s="98">
        <f t="shared" si="126"/>
        <v>3.1845588230489344E-2</v>
      </c>
      <c r="AM203" s="98" t="str">
        <f t="shared" si="111"/>
        <v>1+0.499082940591025i</v>
      </c>
      <c r="AN203" s="98">
        <f t="shared" si="127"/>
        <v>1.1176241683092687</v>
      </c>
      <c r="AO203" s="98">
        <f t="shared" si="128"/>
        <v>0.46291369238729418</v>
      </c>
      <c r="AP203" s="168" t="str">
        <f t="shared" si="129"/>
        <v>-0.364504768325213+0.792549119690483i</v>
      </c>
      <c r="AQ203" s="98">
        <f t="shared" si="130"/>
        <v>-1.1861657976974418</v>
      </c>
      <c r="AR203" s="169">
        <f t="shared" si="131"/>
        <v>114.69838305089068</v>
      </c>
      <c r="AS203" s="168" t="str">
        <f t="shared" si="132"/>
        <v>4.77456962624151+7.80817963592037i</v>
      </c>
      <c r="AT203" s="190">
        <f t="shared" si="133"/>
        <v>19.230583638895617</v>
      </c>
      <c r="AU203" s="169">
        <f t="shared" si="134"/>
        <v>58.55492029145627</v>
      </c>
      <c r="AV203" s="225"/>
      <c r="AX203">
        <f t="shared" si="135"/>
        <v>0</v>
      </c>
      <c r="AY203">
        <f t="shared" si="136"/>
        <v>0</v>
      </c>
    </row>
    <row r="204" spans="14:51" x14ac:dyDescent="0.25">
      <c r="N204" s="170">
        <v>86</v>
      </c>
      <c r="O204" s="199">
        <f t="shared" si="137"/>
        <v>724.43596007499025</v>
      </c>
      <c r="P204" s="189" t="str">
        <f t="shared" si="103"/>
        <v>18.0065359477124</v>
      </c>
      <c r="Q204" s="160" t="str">
        <f t="shared" si="104"/>
        <v>1+1.42800482520336i</v>
      </c>
      <c r="R204" s="160">
        <f t="shared" si="112"/>
        <v>1.743329510105327</v>
      </c>
      <c r="S204" s="160">
        <f t="shared" si="113"/>
        <v>0.9598839801436001</v>
      </c>
      <c r="T204" s="160" t="str">
        <f t="shared" si="105"/>
        <v>1+0.00182070615213429i</v>
      </c>
      <c r="U204" s="160">
        <f t="shared" si="114"/>
        <v>1.0000016574840727</v>
      </c>
      <c r="V204" s="160">
        <f t="shared" si="115"/>
        <v>1.820704140275659E-3</v>
      </c>
      <c r="W204" s="98" t="str">
        <f t="shared" si="106"/>
        <v>1-0.025721887467825i</v>
      </c>
      <c r="X204" s="160">
        <f t="shared" si="116"/>
        <v>1.0003307530486643</v>
      </c>
      <c r="Y204" s="160">
        <f t="shared" si="117"/>
        <v>-2.5716217052200098E-2</v>
      </c>
      <c r="Z204" s="98" t="str">
        <f t="shared" si="107"/>
        <v>0.999993650722598+0.00768840174663825i</v>
      </c>
      <c r="AA204" s="160">
        <f t="shared" si="118"/>
        <v>1.0000232062341989</v>
      </c>
      <c r="AB204" s="160">
        <f t="shared" si="119"/>
        <v>7.6882990741894098E-3</v>
      </c>
      <c r="AC204" s="171" t="str">
        <f t="shared" si="120"/>
        <v>5.65638624414313-8.64614316419341i</v>
      </c>
      <c r="AD204" s="190">
        <f t="shared" si="121"/>
        <v>20.283699054853649</v>
      </c>
      <c r="AE204" s="169">
        <f t="shared" si="122"/>
        <v>-56.806920012186609</v>
      </c>
      <c r="AF204" s="98" t="str">
        <f t="shared" si="108"/>
        <v>-0.0000816326530612245</v>
      </c>
      <c r="AG204" s="98" t="str">
        <f t="shared" si="109"/>
        <v>0.000106966486437889i</v>
      </c>
      <c r="AH204" s="98">
        <f t="shared" si="123"/>
        <v>1.06966486437889E-4</v>
      </c>
      <c r="AI204" s="98">
        <f t="shared" si="124"/>
        <v>1.5707963267948966</v>
      </c>
      <c r="AJ204" s="98" t="str">
        <f t="shared" si="110"/>
        <v>1+0.0325983878089574i</v>
      </c>
      <c r="AK204" s="98">
        <f t="shared" si="125"/>
        <v>1.0005311863643949</v>
      </c>
      <c r="AL204" s="98">
        <f t="shared" si="126"/>
        <v>3.2586848220245303E-2</v>
      </c>
      <c r="AM204" s="98" t="str">
        <f t="shared" si="111"/>
        <v>1+0.510708075673668i</v>
      </c>
      <c r="AN204" s="98">
        <f t="shared" si="127"/>
        <v>1.1228636331088033</v>
      </c>
      <c r="AO204" s="98">
        <f t="shared" si="128"/>
        <v>0.47217732703818771</v>
      </c>
      <c r="AP204" s="168" t="str">
        <f t="shared" si="129"/>
        <v>-0.364487353534559+0.775042721648904i</v>
      </c>
      <c r="AQ204" s="98">
        <f t="shared" si="130"/>
        <v>-1.3457486619167072</v>
      </c>
      <c r="AR204" s="169">
        <f t="shared" si="131"/>
        <v>115.18667915040307</v>
      </c>
      <c r="AS204" s="168" t="str">
        <f t="shared" si="132"/>
        <v>4.63944907704551+7.53535082955589i</v>
      </c>
      <c r="AT204" s="190">
        <f t="shared" si="133"/>
        <v>18.937950392936944</v>
      </c>
      <c r="AU204" s="169">
        <f t="shared" si="134"/>
        <v>58.379759138216507</v>
      </c>
      <c r="AV204" s="225"/>
      <c r="AX204">
        <f t="shared" si="135"/>
        <v>0</v>
      </c>
      <c r="AY204">
        <f t="shared" si="136"/>
        <v>0</v>
      </c>
    </row>
    <row r="205" spans="14:51" x14ac:dyDescent="0.25">
      <c r="N205" s="170">
        <v>87</v>
      </c>
      <c r="O205" s="199">
        <f t="shared" si="137"/>
        <v>741.31024130091828</v>
      </c>
      <c r="P205" s="189" t="str">
        <f t="shared" si="103"/>
        <v>18.0065359477124</v>
      </c>
      <c r="Q205" s="160" t="str">
        <f t="shared" si="104"/>
        <v>1+1.4612673305737i</v>
      </c>
      <c r="R205" s="160">
        <f t="shared" si="112"/>
        <v>1.77067846076073</v>
      </c>
      <c r="S205" s="160">
        <f t="shared" si="113"/>
        <v>0.9706596474997562</v>
      </c>
      <c r="T205" s="160" t="str">
        <f t="shared" si="105"/>
        <v>1+0.00186311584648147i</v>
      </c>
      <c r="U205" s="160">
        <f t="shared" si="114"/>
        <v>1.0000017355988224</v>
      </c>
      <c r="V205" s="160">
        <f t="shared" si="115"/>
        <v>1.8631136907363095E-3</v>
      </c>
      <c r="W205" s="98" t="str">
        <f t="shared" si="106"/>
        <v>1-0.0263210271940595i</v>
      </c>
      <c r="X205" s="160">
        <f t="shared" si="116"/>
        <v>1.0003463382611797</v>
      </c>
      <c r="Y205" s="160">
        <f t="shared" si="117"/>
        <v>-2.6314951347856511E-2</v>
      </c>
      <c r="Z205" s="98" t="str">
        <f t="shared" si="107"/>
        <v>0.999993351490373+0.00786748762917403i</v>
      </c>
      <c r="AA205" s="160">
        <f t="shared" si="118"/>
        <v>1.0000242998980295</v>
      </c>
      <c r="AB205" s="160">
        <f t="shared" si="119"/>
        <v>7.8673776138042315E-3</v>
      </c>
      <c r="AC205" s="171" t="str">
        <f t="shared" si="120"/>
        <v>5.47074448428587-8.57626437909708i</v>
      </c>
      <c r="AD205" s="190">
        <f t="shared" si="121"/>
        <v>20.148621106268859</v>
      </c>
      <c r="AE205" s="169">
        <f t="shared" si="122"/>
        <v>-57.466455777591008</v>
      </c>
      <c r="AF205" s="98" t="str">
        <f t="shared" si="108"/>
        <v>-0.0000816326530612245</v>
      </c>
      <c r="AG205" s="98" t="str">
        <f t="shared" si="109"/>
        <v>0.000109458055980787i</v>
      </c>
      <c r="AH205" s="98">
        <f t="shared" si="123"/>
        <v>1.09458055980787E-4</v>
      </c>
      <c r="AI205" s="98">
        <f t="shared" si="124"/>
        <v>1.5707963267948966</v>
      </c>
      <c r="AJ205" s="98" t="str">
        <f t="shared" si="110"/>
        <v>1+0.0333577018045565i</v>
      </c>
      <c r="AK205" s="98">
        <f t="shared" si="125"/>
        <v>1.0005562134481409</v>
      </c>
      <c r="AL205" s="98">
        <f t="shared" si="126"/>
        <v>3.334533728368741E-2</v>
      </c>
      <c r="AM205" s="98" t="str">
        <f t="shared" si="111"/>
        <v>1+0.522603994938053i</v>
      </c>
      <c r="AN205" s="98">
        <f t="shared" si="127"/>
        <v>1.1283239497259696</v>
      </c>
      <c r="AO205" s="98">
        <f t="shared" si="128"/>
        <v>0.48156685082909789</v>
      </c>
      <c r="AP205" s="168" t="str">
        <f t="shared" si="129"/>
        <v>-0.364469119793536+0.757947208053349i</v>
      </c>
      <c r="AQ205" s="98">
        <f t="shared" si="130"/>
        <v>-1.5038301212507639</v>
      </c>
      <c r="AR205" s="169">
        <f t="shared" si="131"/>
        <v>115.68120101311786</v>
      </c>
      <c r="AS205" s="168" t="str">
        <f t="shared" si="132"/>
        <v>4.50643821486101+7.2723190372039i</v>
      </c>
      <c r="AT205" s="190">
        <f t="shared" si="133"/>
        <v>18.644790985018094</v>
      </c>
      <c r="AU205" s="169">
        <f t="shared" si="134"/>
        <v>58.214745235526806</v>
      </c>
      <c r="AV205" s="225"/>
      <c r="AX205">
        <f t="shared" si="135"/>
        <v>0</v>
      </c>
      <c r="AY205">
        <f t="shared" si="136"/>
        <v>0</v>
      </c>
    </row>
    <row r="206" spans="14:51" x14ac:dyDescent="0.25">
      <c r="N206" s="170">
        <v>88</v>
      </c>
      <c r="O206" s="199">
        <f t="shared" si="137"/>
        <v>758.57757502918378</v>
      </c>
      <c r="P206" s="189" t="str">
        <f t="shared" si="103"/>
        <v>18.0065359477124</v>
      </c>
      <c r="Q206" s="160" t="str">
        <f t="shared" si="104"/>
        <v>1+1.49530461922488i</v>
      </c>
      <c r="R206" s="160">
        <f t="shared" si="112"/>
        <v>1.7988707302847704</v>
      </c>
      <c r="S206" s="160">
        <f t="shared" si="113"/>
        <v>0.98134585403502106</v>
      </c>
      <c r="T206" s="160" t="str">
        <f t="shared" si="105"/>
        <v>1+0.00190651338951172i</v>
      </c>
      <c r="U206" s="160">
        <f t="shared" si="114"/>
        <v>1.0000018173950007</v>
      </c>
      <c r="V206" s="160">
        <f t="shared" si="115"/>
        <v>1.90651107958939E-3</v>
      </c>
      <c r="W206" s="98" t="str">
        <f t="shared" si="106"/>
        <v>1-0.0269341226773123i</v>
      </c>
      <c r="X206" s="160">
        <f t="shared" si="116"/>
        <v>1.0003626577218867</v>
      </c>
      <c r="Y206" s="160">
        <f t="shared" si="117"/>
        <v>-2.6927612418274398E-2</v>
      </c>
      <c r="Z206" s="98" t="str">
        <f t="shared" si="107"/>
        <v>0.999993038155768+0.00805074495778931i</v>
      </c>
      <c r="AA206" s="160">
        <f t="shared" si="118"/>
        <v>1.0000254451034627</v>
      </c>
      <c r="AB206" s="160">
        <f t="shared" si="119"/>
        <v>8.0506270743551812E-3</v>
      </c>
      <c r="AC206" s="171" t="str">
        <f t="shared" si="120"/>
        <v>5.2881722981897-8.5030290355481i</v>
      </c>
      <c r="AD206" s="190">
        <f t="shared" si="121"/>
        <v>20.011548548957052</v>
      </c>
      <c r="AE206" s="169">
        <f t="shared" si="122"/>
        <v>-58.121846138138125</v>
      </c>
      <c r="AF206" s="98" t="str">
        <f t="shared" si="108"/>
        <v>-0.0000816326530612245</v>
      </c>
      <c r="AG206" s="98" t="str">
        <f t="shared" si="109"/>
        <v>0.000112007661633813i</v>
      </c>
      <c r="AH206" s="98">
        <f t="shared" si="123"/>
        <v>1.12007661633813E-4</v>
      </c>
      <c r="AI206" s="98">
        <f t="shared" si="124"/>
        <v>1.5707963267948966</v>
      </c>
      <c r="AJ206" s="98" t="str">
        <f t="shared" si="110"/>
        <v>1+0.0341347024951937i</v>
      </c>
      <c r="AK206" s="98">
        <f t="shared" si="125"/>
        <v>1.0005824193510675</v>
      </c>
      <c r="AL206" s="98">
        <f t="shared" si="126"/>
        <v>3.4121454088856945E-2</v>
      </c>
      <c r="AM206" s="98" t="str">
        <f t="shared" si="111"/>
        <v>1+0.534777005758036i</v>
      </c>
      <c r="AN206" s="98">
        <f t="shared" si="127"/>
        <v>1.1340134240332125</v>
      </c>
      <c r="AO206" s="98">
        <f t="shared" si="128"/>
        <v>0.49108061884526094</v>
      </c>
      <c r="AP206" s="168" t="str">
        <f t="shared" si="129"/>
        <v>-0.364450028677981+0.741253510821145i</v>
      </c>
      <c r="AQ206" s="98">
        <f t="shared" si="130"/>
        <v>-1.6603698320974076</v>
      </c>
      <c r="AR206" s="169">
        <f t="shared" si="131"/>
        <v>116.18183155036513</v>
      </c>
      <c r="AS206" s="168" t="str">
        <f t="shared" si="132"/>
        <v>4.37562557948482+7.01880545771545i</v>
      </c>
      <c r="AT206" s="190">
        <f t="shared" si="133"/>
        <v>18.351178716859643</v>
      </c>
      <c r="AU206" s="169">
        <f t="shared" si="134"/>
        <v>58.059985412227043</v>
      </c>
      <c r="AV206" s="225"/>
      <c r="AX206">
        <f t="shared" si="135"/>
        <v>0</v>
      </c>
      <c r="AY206">
        <f t="shared" si="136"/>
        <v>0</v>
      </c>
    </row>
    <row r="207" spans="14:51" x14ac:dyDescent="0.25">
      <c r="N207" s="170">
        <v>89</v>
      </c>
      <c r="O207" s="199">
        <f t="shared" si="137"/>
        <v>776.24711662869231</v>
      </c>
      <c r="P207" s="189" t="str">
        <f t="shared" si="103"/>
        <v>18.0065359477124</v>
      </c>
      <c r="Q207" s="160" t="str">
        <f t="shared" si="104"/>
        <v>1+1.53013473817786i</v>
      </c>
      <c r="R207" s="160">
        <f t="shared" si="112"/>
        <v>1.827925686940973</v>
      </c>
      <c r="S207" s="160">
        <f t="shared" si="113"/>
        <v>0.99193850319293675</v>
      </c>
      <c r="T207" s="160" t="str">
        <f t="shared" si="105"/>
        <v>1+0.00195092179117677i</v>
      </c>
      <c r="U207" s="160">
        <f t="shared" si="114"/>
        <v>1.0000019030461069</v>
      </c>
      <c r="V207" s="160">
        <f t="shared" si="115"/>
        <v>1.9509193160506541E-3</v>
      </c>
      <c r="W207" s="98" t="str">
        <f t="shared" si="106"/>
        <v>1-0.0275614989889238i</v>
      </c>
      <c r="X207" s="160">
        <f t="shared" si="116"/>
        <v>1.0003797460097423</v>
      </c>
      <c r="Y207" s="160">
        <f t="shared" si="117"/>
        <v>-2.7554523263693013E-2</v>
      </c>
      <c r="Z207" s="98" t="str">
        <f t="shared" si="107"/>
        <v>0.999992710054157+0.00823827089794542i</v>
      </c>
      <c r="AA207" s="160">
        <f t="shared" si="118"/>
        <v>1.0000266442794636</v>
      </c>
      <c r="AB207" s="160">
        <f t="shared" si="119"/>
        <v>8.2381445837478133E-3</v>
      </c>
      <c r="AC207" s="171" t="str">
        <f t="shared" si="120"/>
        <v>5.10878287640834-8.42659878529486i</v>
      </c>
      <c r="AD207" s="190">
        <f t="shared" si="121"/>
        <v>19.872515640378545</v>
      </c>
      <c r="AE207" s="169">
        <f t="shared" si="122"/>
        <v>-58.772879131671118</v>
      </c>
      <c r="AF207" s="98" t="str">
        <f t="shared" si="108"/>
        <v>-0.0000816326530612245</v>
      </c>
      <c r="AG207" s="98" t="str">
        <f t="shared" si="109"/>
        <v>0.000114616655231635i</v>
      </c>
      <c r="AH207" s="98">
        <f t="shared" si="123"/>
        <v>1.14616655231635E-4</v>
      </c>
      <c r="AI207" s="98">
        <f t="shared" si="124"/>
        <v>1.5707963267948966</v>
      </c>
      <c r="AJ207" s="98" t="str">
        <f t="shared" si="110"/>
        <v>1+0.0349298018569201i</v>
      </c>
      <c r="AK207" s="98">
        <f t="shared" si="125"/>
        <v>1.0006098595645376</v>
      </c>
      <c r="AL207" s="98">
        <f t="shared" si="126"/>
        <v>3.491560640102289E-2</v>
      </c>
      <c r="AM207" s="98" t="str">
        <f t="shared" si="111"/>
        <v>1+0.547233562425083i</v>
      </c>
      <c r="AN207" s="98">
        <f t="shared" si="127"/>
        <v>1.1399406001386421</v>
      </c>
      <c r="AO207" s="98">
        <f t="shared" si="128"/>
        <v>0.50071678570889144</v>
      </c>
      <c r="AP207" s="168" t="str">
        <f t="shared" si="129"/>
        <v>-0.364430039969365+0.724952774646129i</v>
      </c>
      <c r="AQ207" s="98">
        <f t="shared" si="130"/>
        <v>-1.8153275094418202</v>
      </c>
      <c r="AR207" s="169">
        <f t="shared" si="131"/>
        <v>116.68844166655738</v>
      </c>
      <c r="AS207" s="168" t="str">
        <f t="shared" si="132"/>
        <v>4.24709222238491+6.77453205344767i</v>
      </c>
      <c r="AT207" s="190">
        <f t="shared" si="133"/>
        <v>18.05718813093673</v>
      </c>
      <c r="AU207" s="169">
        <f t="shared" si="134"/>
        <v>57.915562534886277</v>
      </c>
      <c r="AV207" s="225"/>
      <c r="AX207">
        <f t="shared" si="135"/>
        <v>0</v>
      </c>
      <c r="AY207">
        <f t="shared" si="136"/>
        <v>0</v>
      </c>
    </row>
    <row r="208" spans="14:51" x14ac:dyDescent="0.25">
      <c r="N208" s="170">
        <v>90</v>
      </c>
      <c r="O208" s="199">
        <f t="shared" si="137"/>
        <v>794.32823472428208</v>
      </c>
      <c r="P208" s="189" t="str">
        <f t="shared" si="103"/>
        <v>18.0065359477124</v>
      </c>
      <c r="Q208" s="160" t="str">
        <f t="shared" si="104"/>
        <v>1+1.56577615482275i</v>
      </c>
      <c r="R208" s="160">
        <f t="shared" si="112"/>
        <v>1.857863010830324</v>
      </c>
      <c r="S208" s="160">
        <f t="shared" si="113"/>
        <v>1.0024337028904813</v>
      </c>
      <c r="T208" s="160" t="str">
        <f t="shared" si="105"/>
        <v>1+0.001996364597399i</v>
      </c>
      <c r="U208" s="160">
        <f t="shared" si="114"/>
        <v>1.0000019927338175</v>
      </c>
      <c r="V208" s="160">
        <f t="shared" si="115"/>
        <v>1.9963619452538694E-3</v>
      </c>
      <c r="W208" s="98" t="str">
        <f t="shared" si="106"/>
        <v>1-0.0282034887721188i</v>
      </c>
      <c r="X208" s="160">
        <f t="shared" si="116"/>
        <v>1.0003976393309408</v>
      </c>
      <c r="Y208" s="160">
        <f t="shared" si="117"/>
        <v>-2.8196014308318296E-2</v>
      </c>
      <c r="Z208" s="98" t="str">
        <f t="shared" si="107"/>
        <v>0.999992366489594+0.00843016487837803i</v>
      </c>
      <c r="AA208" s="160">
        <f t="shared" si="118"/>
        <v>1.0000278999694634</v>
      </c>
      <c r="AB208" s="160">
        <f t="shared" si="119"/>
        <v>8.43002953047629E-3</v>
      </c>
      <c r="AC208" s="171" t="str">
        <f t="shared" si="120"/>
        <v>4.9326788719983-8.34713869118813i</v>
      </c>
      <c r="AD208" s="190">
        <f t="shared" si="121"/>
        <v>19.731557823839395</v>
      </c>
      <c r="AE208" s="169">
        <f t="shared" si="122"/>
        <v>-59.419355035676247</v>
      </c>
      <c r="AF208" s="98" t="str">
        <f t="shared" si="108"/>
        <v>-0.0000816326530612245</v>
      </c>
      <c r="AG208" s="98" t="str">
        <f t="shared" si="109"/>
        <v>0.000117286420097191i</v>
      </c>
      <c r="AH208" s="98">
        <f t="shared" si="123"/>
        <v>1.17286420097191E-4</v>
      </c>
      <c r="AI208" s="98">
        <f t="shared" si="124"/>
        <v>1.5707963267948966</v>
      </c>
      <c r="AJ208" s="98" t="str">
        <f t="shared" si="110"/>
        <v>1+0.0357434214619416i</v>
      </c>
      <c r="AK208" s="98">
        <f t="shared" si="125"/>
        <v>1.0006385921889112</v>
      </c>
      <c r="AL208" s="98">
        <f t="shared" si="126"/>
        <v>3.5728211281129192E-2</v>
      </c>
      <c r="AM208" s="98" t="str">
        <f t="shared" si="111"/>
        <v>1+0.559980269570421i</v>
      </c>
      <c r="AN208" s="98">
        <f t="shared" si="127"/>
        <v>1.1461142623264757</v>
      </c>
      <c r="AO208" s="98">
        <f t="shared" si="128"/>
        <v>0.510473301670478</v>
      </c>
      <c r="AP208" s="168" t="str">
        <f t="shared" si="129"/>
        <v>-0.364409111571848+0.709036352284207i</v>
      </c>
      <c r="AQ208" s="98">
        <f t="shared" si="130"/>
        <v>-1.9686630184976655</v>
      </c>
      <c r="AR208" s="169">
        <f t="shared" si="131"/>
        <v>117.20089002386646</v>
      </c>
      <c r="AS208" s="168" t="str">
        <f t="shared" si="132"/>
        <v>4.12091164419628+6.53922202901392i</v>
      </c>
      <c r="AT208" s="190">
        <f t="shared" si="133"/>
        <v>17.762894805341737</v>
      </c>
      <c r="AU208" s="169">
        <f t="shared" si="134"/>
        <v>57.781534988190224</v>
      </c>
      <c r="AV208" s="225"/>
      <c r="AX208">
        <f t="shared" si="135"/>
        <v>0</v>
      </c>
      <c r="AY208">
        <f t="shared" si="136"/>
        <v>0</v>
      </c>
    </row>
    <row r="209" spans="14:51" x14ac:dyDescent="0.25">
      <c r="N209" s="170">
        <v>91</v>
      </c>
      <c r="O209" s="199">
        <f t="shared" si="137"/>
        <v>812.83051616409978</v>
      </c>
      <c r="P209" s="189" t="str">
        <f t="shared" si="103"/>
        <v>18.0065359477124</v>
      </c>
      <c r="Q209" s="160" t="str">
        <f t="shared" si="104"/>
        <v>1+1.60224776671042i</v>
      </c>
      <c r="R209" s="160">
        <f t="shared" si="112"/>
        <v>1.8887027044848876</v>
      </c>
      <c r="S209" s="160">
        <f t="shared" si="113"/>
        <v>1.0128277692990693</v>
      </c>
      <c r="T209" s="160" t="str">
        <f t="shared" si="105"/>
        <v>1+0.00204286590255579i</v>
      </c>
      <c r="U209" s="160">
        <f t="shared" si="114"/>
        <v>1.0000020866483708</v>
      </c>
      <c r="V209" s="160">
        <f t="shared" si="115"/>
        <v>2.0428630607314028E-3</v>
      </c>
      <c r="W209" s="98" t="str">
        <f t="shared" si="106"/>
        <v>1-0.0288604324183781i</v>
      </c>
      <c r="X209" s="160">
        <f t="shared" si="116"/>
        <v>1.0004163755953697</v>
      </c>
      <c r="Y209" s="160">
        <f t="shared" si="117"/>
        <v>-2.8852423566140605E-2</v>
      </c>
      <c r="Z209" s="98" t="str">
        <f t="shared" si="107"/>
        <v>0.999992006733332+0.00862652864381557i</v>
      </c>
      <c r="AA209" s="160">
        <f t="shared" si="118"/>
        <v>1.000029214836746</v>
      </c>
      <c r="AB209" s="160">
        <f t="shared" si="119"/>
        <v>8.6263836161497975E-3</v>
      </c>
      <c r="AC209" s="171" t="str">
        <f t="shared" si="120"/>
        <v>4.75995237913545-8.26481645106285i</v>
      </c>
      <c r="AD209" s="190">
        <f t="shared" si="121"/>
        <v>19.588711614435507</v>
      </c>
      <c r="AE209" s="169">
        <f t="shared" si="122"/>
        <v>-60.061086595713256</v>
      </c>
      <c r="AF209" s="98" t="str">
        <f t="shared" si="108"/>
        <v>-0.0000816326530612245</v>
      </c>
      <c r="AG209" s="98" t="str">
        <f t="shared" si="109"/>
        <v>0.000120018371775153i</v>
      </c>
      <c r="AH209" s="98">
        <f t="shared" si="123"/>
        <v>1.20018371775153E-4</v>
      </c>
      <c r="AI209" s="98">
        <f t="shared" si="124"/>
        <v>1.5707963267948966</v>
      </c>
      <c r="AJ209" s="98" t="str">
        <f t="shared" si="110"/>
        <v>1+0.0365759927021423i</v>
      </c>
      <c r="AK209" s="98">
        <f t="shared" si="125"/>
        <v>1.0006686780559024</v>
      </c>
      <c r="AL209" s="98">
        <f t="shared" si="126"/>
        <v>3.6559695287909852E-2</v>
      </c>
      <c r="AM209" s="98" t="str">
        <f t="shared" si="111"/>
        <v>1+0.573023885666899i</v>
      </c>
      <c r="AN209" s="98">
        <f t="shared" si="127"/>
        <v>1.152543436728001</v>
      </c>
      <c r="AO209" s="98">
        <f t="shared" si="128"/>
        <v>0.5203479092819604</v>
      </c>
      <c r="AP209" s="168" t="str">
        <f t="shared" si="129"/>
        <v>-0.364387199425523+0.693495799947741i</v>
      </c>
      <c r="AQ209" s="98">
        <f t="shared" si="130"/>
        <v>-2.1203364706765</v>
      </c>
      <c r="AR209" s="169">
        <f t="shared" si="131"/>
        <v>117.71902284003102</v>
      </c>
      <c r="AS209" s="168" t="str">
        <f t="shared" si="132"/>
        <v>3.99714977931906+6.31260030325047i</v>
      </c>
      <c r="AT209" s="190">
        <f t="shared" si="133"/>
        <v>17.468375143759001</v>
      </c>
      <c r="AU209" s="169">
        <f t="shared" si="134"/>
        <v>57.65793624431776</v>
      </c>
      <c r="AV209" s="225"/>
      <c r="AX209">
        <f t="shared" si="135"/>
        <v>0</v>
      </c>
      <c r="AY209">
        <f t="shared" si="136"/>
        <v>0</v>
      </c>
    </row>
    <row r="210" spans="14:51" x14ac:dyDescent="0.25">
      <c r="N210" s="170">
        <v>92</v>
      </c>
      <c r="O210" s="199">
        <f t="shared" si="137"/>
        <v>831.7637711026714</v>
      </c>
      <c r="P210" s="189" t="str">
        <f t="shared" si="103"/>
        <v>18.0065359477124</v>
      </c>
      <c r="Q210" s="160" t="str">
        <f t="shared" si="104"/>
        <v>1+1.63956891157226i</v>
      </c>
      <c r="R210" s="160">
        <f t="shared" si="112"/>
        <v>1.9204651040292937</v>
      </c>
      <c r="S210" s="160">
        <f t="shared" si="113"/>
        <v>1.0231172296653694</v>
      </c>
      <c r="T210" s="160" t="str">
        <f t="shared" si="105"/>
        <v>1+0.00209045036225464i</v>
      </c>
      <c r="U210" s="160">
        <f t="shared" si="114"/>
        <v>1.0000021849889715</v>
      </c>
      <c r="V210" s="160">
        <f t="shared" si="115"/>
        <v>2.0904473171853063E-3</v>
      </c>
      <c r="W210" s="98" t="str">
        <f t="shared" si="106"/>
        <v>1-0.0295326782479186i</v>
      </c>
      <c r="X210" s="160">
        <f t="shared" si="116"/>
        <v>1.000435994496647</v>
      </c>
      <c r="Y210" s="160">
        <f t="shared" si="117"/>
        <v>-2.9524096810109198E-2</v>
      </c>
      <c r="Z210" s="98" t="str">
        <f t="shared" si="107"/>
        <v>0.99999163002228+0.00882746630892567i</v>
      </c>
      <c r="AA210" s="160">
        <f t="shared" si="118"/>
        <v>1.0000305916701007</v>
      </c>
      <c r="AB210" s="160">
        <f t="shared" si="119"/>
        <v>8.8273109092331797E-3</v>
      </c>
      <c r="AC210" s="171" t="str">
        <f t="shared" si="120"/>
        <v>4.59068497441941-8.17980163959588i</v>
      </c>
      <c r="AD210" s="190">
        <f t="shared" si="121"/>
        <v>19.444014485136695</v>
      </c>
      <c r="AE210" s="169">
        <f t="shared" si="122"/>
        <v>-60.697899199077284</v>
      </c>
      <c r="AF210" s="98" t="str">
        <f t="shared" si="108"/>
        <v>-0.0000816326530612245</v>
      </c>
      <c r="AG210" s="98" t="str">
        <f t="shared" si="109"/>
        <v>0.00012281395878246i</v>
      </c>
      <c r="AH210" s="98">
        <f t="shared" si="123"/>
        <v>1.2281395878245999E-4</v>
      </c>
      <c r="AI210" s="98">
        <f t="shared" si="124"/>
        <v>1.5707963267948966</v>
      </c>
      <c r="AJ210" s="98" t="str">
        <f t="shared" si="110"/>
        <v>1+0.0374279570178143i</v>
      </c>
      <c r="AK210" s="98">
        <f t="shared" si="125"/>
        <v>1.0007001808566476</v>
      </c>
      <c r="AL210" s="98">
        <f t="shared" si="126"/>
        <v>3.7410494683689413E-2</v>
      </c>
      <c r="AM210" s="98" t="str">
        <f t="shared" si="111"/>
        <v>1+0.586371326612425i</v>
      </c>
      <c r="AN210" s="98">
        <f t="shared" si="127"/>
        <v>1.1592373927169599</v>
      </c>
      <c r="AO210" s="98">
        <f t="shared" si="128"/>
        <v>0.53033814070647312</v>
      </c>
      <c r="AP210" s="168" t="str">
        <f t="shared" si="129"/>
        <v>-0.364364257415778+0.678322872806441i</v>
      </c>
      <c r="AQ210" s="98">
        <f t="shared" si="130"/>
        <v>-2.2703083236042847</v>
      </c>
      <c r="AR210" s="169">
        <f t="shared" si="131"/>
        <v>118.2426737224241</v>
      </c>
      <c r="AS210" s="168" t="str">
        <f t="shared" si="132"/>
        <v>3.87586502542342+6.09439397021725i</v>
      </c>
      <c r="AT210" s="190">
        <f t="shared" si="133"/>
        <v>17.173706161532408</v>
      </c>
      <c r="AU210" s="169">
        <f t="shared" si="134"/>
        <v>57.544774523346796</v>
      </c>
      <c r="AV210" s="225"/>
      <c r="AX210">
        <f t="shared" si="135"/>
        <v>0</v>
      </c>
      <c r="AY210">
        <f t="shared" si="136"/>
        <v>0</v>
      </c>
    </row>
    <row r="211" spans="14:51" x14ac:dyDescent="0.25">
      <c r="N211" s="170">
        <v>93</v>
      </c>
      <c r="O211" s="199">
        <f t="shared" si="137"/>
        <v>851.13803820237763</v>
      </c>
      <c r="P211" s="189" t="str">
        <f t="shared" ref="P211:P274" si="138">COMPLEX(Adc,0)</f>
        <v>18.0065359477124</v>
      </c>
      <c r="Q211" s="160" t="str">
        <f t="shared" ref="Q211:Q274" si="139">IMSUM(COMPLEX(1,0),IMDIV(COMPLEX(0,2*PI()*O211),COMPLEX(wp_lf,0)))</f>
        <v>1+1.67775937757328i</v>
      </c>
      <c r="R211" s="160">
        <f t="shared" si="112"/>
        <v>1.953170890893851</v>
      </c>
      <c r="S211" s="160">
        <f t="shared" si="113"/>
        <v>1.0332988241977361</v>
      </c>
      <c r="T211" s="160" t="str">
        <f t="shared" ref="T211:T274" si="140">IMSUM(COMPLEX(1,0),IMDIV(COMPLEX(0,2*PI()*O211),COMPLEX(wz_esr,0)))</f>
        <v>1+0.00213914320640594i</v>
      </c>
      <c r="U211" s="160">
        <f t="shared" si="114"/>
        <v>1.0000022879642114</v>
      </c>
      <c r="V211" s="160">
        <f t="shared" si="115"/>
        <v>2.1391399435557665E-3</v>
      </c>
      <c r="W211" s="98" t="str">
        <f t="shared" ref="W211:W274" si="141">IMSUB(COMPLEX(1,0),IMDIV(COMPLEX(0,2*PI()*O211),COMPLEX(wz_rhp,0)))</f>
        <v>1-0.0302205826943774i</v>
      </c>
      <c r="X211" s="160">
        <f t="shared" si="116"/>
        <v>1.0004565375959056</v>
      </c>
      <c r="Y211" s="160">
        <f t="shared" si="117"/>
        <v>-3.0211387744705585E-2</v>
      </c>
      <c r="Z211" s="98" t="str">
        <f t="shared" ref="Z211:Z274" si="142">IF(Dc_Mode_Loop="CCM",IMSUM(COMPLEX(1,0),IMDIV(COMPLEX(0,2*PI()*O211),COMPLEX(Q*(wsl/2),0)),IMDIV(IMPOWER(COMPLEX(0,2*PI()*O211),2),IMPOWER(COMPLEX(wsl/2,0),2))),COMPLEX(1,0))</f>
        <v>0.999991235557383+0.0090330844135181i</v>
      </c>
      <c r="AA211" s="160">
        <f t="shared" si="118"/>
        <v>1.0000320333897328</v>
      </c>
      <c r="AB211" s="160">
        <f t="shared" si="119"/>
        <v>9.0329179000293927E-3</v>
      </c>
      <c r="AC211" s="171" t="str">
        <f t="shared" si="120"/>
        <v>4.42494781729507-8.09226497339172i</v>
      </c>
      <c r="AD211" s="190">
        <f t="shared" si="121"/>
        <v>19.297504753673952</v>
      </c>
      <c r="AE211" s="169">
        <f t="shared" si="122"/>
        <v>-61.329630995171875</v>
      </c>
      <c r="AF211" s="98" t="str">
        <f t="shared" ref="AF211:AF274" si="143">COMPLEX(Adc_ea,0)</f>
        <v>-0.0000816326530612245</v>
      </c>
      <c r="AG211" s="98" t="str">
        <f t="shared" ref="AG211:AG274" si="144">COMPLEX(0,2*PI()*O211*wp0_ea)</f>
        <v>0.000125674663376349i</v>
      </c>
      <c r="AH211" s="98">
        <f t="shared" si="123"/>
        <v>1.2567466337634899E-4</v>
      </c>
      <c r="AI211" s="98">
        <f t="shared" si="124"/>
        <v>1.5707963267948966</v>
      </c>
      <c r="AJ211" s="98" t="str">
        <f t="shared" ref="AJ211:AJ274" si="145">IMSUM(COMPLEX(1,0),IMDIV(COMPLEX(0,2*PI()*O211),COMPLEX(wp1_ea,0)))</f>
        <v>1+0.0382997661317147i</v>
      </c>
      <c r="AK211" s="98">
        <f t="shared" si="125"/>
        <v>1.0007331672757449</v>
      </c>
      <c r="AL211" s="98">
        <f t="shared" si="126"/>
        <v>3.8281055643881783E-2</v>
      </c>
      <c r="AM211" s="98" t="str">
        <f t="shared" ref="AM211:AM274" si="146">IMSUM(COMPLEX(1,0),IMDIV(COMPLEX(0,2*PI()*O211),COMPLEX(wz_ea,0)))</f>
        <v>1+0.600029669396865i</v>
      </c>
      <c r="AN211" s="98">
        <f t="shared" si="127"/>
        <v>1.1662056440253199</v>
      </c>
      <c r="AO211" s="98">
        <f t="shared" si="128"/>
        <v>0.54044131571801768</v>
      </c>
      <c r="AP211" s="168" t="str">
        <f t="shared" si="129"/>
        <v>-0.364340237278534+0.663509520592107i</v>
      </c>
      <c r="AQ211" s="98">
        <f t="shared" si="130"/>
        <v>-2.4185394848558275</v>
      </c>
      <c r="AR211" s="169">
        <f t="shared" si="131"/>
        <v>118.77166354143979</v>
      </c>
      <c r="AS211" s="168" t="str">
        <f t="shared" si="132"/>
        <v>3.75710831530102+5.88433274542485i</v>
      </c>
      <c r="AT211" s="190">
        <f t="shared" si="133"/>
        <v>16.878965268818121</v>
      </c>
      <c r="AU211" s="169">
        <f t="shared" si="134"/>
        <v>57.442032546267924</v>
      </c>
      <c r="AV211" s="225"/>
      <c r="AX211">
        <f t="shared" si="135"/>
        <v>0</v>
      </c>
      <c r="AY211">
        <f t="shared" si="136"/>
        <v>0</v>
      </c>
    </row>
    <row r="212" spans="14:51" x14ac:dyDescent="0.25">
      <c r="N212" s="170">
        <v>94</v>
      </c>
      <c r="O212" s="199">
        <f t="shared" si="137"/>
        <v>870.96358995608091</v>
      </c>
      <c r="P212" s="189" t="str">
        <f t="shared" si="138"/>
        <v>18.0065359477124</v>
      </c>
      <c r="Q212" s="160" t="str">
        <f t="shared" si="139"/>
        <v>1+1.71683941380406i</v>
      </c>
      <c r="R212" s="160">
        <f t="shared" ref="R212:R275" si="147">IMABS(Q212)</f>
        <v>1.9868411040621914</v>
      </c>
      <c r="S212" s="160">
        <f t="shared" ref="S212:S275" si="148">IMARGUMENT(Q212)</f>
        <v>1.0433695070503204</v>
      </c>
      <c r="T212" s="160" t="str">
        <f t="shared" si="140"/>
        <v>1+0.00218897025260017i</v>
      </c>
      <c r="U212" s="160">
        <f t="shared" ref="U212:U275" si="149">IMABS(T212)</f>
        <v>1.0000023957925135</v>
      </c>
      <c r="V212" s="160">
        <f t="shared" ref="V212:V275" si="150">IMARGUMENT(T212)</f>
        <v>2.1889667563936713E-3</v>
      </c>
      <c r="W212" s="98" t="str">
        <f t="shared" si="141"/>
        <v>1-0.0309245104937974i</v>
      </c>
      <c r="X212" s="160">
        <f t="shared" ref="X212:X275" si="151">IMABS(W212)</f>
        <v>1.0004780484094995</v>
      </c>
      <c r="Y212" s="160">
        <f t="shared" ref="Y212:Y275" si="152">IMARGUMENT(W212)</f>
        <v>-3.0914658181956069E-2</v>
      </c>
      <c r="Z212" s="98" t="str">
        <f t="shared" si="142"/>
        <v>0.999990822501928+0.00924349197903356i</v>
      </c>
      <c r="AA212" s="160">
        <f t="shared" ref="AA212:AA275" si="153">IMABS(Z212)</f>
        <v>1.0000335430534562</v>
      </c>
      <c r="AB212" s="160">
        <f t="shared" ref="AB212:AB275" si="154">IMARGUMENT(Z212)</f>
        <v>9.2433135569320417E-3</v>
      </c>
      <c r="AC212" s="171" t="str">
        <f t="shared" ref="AC212:AC275" si="155">(IMDIV(IMPRODUCT(P212,T212,W212),IMPRODUCT(Q212,Z212)))</f>
        <v>4.26280180559771-8.00237760398531i</v>
      </c>
      <c r="AD212" s="190">
        <f t="shared" ref="AD212:AD275" si="156">20*LOG(IMABS(AC212))</f>
        <v>19.14922147085263</v>
      </c>
      <c r="AE212" s="169">
        <f t="shared" ref="AE212:AE275" si="157">(180/PI())*IMARGUMENT(AC212)</f>
        <v>-61.956132964436634</v>
      </c>
      <c r="AF212" s="98" t="str">
        <f t="shared" si="143"/>
        <v>-0.0000816326530612245</v>
      </c>
      <c r="AG212" s="98" t="str">
        <f t="shared" si="144"/>
        <v>0.00012860200234026i</v>
      </c>
      <c r="AH212" s="98">
        <f t="shared" ref="AH212:AH275" si="158">IMABS(AG212)</f>
        <v>1.2860200234026E-4</v>
      </c>
      <c r="AI212" s="98">
        <f t="shared" ref="AI212:AI275" si="159">IMARGUMENT(AG212)</f>
        <v>1.5707963267948966</v>
      </c>
      <c r="AJ212" s="98" t="str">
        <f t="shared" si="145"/>
        <v>1+0.0391918822885753i</v>
      </c>
      <c r="AK212" s="98">
        <f t="shared" ref="AK212:AK275" si="160">IMABS(AJ212)</f>
        <v>1.0007677071315408</v>
      </c>
      <c r="AL212" s="98">
        <f t="shared" ref="AL212:AL275" si="161">IMARGUMENT(AJ212)</f>
        <v>3.9171834470198078E-2</v>
      </c>
      <c r="AM212" s="98" t="str">
        <f t="shared" si="146"/>
        <v>1+0.614006155854348i</v>
      </c>
      <c r="AN212" s="98">
        <f t="shared" ref="AN212:AN275" si="162">IMABS(AM212)</f>
        <v>1.173457949577672</v>
      </c>
      <c r="AO212" s="98">
        <f t="shared" ref="AO212:AO275" si="163">IMARGUMENT(AM212)</f>
        <v>0.55065454044244477</v>
      </c>
      <c r="AP212" s="168" t="str">
        <f t="shared" ref="AP212:AP275" si="164">IMPRODUCT(AF212,IMDIV(AM212,IMPRODUCT(AG212,AJ212)))</f>
        <v>-0.364315088501243+0.649047883304927i</v>
      </c>
      <c r="AQ212" s="98">
        <f t="shared" ref="AQ212:AQ275" si="165">20*LOG(IMABS(AP212))</f>
        <v>-2.5649914190214029</v>
      </c>
      <c r="AR212" s="169">
        <f t="shared" ref="AR212:AR275" si="166">(180/PI())*IMARGUMENT(AP212)</f>
        <v>119.30580034614057</v>
      </c>
      <c r="AS212" s="168" t="str">
        <f t="shared" ref="AS212:AS275" si="167">IMPRODUCT(AC212,AP212)</f>
        <v>3.64092322820383+5.68214939388789i</v>
      </c>
      <c r="AT212" s="190">
        <f t="shared" ref="AT212:AT275" si="168">20*LOG(IMABS(AS212))</f>
        <v>16.584230051831227</v>
      </c>
      <c r="AU212" s="169">
        <f t="shared" ref="AU212:AU275" si="169">(180/PI())*IMARGUMENT(AS212)</f>
        <v>57.349667381703981</v>
      </c>
      <c r="AV212" s="225"/>
      <c r="AX212">
        <f t="shared" ref="AX212:AX275" si="170">SUM((AT213&lt;0)*(AT212&gt;0))*O212</f>
        <v>0</v>
      </c>
      <c r="AY212">
        <f t="shared" ref="AY212:AY275" si="171">IF(AX212&gt;0,AU212,0)</f>
        <v>0</v>
      </c>
    </row>
    <row r="213" spans="14:51" x14ac:dyDescent="0.25">
      <c r="N213" s="170">
        <v>95</v>
      </c>
      <c r="O213" s="199">
        <f t="shared" si="137"/>
        <v>891.25093813374656</v>
      </c>
      <c r="P213" s="189" t="str">
        <f t="shared" si="138"/>
        <v>18.0065359477124</v>
      </c>
      <c r="Q213" s="160" t="str">
        <f t="shared" si="139"/>
        <v>1+1.75682974101709i</v>
      </c>
      <c r="R213" s="160">
        <f t="shared" si="147"/>
        <v>2.0214971528355354</v>
      </c>
      <c r="S213" s="160">
        <f t="shared" si="148"/>
        <v>1.0533264464424115</v>
      </c>
      <c r="T213" s="160" t="str">
        <f t="shared" si="140"/>
        <v>1+0.00223995791979679i</v>
      </c>
      <c r="U213" s="160">
        <f t="shared" si="149"/>
        <v>1.0000025087025946</v>
      </c>
      <c r="V213" s="160">
        <f t="shared" si="150"/>
        <v>2.2399541735445387E-3</v>
      </c>
      <c r="W213" s="98" t="str">
        <f t="shared" si="141"/>
        <v>1-0.0316448348780155i</v>
      </c>
      <c r="X213" s="160">
        <f t="shared" si="151"/>
        <v>1.000500572500814</v>
      </c>
      <c r="Y213" s="160">
        <f t="shared" si="152"/>
        <v>-3.1634278220923358E-2</v>
      </c>
      <c r="Z213" s="98" t="str">
        <f t="shared" si="142"/>
        <v>0.999990389979769+0.00945880056634842i</v>
      </c>
      <c r="AA213" s="160">
        <f t="shared" si="153"/>
        <v>1.0000351238631795</v>
      </c>
      <c r="AB213" s="160">
        <f t="shared" si="154"/>
        <v>9.4586093839769594E-3</v>
      </c>
      <c r="AC213" s="171" t="str">
        <f t="shared" si="155"/>
        <v>4.10429778189012-7.91031044285984i</v>
      </c>
      <c r="AD213" s="190">
        <f t="shared" si="156"/>
        <v>18.999204310868141</v>
      </c>
      <c r="AE213" s="169">
        <f t="shared" si="157"/>
        <v>-62.577268937982289</v>
      </c>
      <c r="AF213" s="98" t="str">
        <f t="shared" si="143"/>
        <v>-0.0000816326530612245</v>
      </c>
      <c r="AG213" s="98" t="str">
        <f t="shared" si="144"/>
        <v>0.000131597527788062i</v>
      </c>
      <c r="AH213" s="98">
        <f t="shared" si="158"/>
        <v>1.3159752778806199E-4</v>
      </c>
      <c r="AI213" s="98">
        <f t="shared" si="159"/>
        <v>1.5707963267948966</v>
      </c>
      <c r="AJ213" s="98" t="str">
        <f t="shared" si="145"/>
        <v>1+0.0401047785001914i</v>
      </c>
      <c r="AK213" s="98">
        <f t="shared" si="160"/>
        <v>1.0008038735229543</v>
      </c>
      <c r="AL213" s="98">
        <f t="shared" si="161"/>
        <v>4.0083297807566365E-2</v>
      </c>
      <c r="AM213" s="98" t="str">
        <f t="shared" si="146"/>
        <v>1+0.628308196503i</v>
      </c>
      <c r="AN213" s="98">
        <f t="shared" si="162"/>
        <v>1.1810043140449795</v>
      </c>
      <c r="AO213" s="98">
        <f t="shared" si="163"/>
        <v>0.56097470688844098</v>
      </c>
      <c r="AP213" s="168" t="str">
        <f t="shared" si="164"/>
        <v>-0.364288758219425+0.634930287018802i</v>
      </c>
      <c r="AQ213" s="98">
        <f t="shared" si="165"/>
        <v>-2.7096262576701688</v>
      </c>
      <c r="AR213" s="169">
        <f t="shared" si="166"/>
        <v>119.84487932495657</v>
      </c>
      <c r="AS213" s="168" t="str">
        <f t="shared" si="167"/>
        <v>3.52734613756533+5.48758013702569i</v>
      </c>
      <c r="AT213" s="190">
        <f t="shared" si="168"/>
        <v>16.289578053197971</v>
      </c>
      <c r="AU213" s="169">
        <f t="shared" si="169"/>
        <v>57.267610386974326</v>
      </c>
      <c r="AV213" s="225"/>
      <c r="AX213">
        <f t="shared" si="170"/>
        <v>0</v>
      </c>
      <c r="AY213">
        <f t="shared" si="171"/>
        <v>0</v>
      </c>
    </row>
    <row r="214" spans="14:51" x14ac:dyDescent="0.25">
      <c r="N214" s="170">
        <v>96</v>
      </c>
      <c r="O214" s="199">
        <f t="shared" si="137"/>
        <v>912.01083935590987</v>
      </c>
      <c r="P214" s="189" t="str">
        <f t="shared" si="138"/>
        <v>18.0065359477124</v>
      </c>
      <c r="Q214" s="160" t="str">
        <f t="shared" si="139"/>
        <v>1+1.7977515626132i</v>
      </c>
      <c r="R214" s="160">
        <f t="shared" si="147"/>
        <v>2.0571608300952557</v>
      </c>
      <c r="S214" s="160">
        <f t="shared" si="148"/>
        <v>1.0631670239553028</v>
      </c>
      <c r="T214" s="160" t="str">
        <f t="shared" si="140"/>
        <v>1+0.00229213324233183i</v>
      </c>
      <c r="U214" s="160">
        <f t="shared" si="149"/>
        <v>1.0000026269339499</v>
      </c>
      <c r="V214" s="160">
        <f t="shared" si="150"/>
        <v>2.2921292281507903E-3</v>
      </c>
      <c r="W214" s="98" t="str">
        <f t="shared" si="141"/>
        <v>1-0.0323819377725548i</v>
      </c>
      <c r="X214" s="160">
        <f t="shared" si="151"/>
        <v>1.0005241575763704</v>
      </c>
      <c r="Y214" s="160">
        <f t="shared" si="152"/>
        <v>-3.2370626430713194E-2</v>
      </c>
      <c r="Z214" s="98" t="str">
        <f t="shared" si="142"/>
        <v>0.999989937073469+0.00967912433492554i</v>
      </c>
      <c r="AA214" s="160">
        <f t="shared" si="153"/>
        <v>1.000036779171692</v>
      </c>
      <c r="AB214" s="160">
        <f t="shared" si="154"/>
        <v>9.6789194797217842E-3</v>
      </c>
      <c r="AC214" s="171" t="str">
        <f t="shared" si="155"/>
        <v>3.94947678600511-7.8162335219757i</v>
      </c>
      <c r="AD214" s="190">
        <f t="shared" si="156"/>
        <v>18.847493464153779</v>
      </c>
      <c r="AE214" s="169">
        <f t="shared" si="157"/>
        <v>-63.192915570360867</v>
      </c>
      <c r="AF214" s="98" t="str">
        <f t="shared" si="143"/>
        <v>-0.0000816326530612245</v>
      </c>
      <c r="AG214" s="98" t="str">
        <f t="shared" si="144"/>
        <v>0.000134662827986995i</v>
      </c>
      <c r="AH214" s="98">
        <f t="shared" si="158"/>
        <v>1.3466282798699501E-4</v>
      </c>
      <c r="AI214" s="98">
        <f t="shared" si="159"/>
        <v>1.5707963267948966</v>
      </c>
      <c r="AJ214" s="98" t="str">
        <f t="shared" si="145"/>
        <v>1+0.0410389387962176i</v>
      </c>
      <c r="AK214" s="98">
        <f t="shared" si="160"/>
        <v>1.0008417429831351</v>
      </c>
      <c r="AL214" s="98">
        <f t="shared" si="161"/>
        <v>4.1015922864759628E-2</v>
      </c>
      <c r="AM214" s="98" t="str">
        <f t="shared" si="146"/>
        <v>1+0.642943374474078i</v>
      </c>
      <c r="AN214" s="98">
        <f t="shared" si="162"/>
        <v>1.1888549881209711</v>
      </c>
      <c r="AO214" s="98">
        <f t="shared" si="163"/>
        <v>0.57139849331368331</v>
      </c>
      <c r="AP214" s="168" t="str">
        <f t="shared" si="164"/>
        <v>-0.364261191108586+0.621149239783488i</v>
      </c>
      <c r="AQ214" s="98">
        <f t="shared" si="165"/>
        <v>-2.8524069117201019</v>
      </c>
      <c r="AR214" s="169">
        <f t="shared" si="166"/>
        <v>120.38868281402335</v>
      </c>
      <c r="AS214" s="168" t="str">
        <f t="shared" si="167"/>
        <v>3.41640639181949+5.30036503586734i</v>
      </c>
      <c r="AT214" s="190">
        <f t="shared" si="168"/>
        <v>15.995086552433682</v>
      </c>
      <c r="AU214" s="169">
        <f t="shared" si="169"/>
        <v>57.195767243662509</v>
      </c>
      <c r="AV214" s="225"/>
      <c r="AX214">
        <f t="shared" si="170"/>
        <v>0</v>
      </c>
      <c r="AY214">
        <f t="shared" si="171"/>
        <v>0</v>
      </c>
    </row>
    <row r="215" spans="14:51" x14ac:dyDescent="0.25">
      <c r="N215" s="170">
        <v>97</v>
      </c>
      <c r="O215" s="199">
        <f t="shared" si="137"/>
        <v>933.25430079699106</v>
      </c>
      <c r="P215" s="189" t="str">
        <f t="shared" si="138"/>
        <v>18.0065359477124</v>
      </c>
      <c r="Q215" s="160" t="str">
        <f t="shared" si="139"/>
        <v>1+1.83962657588386i</v>
      </c>
      <c r="R215" s="160">
        <f t="shared" si="147"/>
        <v>2.0938543260451943</v>
      </c>
      <c r="S215" s="160">
        <f t="shared" si="148"/>
        <v>1.0728888330529689</v>
      </c>
      <c r="T215" s="160" t="str">
        <f t="shared" si="140"/>
        <v>1+0.00234552388425192i</v>
      </c>
      <c r="U215" s="160">
        <f t="shared" si="149"/>
        <v>1.0000027507373626</v>
      </c>
      <c r="V215" s="160">
        <f t="shared" si="150"/>
        <v>2.3455195829800799E-3</v>
      </c>
      <c r="W215" s="98" t="str">
        <f t="shared" si="141"/>
        <v>1-0.0331362099991268i</v>
      </c>
      <c r="X215" s="160">
        <f t="shared" si="151"/>
        <v>1.0005488535864235</v>
      </c>
      <c r="Y215" s="160">
        <f t="shared" si="152"/>
        <v>-3.3124090037031768E-2</v>
      </c>
      <c r="Z215" s="98" t="str">
        <f t="shared" si="142"/>
        <v>0.999989462822352+0.00990458010334343i</v>
      </c>
      <c r="AA215" s="160">
        <f t="shared" si="153"/>
        <v>1.0000385124897737</v>
      </c>
      <c r="AB215" s="160">
        <f t="shared" si="154"/>
        <v>9.9043605974844916E-3</v>
      </c>
      <c r="AC215" s="171" t="str">
        <f t="shared" si="155"/>
        <v>3.79837034903085-7.72031539269852i</v>
      </c>
      <c r="AD215" s="190">
        <f t="shared" si="156"/>
        <v>18.694129533237202</v>
      </c>
      <c r="AE215" s="169">
        <f t="shared" si="157"/>
        <v>-63.802962268125867</v>
      </c>
      <c r="AF215" s="98" t="str">
        <f t="shared" si="143"/>
        <v>-0.0000816326530612245</v>
      </c>
      <c r="AG215" s="98" t="str">
        <f t="shared" si="144"/>
        <v>0.000137799528199801i</v>
      </c>
      <c r="AH215" s="98">
        <f t="shared" si="158"/>
        <v>1.3779952819980101E-4</v>
      </c>
      <c r="AI215" s="98">
        <f t="shared" si="159"/>
        <v>1.5707963267948966</v>
      </c>
      <c r="AJ215" s="98" t="str">
        <f t="shared" si="145"/>
        <v>1+0.0419948584808082i</v>
      </c>
      <c r="AK215" s="98">
        <f t="shared" si="160"/>
        <v>1.0008813956402742</v>
      </c>
      <c r="AL215" s="98">
        <f t="shared" si="161"/>
        <v>4.1970197638728383E-2</v>
      </c>
      <c r="AM215" s="98" t="str">
        <f t="shared" si="146"/>
        <v>1+0.657919449532665i</v>
      </c>
      <c r="AN215" s="98">
        <f t="shared" si="162"/>
        <v>1.19702046852732</v>
      </c>
      <c r="AO215" s="98">
        <f t="shared" si="163"/>
        <v>0.58192236546721676</v>
      </c>
      <c r="AP215" s="168" t="str">
        <f t="shared" si="164"/>
        <v>-0.364232329271278+0.607697427621085i</v>
      </c>
      <c r="AQ215" s="98">
        <f t="shared" si="165"/>
        <v>-2.9932971856774038</v>
      </c>
      <c r="AR215" s="169">
        <f t="shared" si="166"/>
        <v>120.93698035551186</v>
      </c>
      <c r="AS215" s="168" t="str">
        <f t="shared" si="167"/>
        <v>3.30812652490389+5.12024834844973i</v>
      </c>
      <c r="AT215" s="190">
        <f t="shared" si="168"/>
        <v>15.700832347559793</v>
      </c>
      <c r="AU215" s="169">
        <f t="shared" si="169"/>
        <v>57.134018087386011</v>
      </c>
      <c r="AV215" s="225"/>
      <c r="AX215">
        <f t="shared" si="170"/>
        <v>0</v>
      </c>
      <c r="AY215">
        <f t="shared" si="171"/>
        <v>0</v>
      </c>
    </row>
    <row r="216" spans="14:51" x14ac:dyDescent="0.25">
      <c r="N216" s="170">
        <v>98</v>
      </c>
      <c r="O216" s="199">
        <f t="shared" si="137"/>
        <v>954.99258602143675</v>
      </c>
      <c r="P216" s="189" t="str">
        <f t="shared" si="138"/>
        <v>18.0065359477124</v>
      </c>
      <c r="Q216" s="160" t="str">
        <f t="shared" si="139"/>
        <v>1+1.8824769835154i</v>
      </c>
      <c r="R216" s="160">
        <f t="shared" si="147"/>
        <v>2.1316002424153644</v>
      </c>
      <c r="S216" s="160">
        <f t="shared" si="148"/>
        <v>1.0824896768761052</v>
      </c>
      <c r="T216" s="160" t="str">
        <f t="shared" si="140"/>
        <v>1+0.00240015815398213i</v>
      </c>
      <c r="U216" s="160">
        <f t="shared" si="149"/>
        <v>1.0000028803754337</v>
      </c>
      <c r="V216" s="160">
        <f t="shared" si="150"/>
        <v>2.4001535450870332E-3</v>
      </c>
      <c r="W216" s="98" t="str">
        <f t="shared" si="141"/>
        <v>1-0.03390805148285i</v>
      </c>
      <c r="X216" s="160">
        <f t="shared" si="151"/>
        <v>1.0005747128302631</v>
      </c>
      <c r="Y216" s="160">
        <f t="shared" si="152"/>
        <v>-3.3895065112325228E-2</v>
      </c>
      <c r="Z216" s="98" t="str">
        <f t="shared" si="142"/>
        <v>0.999988966220469+0.0101352874112347i</v>
      </c>
      <c r="AA216" s="160">
        <f t="shared" si="153"/>
        <v>1.0000403274936418</v>
      </c>
      <c r="AB216" s="160">
        <f t="shared" si="154"/>
        <v>1.0135052206970389E-2</v>
      </c>
      <c r="AC216" s="171" t="str">
        <f t="shared" si="155"/>
        <v>3.65100082387925-7.6227225654188i</v>
      </c>
      <c r="AD216" s="190">
        <f t="shared" si="156"/>
        <v>18.539153432032379</v>
      </c>
      <c r="AE216" s="169">
        <f t="shared" si="157"/>
        <v>-64.407311077025753</v>
      </c>
      <c r="AF216" s="98" t="str">
        <f t="shared" si="143"/>
        <v>-0.0000816326530612245</v>
      </c>
      <c r="AG216" s="98" t="str">
        <f t="shared" si="144"/>
        <v>0.00014100929154645i</v>
      </c>
      <c r="AH216" s="98">
        <f t="shared" si="158"/>
        <v>1.4100929154645E-4</v>
      </c>
      <c r="AI216" s="98">
        <f t="shared" si="159"/>
        <v>1.5707963267948966</v>
      </c>
      <c r="AJ216" s="98" t="str">
        <f t="shared" si="145"/>
        <v>1+0.0429730443952331i</v>
      </c>
      <c r="AK216" s="98">
        <f t="shared" si="160"/>
        <v>1.0009229153858925</v>
      </c>
      <c r="AL216" s="98">
        <f t="shared" si="161"/>
        <v>4.2946621142618019E-2</v>
      </c>
      <c r="AM216" s="98" t="str">
        <f t="shared" si="146"/>
        <v>1+0.673244362191988i</v>
      </c>
      <c r="AN216" s="98">
        <f t="shared" si="162"/>
        <v>1.2055114977565733</v>
      </c>
      <c r="AO216" s="98">
        <f t="shared" si="163"/>
        <v>0.59254257874403526</v>
      </c>
      <c r="AP216" s="168" t="str">
        <f t="shared" si="164"/>
        <v>-0.364202112119158+0.594567710614793i</v>
      </c>
      <c r="AQ216" s="98">
        <f t="shared" si="165"/>
        <v>-3.1322618931566248</v>
      </c>
      <c r="AR216" s="169">
        <f t="shared" si="166"/>
        <v>121.48952880801217</v>
      </c>
      <c r="AS216" s="168" t="str">
        <f t="shared" si="167"/>
        <v>3.20252249296717+4.9469788597305i</v>
      </c>
      <c r="AT216" s="190">
        <f t="shared" si="168"/>
        <v>15.406891538875753</v>
      </c>
      <c r="AU216" s="169">
        <f t="shared" si="169"/>
        <v>57.082217730986414</v>
      </c>
      <c r="AV216" s="225"/>
      <c r="AX216">
        <f t="shared" si="170"/>
        <v>0</v>
      </c>
      <c r="AY216">
        <f t="shared" si="171"/>
        <v>0</v>
      </c>
    </row>
    <row r="217" spans="14:51" x14ac:dyDescent="0.25">
      <c r="N217" s="170">
        <v>99</v>
      </c>
      <c r="O217" s="199">
        <f t="shared" si="137"/>
        <v>977.23722095581138</v>
      </c>
      <c r="P217" s="189" t="str">
        <f t="shared" si="138"/>
        <v>18.0065359477124</v>
      </c>
      <c r="Q217" s="160" t="str">
        <f t="shared" si="139"/>
        <v>1+1.92632550536112i</v>
      </c>
      <c r="R217" s="160">
        <f t="shared" si="147"/>
        <v>2.1704216071088065</v>
      </c>
      <c r="S217" s="160">
        <f t="shared" si="148"/>
        <v>1.0919675653615339</v>
      </c>
      <c r="T217" s="160" t="str">
        <f t="shared" si="140"/>
        <v>1+0.00245606501933543i</v>
      </c>
      <c r="U217" s="160">
        <f t="shared" si="149"/>
        <v>1.000003016123141</v>
      </c>
      <c r="V217" s="160">
        <f t="shared" si="150"/>
        <v>2.4560600808161627E-3</v>
      </c>
      <c r="W217" s="98" t="str">
        <f t="shared" si="141"/>
        <v>1-0.0346978714642954i</v>
      </c>
      <c r="X217" s="160">
        <f t="shared" si="151"/>
        <v>1.0006017900664343</v>
      </c>
      <c r="Y217" s="160">
        <f t="shared" si="152"/>
        <v>-3.4683956769531545E-2</v>
      </c>
      <c r="Z217" s="98" t="str">
        <f t="shared" si="142"/>
        <v>0.99998844621446+0.0103713685826678i</v>
      </c>
      <c r="AA217" s="160">
        <f t="shared" si="153"/>
        <v>1.0000422280327403</v>
      </c>
      <c r="AB217" s="160">
        <f t="shared" si="154"/>
        <v>1.0371116557320221E-2</v>
      </c>
      <c r="AC217" s="171" t="str">
        <f t="shared" si="155"/>
        <v>3.50738174755113-7.52361899157242i</v>
      </c>
      <c r="AD217" s="190">
        <f t="shared" si="156"/>
        <v>18.382606288938959</v>
      </c>
      <c r="AE217" s="169">
        <f t="shared" si="157"/>
        <v>-65.005876530811491</v>
      </c>
      <c r="AF217" s="98" t="str">
        <f t="shared" si="143"/>
        <v>-0.0000816326530612245</v>
      </c>
      <c r="AG217" s="98" t="str">
        <f t="shared" si="144"/>
        <v>0.000144293819885956i</v>
      </c>
      <c r="AH217" s="98">
        <f t="shared" si="158"/>
        <v>1.4429381988595601E-4</v>
      </c>
      <c r="AI217" s="98">
        <f t="shared" si="159"/>
        <v>1.5707963267948966</v>
      </c>
      <c r="AJ217" s="98" t="str">
        <f t="shared" si="145"/>
        <v>1+0.0439740151866118i</v>
      </c>
      <c r="AK217" s="98">
        <f t="shared" si="160"/>
        <v>1.0009663900509509</v>
      </c>
      <c r="AL217" s="98">
        <f t="shared" si="161"/>
        <v>4.3945703637451941E-2</v>
      </c>
      <c r="AM217" s="98" t="str">
        <f t="shared" si="146"/>
        <v>1+0.688926237923588i</v>
      </c>
      <c r="AN217" s="98">
        <f t="shared" si="162"/>
        <v>1.2143390635648466</v>
      </c>
      <c r="AO217" s="98">
        <f t="shared" si="163"/>
        <v>0.603255181282218</v>
      </c>
      <c r="AP217" s="168" t="str">
        <f t="shared" si="164"/>
        <v>-0.364170476249766+0.581753119087527i</v>
      </c>
      <c r="AQ217" s="98">
        <f t="shared" si="165"/>
        <v>-3.2692669730532113</v>
      </c>
      <c r="AR217" s="169">
        <f t="shared" si="166"/>
        <v>122.04607251071172</v>
      </c>
      <c r="AS217" s="168" t="str">
        <f t="shared" si="167"/>
        <v>3.09960393377798+4.78031018275124i</v>
      </c>
      <c r="AT217" s="190">
        <f t="shared" si="168"/>
        <v>15.113339315885742</v>
      </c>
      <c r="AU217" s="169">
        <f t="shared" si="169"/>
        <v>57.040195979900226</v>
      </c>
      <c r="AV217" s="225"/>
      <c r="AX217">
        <f t="shared" si="170"/>
        <v>0</v>
      </c>
      <c r="AY217">
        <f t="shared" si="171"/>
        <v>0</v>
      </c>
    </row>
    <row r="218" spans="14:51" x14ac:dyDescent="0.25">
      <c r="N218" s="170">
        <v>100</v>
      </c>
      <c r="O218" s="199">
        <f t="shared" si="137"/>
        <v>1000</v>
      </c>
      <c r="P218" s="189" t="str">
        <f t="shared" si="138"/>
        <v>18.0065359477124</v>
      </c>
      <c r="Q218" s="160" t="str">
        <f t="shared" si="139"/>
        <v>1+1.97119539048771i</v>
      </c>
      <c r="R218" s="160">
        <f t="shared" si="147"/>
        <v>2.2103418892741447</v>
      </c>
      <c r="S218" s="160">
        <f t="shared" si="148"/>
        <v>1.1013207117408348</v>
      </c>
      <c r="T218" s="160" t="str">
        <f t="shared" si="140"/>
        <v>1+0.00251327412287184i</v>
      </c>
      <c r="U218" s="160">
        <f t="shared" si="149"/>
        <v>1.000003158268421</v>
      </c>
      <c r="V218" s="160">
        <f t="shared" si="150"/>
        <v>2.5132688311540084E-3</v>
      </c>
      <c r="W218" s="98" t="str">
        <f t="shared" si="141"/>
        <v>1-0.0355060887164718i</v>
      </c>
      <c r="X218" s="160">
        <f t="shared" si="151"/>
        <v>1.0006301426281052</v>
      </c>
      <c r="Y218" s="160">
        <f t="shared" si="152"/>
        <v>-3.5491179359471381E-2</v>
      </c>
      <c r="Z218" s="98" t="str">
        <f t="shared" si="142"/>
        <v>0.999987901701323+0.0106129487910048i</v>
      </c>
      <c r="AA218" s="160">
        <f t="shared" si="153"/>
        <v>1.0000442181379059</v>
      </c>
      <c r="AB218" s="160">
        <f t="shared" si="154"/>
        <v>1.0612678741610372E-2</v>
      </c>
      <c r="AC218" s="171" t="str">
        <f t="shared" si="155"/>
        <v>3.36751823025073-7.42316558921659i</v>
      </c>
      <c r="AD218" s="190">
        <f t="shared" si="156"/>
        <v>18.224529354069055</v>
      </c>
      <c r="AE218" s="169">
        <f t="shared" si="157"/>
        <v>-65.598585464748851</v>
      </c>
      <c r="AF218" s="98" t="str">
        <f t="shared" si="143"/>
        <v>-0.0000816326530612245</v>
      </c>
      <c r="AG218" s="98" t="str">
        <f t="shared" si="144"/>
        <v>0.00014765485471872i</v>
      </c>
      <c r="AH218" s="98">
        <f t="shared" si="158"/>
        <v>1.4765485471872E-4</v>
      </c>
      <c r="AI218" s="98">
        <f t="shared" si="159"/>
        <v>1.5707963267948966</v>
      </c>
      <c r="AJ218" s="98" t="str">
        <f t="shared" si="145"/>
        <v>1+0.0449983015829073i</v>
      </c>
      <c r="AK218" s="98">
        <f t="shared" si="160"/>
        <v>1.0010119115901401</v>
      </c>
      <c r="AL218" s="98">
        <f t="shared" si="161"/>
        <v>4.4967966867449721E-2</v>
      </c>
      <c r="AM218" s="98" t="str">
        <f t="shared" si="146"/>
        <v>1+0.70497339146555i</v>
      </c>
      <c r="AN218" s="98">
        <f t="shared" si="162"/>
        <v>1.2235143982293137</v>
      </c>
      <c r="AO218" s="98">
        <f t="shared" si="163"/>
        <v>0.61405601802649701</v>
      </c>
      <c r="AP218" s="168" t="str">
        <f t="shared" si="164"/>
        <v>-0.364137355317883+0.569246849868352i</v>
      </c>
      <c r="AQ218" s="98">
        <f t="shared" si="165"/>
        <v>-3.4042796056961611</v>
      </c>
      <c r="AR218" s="169">
        <f t="shared" si="166"/>
        <v>122.60634350273844</v>
      </c>
      <c r="AS218" s="168" t="str">
        <f t="shared" si="167"/>
        <v>2.99937444536443+4.62000103018852i</v>
      </c>
      <c r="AT218" s="190">
        <f t="shared" si="168"/>
        <v>14.820249748372889</v>
      </c>
      <c r="AU218" s="169">
        <f t="shared" si="169"/>
        <v>57.007758037989639</v>
      </c>
      <c r="AV218" s="225"/>
      <c r="AX218">
        <f t="shared" si="170"/>
        <v>0</v>
      </c>
      <c r="AY218">
        <f t="shared" si="171"/>
        <v>0</v>
      </c>
    </row>
    <row r="219" spans="14:51" x14ac:dyDescent="0.25">
      <c r="N219" s="170">
        <v>1</v>
      </c>
      <c r="O219" s="199">
        <f>10^(3+(N219/100))</f>
        <v>1023.2929922807547</v>
      </c>
      <c r="P219" s="189" t="str">
        <f t="shared" si="138"/>
        <v>18.0065359477124</v>
      </c>
      <c r="Q219" s="160" t="str">
        <f t="shared" si="139"/>
        <v>1+2.0171104295022i</v>
      </c>
      <c r="R219" s="160">
        <f t="shared" si="147"/>
        <v>2.251385014786798</v>
      </c>
      <c r="S219" s="160">
        <f t="shared" si="148"/>
        <v>1.1105475284731006</v>
      </c>
      <c r="T219" s="160" t="str">
        <f t="shared" si="140"/>
        <v>1+0.00257181579761531i</v>
      </c>
      <c r="U219" s="160">
        <f t="shared" si="149"/>
        <v>1.0000033071127801</v>
      </c>
      <c r="V219" s="160">
        <f t="shared" si="150"/>
        <v>2.5718101274385084E-3</v>
      </c>
      <c r="W219" s="98" t="str">
        <f t="shared" si="141"/>
        <v>1-0.0363331317668644i</v>
      </c>
      <c r="X219" s="160">
        <f t="shared" si="151"/>
        <v>1.0006598305438208</v>
      </c>
      <c r="Y219" s="160">
        <f t="shared" si="152"/>
        <v>-3.6317156671899532E-2</v>
      </c>
      <c r="Z219" s="98" t="str">
        <f t="shared" si="142"/>
        <v>0.999987331526073+0.0108601561252697i</v>
      </c>
      <c r="AA219" s="160">
        <f t="shared" si="153"/>
        <v>1.0000463020299117</v>
      </c>
      <c r="AB219" s="160">
        <f t="shared" si="154"/>
        <v>1.0859866762838089E-2</v>
      </c>
      <c r="AC219" s="171" t="str">
        <f t="shared" si="155"/>
        <v>3.23140736660173-7.32151981279053i</v>
      </c>
      <c r="AD219" s="190">
        <f t="shared" si="156"/>
        <v>18.064963910868833</v>
      </c>
      <c r="AE219" s="169">
        <f t="shared" si="157"/>
        <v>-66.185376796982325</v>
      </c>
      <c r="AF219" s="98" t="str">
        <f t="shared" si="143"/>
        <v>-0.0000816326530612245</v>
      </c>
      <c r="AG219" s="98" t="str">
        <f t="shared" si="144"/>
        <v>0.000151094178109899i</v>
      </c>
      <c r="AH219" s="98">
        <f t="shared" si="158"/>
        <v>1.5109417810989901E-4</v>
      </c>
      <c r="AI219" s="98">
        <f t="shared" si="159"/>
        <v>1.5707963267948966</v>
      </c>
      <c r="AJ219" s="98" t="str">
        <f t="shared" si="145"/>
        <v>1+0.046046446674325i</v>
      </c>
      <c r="AK219" s="98">
        <f t="shared" si="160"/>
        <v>1.0010595762747247</v>
      </c>
      <c r="AL219" s="98">
        <f t="shared" si="161"/>
        <v>4.6013944298940596E-2</v>
      </c>
      <c r="AM219" s="98" t="str">
        <f t="shared" si="146"/>
        <v>1+0.721394331231094i</v>
      </c>
      <c r="AN219" s="98">
        <f t="shared" si="162"/>
        <v>1.2330489775886266</v>
      </c>
      <c r="AO219" s="98">
        <f t="shared" si="163"/>
        <v>0.62494073577507081</v>
      </c>
      <c r="AP219" s="168" t="str">
        <f t="shared" si="164"/>
        <v>-0.364102679901175+0.557042262644484i</v>
      </c>
      <c r="AQ219" s="98">
        <f t="shared" si="165"/>
        <v>-3.5372683282775763</v>
      </c>
      <c r="AR219" s="169">
        <f t="shared" si="166"/>
        <v>123.17006179863259</v>
      </c>
      <c r="AS219" s="168" t="str">
        <f t="shared" si="167"/>
        <v>2.90183188048117+4.46581545580446i</v>
      </c>
      <c r="AT219" s="190">
        <f t="shared" si="168"/>
        <v>14.527695582591253</v>
      </c>
      <c r="AU219" s="169">
        <f t="shared" si="169"/>
        <v>56.984685001650234</v>
      </c>
      <c r="AV219" s="225"/>
      <c r="AX219">
        <f t="shared" si="170"/>
        <v>0</v>
      </c>
      <c r="AY219">
        <f t="shared" si="171"/>
        <v>0</v>
      </c>
    </row>
    <row r="220" spans="14:51" x14ac:dyDescent="0.25">
      <c r="N220" s="170">
        <v>2</v>
      </c>
      <c r="O220" s="199">
        <f t="shared" ref="O220:O283" si="172">10^(3+(N220/100))</f>
        <v>1047.1285480509</v>
      </c>
      <c r="P220" s="189" t="str">
        <f t="shared" si="138"/>
        <v>18.0065359477124</v>
      </c>
      <c r="Q220" s="160" t="str">
        <f t="shared" si="139"/>
        <v>1+2.06409496716603i</v>
      </c>
      <c r="R220" s="160">
        <f t="shared" si="147"/>
        <v>2.2935753821228841</v>
      </c>
      <c r="S220" s="160">
        <f t="shared" si="148"/>
        <v>1.1196466226672359</v>
      </c>
      <c r="T220" s="160" t="str">
        <f t="shared" si="140"/>
        <v>1+0.00263172108313668i</v>
      </c>
      <c r="U220" s="160">
        <f t="shared" si="149"/>
        <v>1.0000034629719337</v>
      </c>
      <c r="V220" s="160">
        <f t="shared" si="150"/>
        <v>2.6317150074339091E-3</v>
      </c>
      <c r="W220" s="98" t="str">
        <f t="shared" si="141"/>
        <v>1-0.0371794391246456i</v>
      </c>
      <c r="X220" s="160">
        <f t="shared" si="151"/>
        <v>1.0006909166638933</v>
      </c>
      <c r="Y220" s="160">
        <f t="shared" si="152"/>
        <v>-3.7162322140237146E-2</v>
      </c>
      <c r="Z220" s="98" t="str">
        <f t="shared" si="142"/>
        <v>0.999986734479291+0.0111131216580634i</v>
      </c>
      <c r="AA220" s="160">
        <f t="shared" si="153"/>
        <v>1.0000484841284161</v>
      </c>
      <c r="AB220" s="160">
        <f t="shared" si="154"/>
        <v>1.1112811601425979E-2</v>
      </c>
      <c r="AC220" s="171" t="str">
        <f t="shared" si="155"/>
        <v>3.09903866436763-7.21883526720426i</v>
      </c>
      <c r="AD220" s="190">
        <f t="shared" si="156"/>
        <v>17.903951192352878</v>
      </c>
      <c r="AE220" s="169">
        <f t="shared" si="157"/>
        <v>-66.766201280928897</v>
      </c>
      <c r="AF220" s="98" t="str">
        <f t="shared" si="143"/>
        <v>-0.0000816326530612245</v>
      </c>
      <c r="AG220" s="98" t="str">
        <f t="shared" si="144"/>
        <v>0.00015461361363428i</v>
      </c>
      <c r="AH220" s="98">
        <f t="shared" si="158"/>
        <v>1.5461361363428E-4</v>
      </c>
      <c r="AI220" s="98">
        <f t="shared" si="159"/>
        <v>1.5707963267948966</v>
      </c>
      <c r="AJ220" s="98" t="str">
        <f t="shared" si="145"/>
        <v>1+0.0471190062012662i</v>
      </c>
      <c r="AK220" s="98">
        <f t="shared" si="160"/>
        <v>1.001109484894332</v>
      </c>
      <c r="AL220" s="98">
        <f t="shared" si="161"/>
        <v>4.708418136282437E-2</v>
      </c>
      <c r="AM220" s="98" t="str">
        <f t="shared" si="146"/>
        <v>1+0.73819776381984i</v>
      </c>
      <c r="AN220" s="98">
        <f t="shared" si="162"/>
        <v>1.2429545198874383</v>
      </c>
      <c r="AO220" s="98">
        <f t="shared" si="163"/>
        <v>0.63590478921874538</v>
      </c>
      <c r="AP220" s="168" t="str">
        <f t="shared" si="164"/>
        <v>-0.364066377359924+0.545132876396789i</v>
      </c>
      <c r="AQ220" s="98">
        <f t="shared" si="165"/>
        <v>-3.6682031488255173</v>
      </c>
      <c r="AR220" s="169">
        <f t="shared" si="166"/>
        <v>123.73693572047192</v>
      </c>
      <c r="AS220" s="168" t="str">
        <f t="shared" si="167"/>
        <v>2.80696865361098+4.3175230656607i</v>
      </c>
      <c r="AT220" s="190">
        <f t="shared" si="168"/>
        <v>14.235748043527357</v>
      </c>
      <c r="AU220" s="169">
        <f t="shared" si="169"/>
        <v>56.970734439543023</v>
      </c>
      <c r="AV220" s="225"/>
      <c r="AX220">
        <f t="shared" si="170"/>
        <v>0</v>
      </c>
      <c r="AY220">
        <f t="shared" si="171"/>
        <v>0</v>
      </c>
    </row>
    <row r="221" spans="14:51" x14ac:dyDescent="0.25">
      <c r="N221" s="170">
        <v>3</v>
      </c>
      <c r="O221" s="199">
        <f t="shared" si="172"/>
        <v>1071.5193052376069</v>
      </c>
      <c r="P221" s="189" t="str">
        <f t="shared" si="138"/>
        <v>18.0065359477124</v>
      </c>
      <c r="Q221" s="160" t="str">
        <f t="shared" si="139"/>
        <v>1+2.11217391530297i</v>
      </c>
      <c r="R221" s="160">
        <f t="shared" si="147"/>
        <v>2.336937878610871</v>
      </c>
      <c r="S221" s="160">
        <f t="shared" si="148"/>
        <v>1.1286167910491238</v>
      </c>
      <c r="T221" s="160" t="str">
        <f t="shared" si="140"/>
        <v>1+0.00269302174201128i</v>
      </c>
      <c r="U221" s="160">
        <f t="shared" si="149"/>
        <v>1.0000036261764769</v>
      </c>
      <c r="V221" s="160">
        <f t="shared" si="150"/>
        <v>2.6930152317797434E-3</v>
      </c>
      <c r="W221" s="98" t="str">
        <f t="shared" si="141"/>
        <v>1-0.0380454595131787i</v>
      </c>
      <c r="X221" s="160">
        <f t="shared" si="151"/>
        <v>1.0007234667926843</v>
      </c>
      <c r="Y221" s="160">
        <f t="shared" si="152"/>
        <v>-3.8027119050000141E-2</v>
      </c>
      <c r="Z221" s="98" t="str">
        <f t="shared" si="142"/>
        <v>0.99998610929456+0.0113719795150597i</v>
      </c>
      <c r="AA221" s="160">
        <f t="shared" si="153"/>
        <v>1.0000507690613325</v>
      </c>
      <c r="AB221" s="160">
        <f t="shared" si="154"/>
        <v>1.1371647284278166E-2</v>
      </c>
      <c r="AC221" s="171" t="str">
        <f t="shared" si="155"/>
        <v>2.9703944862737-7.11526136595043i</v>
      </c>
      <c r="AD221" s="190">
        <f t="shared" si="156"/>
        <v>17.741532302117818</v>
      </c>
      <c r="AE221" s="169">
        <f t="shared" si="157"/>
        <v>-67.34102123187472</v>
      </c>
      <c r="AF221" s="98" t="str">
        <f t="shared" si="143"/>
        <v>-0.0000816326530612245</v>
      </c>
      <c r="AG221" s="98" t="str">
        <f t="shared" si="144"/>
        <v>0.000158215027343163i</v>
      </c>
      <c r="AH221" s="98">
        <f t="shared" si="158"/>
        <v>1.5821502734316299E-4</v>
      </c>
      <c r="AI221" s="98">
        <f t="shared" si="159"/>
        <v>1.5707963267948966</v>
      </c>
      <c r="AJ221" s="98" t="str">
        <f t="shared" si="145"/>
        <v>1+0.0482165488489891i</v>
      </c>
      <c r="AK221" s="98">
        <f t="shared" si="160"/>
        <v>1.0011617429680915</v>
      </c>
      <c r="AL221" s="98">
        <f t="shared" si="161"/>
        <v>4.8179235700521336E-2</v>
      </c>
      <c r="AM221" s="98" t="str">
        <f t="shared" si="146"/>
        <v>1+0.755392598634165i</v>
      </c>
      <c r="AN221" s="98">
        <f t="shared" si="162"/>
        <v>1.2532429844492554</v>
      </c>
      <c r="AO221" s="98">
        <f t="shared" si="163"/>
        <v>0.64694344797328707</v>
      </c>
      <c r="AP221" s="168" t="str">
        <f t="shared" si="164"/>
        <v>-0.364028371690617+0.533512365916665i</v>
      </c>
      <c r="AQ221" s="98">
        <f t="shared" si="165"/>
        <v>-3.7970556579662262</v>
      </c>
      <c r="AR221" s="169">
        <f t="shared" si="166"/>
        <v>124.30666228670478</v>
      </c>
      <c r="AS221" s="168" t="str">
        <f t="shared" si="167"/>
        <v>2.71477205734665+4.17489919927779i</v>
      </c>
      <c r="AT221" s="190">
        <f t="shared" si="168"/>
        <v>13.944476644151589</v>
      </c>
      <c r="AU221" s="169">
        <f t="shared" si="169"/>
        <v>56.965641054830094</v>
      </c>
      <c r="AV221" s="225"/>
      <c r="AX221">
        <f t="shared" si="170"/>
        <v>0</v>
      </c>
      <c r="AY221">
        <f t="shared" si="171"/>
        <v>0</v>
      </c>
    </row>
    <row r="222" spans="14:51" x14ac:dyDescent="0.25">
      <c r="N222" s="170">
        <v>4</v>
      </c>
      <c r="O222" s="199">
        <f t="shared" si="172"/>
        <v>1096.4781961431863</v>
      </c>
      <c r="P222" s="189" t="str">
        <f t="shared" si="138"/>
        <v>18.0065359477124</v>
      </c>
      <c r="Q222" s="160" t="str">
        <f t="shared" si="139"/>
        <v>1+2.16137276600773i</v>
      </c>
      <c r="R222" s="160">
        <f t="shared" si="147"/>
        <v>2.3814978970471308</v>
      </c>
      <c r="S222" s="160">
        <f t="shared" si="148"/>
        <v>1.1374570145283174</v>
      </c>
      <c r="T222" s="160" t="str">
        <f t="shared" si="140"/>
        <v>1+0.00275575027665986i</v>
      </c>
      <c r="U222" s="160">
        <f t="shared" si="149"/>
        <v>1.0000037970725848</v>
      </c>
      <c r="V222" s="160">
        <f t="shared" si="150"/>
        <v>2.7557433008225172E-3</v>
      </c>
      <c r="W222" s="98" t="str">
        <f t="shared" si="141"/>
        <v>1-0.0389316521079369i</v>
      </c>
      <c r="X222" s="160">
        <f t="shared" si="151"/>
        <v>1.0007575498270564</v>
      </c>
      <c r="Y222" s="160">
        <f t="shared" si="152"/>
        <v>-3.8912000750933047E-2</v>
      </c>
      <c r="Z222" s="98" t="str">
        <f t="shared" si="142"/>
        <v>0.999985454645782+0.0116368669461209i</v>
      </c>
      <c r="AA222" s="160">
        <f t="shared" si="153"/>
        <v>1.0000531616746446</v>
      </c>
      <c r="AB222" s="160">
        <f t="shared" si="154"/>
        <v>1.1636510955424584E-2</v>
      </c>
      <c r="AC222" s="171" t="str">
        <f t="shared" si="155"/>
        <v>2.8454505007621-7.01094303253427i</v>
      </c>
      <c r="AD222" s="190">
        <f t="shared" si="156"/>
        <v>17.577748140257867</v>
      </c>
      <c r="AE222" s="169">
        <f t="shared" si="157"/>
        <v>-67.909810230906672</v>
      </c>
      <c r="AF222" s="98" t="str">
        <f t="shared" si="143"/>
        <v>-0.0000816326530612245</v>
      </c>
      <c r="AG222" s="98" t="str">
        <f t="shared" si="144"/>
        <v>0.000161900328753767i</v>
      </c>
      <c r="AH222" s="98">
        <f t="shared" si="158"/>
        <v>1.61900328753767E-4</v>
      </c>
      <c r="AI222" s="98">
        <f t="shared" si="159"/>
        <v>1.5707963267948966</v>
      </c>
      <c r="AJ222" s="98" t="str">
        <f t="shared" si="145"/>
        <v>1+0.0493396565491332i</v>
      </c>
      <c r="AK222" s="98">
        <f t="shared" si="160"/>
        <v>1.0012164609655527</v>
      </c>
      <c r="AL222" s="98">
        <f t="shared" si="161"/>
        <v>4.929967741334125E-2</v>
      </c>
      <c r="AM222" s="98" t="str">
        <f t="shared" si="146"/>
        <v>1+0.77298795260309i</v>
      </c>
      <c r="AN222" s="98">
        <f t="shared" si="162"/>
        <v>1.2639265702047398</v>
      </c>
      <c r="AO222" s="98">
        <f t="shared" si="163"/>
        <v>0.65805180459717383</v>
      </c>
      <c r="AP222" s="168" t="str">
        <f t="shared" si="164"/>
        <v>-0.363988583373114+0.522174558402268i</v>
      </c>
      <c r="AQ222" s="98">
        <f t="shared" si="165"/>
        <v>-3.9237991377081229</v>
      </c>
      <c r="AR222" s="169">
        <f t="shared" si="166"/>
        <v>124.8789276572447</v>
      </c>
      <c r="AS222" s="168" t="str">
        <f t="shared" si="167"/>
        <v>2.62522458516633+4.03772508121271i</v>
      </c>
      <c r="AT222" s="190">
        <f t="shared" si="168"/>
        <v>13.653949002549744</v>
      </c>
      <c r="AU222" s="169">
        <f t="shared" si="169"/>
        <v>56.969117426337966</v>
      </c>
      <c r="AV222" s="225"/>
      <c r="AX222">
        <f t="shared" si="170"/>
        <v>0</v>
      </c>
      <c r="AY222">
        <f t="shared" si="171"/>
        <v>0</v>
      </c>
    </row>
    <row r="223" spans="14:51" x14ac:dyDescent="0.25">
      <c r="N223" s="170">
        <v>5</v>
      </c>
      <c r="O223" s="199">
        <f t="shared" si="172"/>
        <v>1122.0184543019636</v>
      </c>
      <c r="P223" s="189" t="str">
        <f t="shared" si="138"/>
        <v>18.0065359477124</v>
      </c>
      <c r="Q223" s="160" t="str">
        <f t="shared" si="139"/>
        <v>1+2.21171760516218i</v>
      </c>
      <c r="R223" s="160">
        <f t="shared" si="147"/>
        <v>2.4272813526627544</v>
      </c>
      <c r="S223" s="160">
        <f t="shared" si="148"/>
        <v>1.1461664524178115</v>
      </c>
      <c r="T223" s="160" t="str">
        <f t="shared" si="140"/>
        <v>1+0.00281993994658178i</v>
      </c>
      <c r="U223" s="160">
        <f t="shared" si="149"/>
        <v>1.0000039760227468</v>
      </c>
      <c r="V223" s="160">
        <f t="shared" si="150"/>
        <v>2.8199324718390026E-3</v>
      </c>
      <c r="W223" s="98" t="str">
        <f t="shared" si="141"/>
        <v>1-0.0398384867799641i</v>
      </c>
      <c r="X223" s="160">
        <f t="shared" si="151"/>
        <v>1.0007932379012747</v>
      </c>
      <c r="Y223" s="160">
        <f t="shared" si="152"/>
        <v>-3.9817430872854165E-2</v>
      </c>
      <c r="Z223" s="98" t="str">
        <f t="shared" si="142"/>
        <v>0.999984769144356+0.0119079243980691i</v>
      </c>
      <c r="AA223" s="160">
        <f t="shared" si="153"/>
        <v>1.0000556670426706</v>
      </c>
      <c r="AB223" s="160">
        <f t="shared" si="154"/>
        <v>1.1907542948287428E-2</v>
      </c>
      <c r="AC223" s="171" t="str">
        <f t="shared" si="155"/>
        <v>2.72417613777344-6.90602044415975i</v>
      </c>
      <c r="AD223" s="190">
        <f t="shared" si="156"/>
        <v>17.412639334260302</v>
      </c>
      <c r="AE223" s="169">
        <f t="shared" si="157"/>
        <v>-68.472552809250516</v>
      </c>
      <c r="AF223" s="98" t="str">
        <f t="shared" si="143"/>
        <v>-0.0000816326530612245</v>
      </c>
      <c r="AG223" s="98" t="str">
        <f t="shared" si="144"/>
        <v>0.00016567147186168i</v>
      </c>
      <c r="AH223" s="98">
        <f t="shared" si="158"/>
        <v>1.6567147186168001E-4</v>
      </c>
      <c r="AI223" s="98">
        <f t="shared" si="159"/>
        <v>1.5707963267948966</v>
      </c>
      <c r="AJ223" s="98" t="str">
        <f t="shared" si="145"/>
        <v>1+0.0504889247882672i</v>
      </c>
      <c r="AK223" s="98">
        <f t="shared" si="160"/>
        <v>1.0012737545378263</v>
      </c>
      <c r="AL223" s="98">
        <f t="shared" si="161"/>
        <v>5.0446089315189721E-2</v>
      </c>
      <c r="AM223" s="98" t="str">
        <f t="shared" si="146"/>
        <v>1+0.790993155016189i</v>
      </c>
      <c r="AN223" s="98">
        <f t="shared" si="162"/>
        <v>1.2750177141053629</v>
      </c>
      <c r="AO223" s="98">
        <f t="shared" si="163"/>
        <v>0.66922478357791704</v>
      </c>
      <c r="AP223" s="168" t="str">
        <f t="shared" si="164"/>
        <v>-0.363946929211167+0.511113430132039i</v>
      </c>
      <c r="AQ223" s="98">
        <f t="shared" si="165"/>
        <v>-4.048408666474824</v>
      </c>
      <c r="AR223" s="169">
        <f t="shared" si="166"/>
        <v>125.45340763387019</v>
      </c>
      <c r="AS223" s="168" t="str">
        <f t="shared" si="167"/>
        <v>2.5383042578035+3.90578794378271i</v>
      </c>
      <c r="AT223" s="190">
        <f t="shared" si="168"/>
        <v>13.364230667785478</v>
      </c>
      <c r="AU223" s="169">
        <f t="shared" si="169"/>
        <v>56.980854824619627</v>
      </c>
      <c r="AV223" s="225"/>
      <c r="AX223">
        <f t="shared" si="170"/>
        <v>0</v>
      </c>
      <c r="AY223">
        <f t="shared" si="171"/>
        <v>0</v>
      </c>
    </row>
    <row r="224" spans="14:51" x14ac:dyDescent="0.25">
      <c r="N224" s="170">
        <v>6</v>
      </c>
      <c r="O224" s="199">
        <f t="shared" si="172"/>
        <v>1148.1536214968839</v>
      </c>
      <c r="P224" s="189" t="str">
        <f t="shared" si="138"/>
        <v>18.0065359477124</v>
      </c>
      <c r="Q224" s="160" t="str">
        <f t="shared" si="139"/>
        <v>1+2.26323512626643i</v>
      </c>
      <c r="R224" s="160">
        <f t="shared" si="147"/>
        <v>2.4743147004304493</v>
      </c>
      <c r="S224" s="160">
        <f t="shared" si="148"/>
        <v>1.1547444363589374</v>
      </c>
      <c r="T224" s="160" t="str">
        <f t="shared" si="140"/>
        <v>1+0.0028856247859897i</v>
      </c>
      <c r="U224" s="160">
        <f t="shared" si="149"/>
        <v>1.0000041634065358</v>
      </c>
      <c r="V224" s="160">
        <f t="shared" si="150"/>
        <v>2.885616776660313E-3</v>
      </c>
      <c r="W224" s="98" t="str">
        <f t="shared" si="141"/>
        <v>1-0.0407664443450067i</v>
      </c>
      <c r="X224" s="160">
        <f t="shared" si="151"/>
        <v>1.0008306065386563</v>
      </c>
      <c r="Y224" s="160">
        <f t="shared" si="152"/>
        <v>-4.0743883545211926E-2</v>
      </c>
      <c r="Z224" s="98" t="str">
        <f t="shared" si="142"/>
        <v>0.999984051336244+0.0121852955891531i</v>
      </c>
      <c r="AA224" s="160">
        <f t="shared" si="153"/>
        <v>1.0000582904788313</v>
      </c>
      <c r="AB224" s="160">
        <f t="shared" si="154"/>
        <v>1.2184886859606843E-2</v>
      </c>
      <c r="AC224" s="171" t="str">
        <f t="shared" si="155"/>
        <v>2.60653504593339-6.80062881629941i</v>
      </c>
      <c r="AD224" s="190">
        <f t="shared" si="156"/>
        <v>17.246246174916863</v>
      </c>
      <c r="AE224" s="169">
        <f t="shared" si="157"/>
        <v>-69.029244115998424</v>
      </c>
      <c r="AF224" s="98" t="str">
        <f t="shared" si="143"/>
        <v>-0.0000816326530612245</v>
      </c>
      <c r="AG224" s="98" t="str">
        <f t="shared" si="144"/>
        <v>0.000169530456176895i</v>
      </c>
      <c r="AH224" s="98">
        <f t="shared" si="158"/>
        <v>1.6953045617689499E-4</v>
      </c>
      <c r="AI224" s="98">
        <f t="shared" si="159"/>
        <v>1.5707963267948966</v>
      </c>
      <c r="AJ224" s="98" t="str">
        <f t="shared" si="145"/>
        <v>1+0.0516649629236239i</v>
      </c>
      <c r="AK224" s="98">
        <f t="shared" si="160"/>
        <v>1.001333744759408</v>
      </c>
      <c r="AL224" s="98">
        <f t="shared" si="161"/>
        <v>5.1619067188517526E-2</v>
      </c>
      <c r="AM224" s="98" t="str">
        <f t="shared" si="146"/>
        <v>1+0.809417752470111i</v>
      </c>
      <c r="AN224" s="98">
        <f t="shared" si="162"/>
        <v>1.2865290894549435</v>
      </c>
      <c r="AO224" s="98">
        <f t="shared" si="163"/>
        <v>0.68045715126092954</v>
      </c>
      <c r="AP224" s="168" t="str">
        <f t="shared" si="164"/>
        <v>-0.363903322166019+0.500323103213527i</v>
      </c>
      <c r="AQ224" s="98">
        <f t="shared" si="165"/>
        <v>-4.1708612196183195</v>
      </c>
      <c r="AR224" s="169">
        <f t="shared" si="166"/>
        <v>126.02976821444207</v>
      </c>
      <c r="AS224" s="168" t="str">
        <f t="shared" si="167"/>
        <v>2.45398495061694+3.77888112188552i</v>
      </c>
      <c r="AT224" s="190">
        <f t="shared" si="168"/>
        <v>13.075384955298539</v>
      </c>
      <c r="AU224" s="169">
        <f t="shared" si="169"/>
        <v>57.00052409844362</v>
      </c>
      <c r="AV224" s="225"/>
      <c r="AX224">
        <f t="shared" si="170"/>
        <v>0</v>
      </c>
      <c r="AY224">
        <f t="shared" si="171"/>
        <v>0</v>
      </c>
    </row>
    <row r="225" spans="14:51" x14ac:dyDescent="0.25">
      <c r="N225" s="170">
        <v>7</v>
      </c>
      <c r="O225" s="199">
        <f t="shared" si="172"/>
        <v>1174.8975549395295</v>
      </c>
      <c r="P225" s="189" t="str">
        <f t="shared" si="138"/>
        <v>18.0065359477124</v>
      </c>
      <c r="Q225" s="160" t="str">
        <f t="shared" si="139"/>
        <v>1+2.31595264459208i</v>
      </c>
      <c r="R225" s="160">
        <f t="shared" si="147"/>
        <v>2.5226249527016593</v>
      </c>
      <c r="S225" s="160">
        <f t="shared" si="148"/>
        <v>1.1631904640015229</v>
      </c>
      <c r="T225" s="160" t="str">
        <f t="shared" si="140"/>
        <v>1+0.00295283962185491i</v>
      </c>
      <c r="U225" s="160">
        <f t="shared" si="149"/>
        <v>1.000004359621413</v>
      </c>
      <c r="V225" s="160">
        <f t="shared" si="150"/>
        <v>2.9528310397058709E-3</v>
      </c>
      <c r="W225" s="98" t="str">
        <f t="shared" si="141"/>
        <v>1-0.0417160168184487i</v>
      </c>
      <c r="X225" s="160">
        <f t="shared" si="151"/>
        <v>1.0008697348102784</v>
      </c>
      <c r="Y225" s="160">
        <f t="shared" si="152"/>
        <v>-4.169184362034644E-2</v>
      </c>
      <c r="Z225" s="98" t="str">
        <f t="shared" si="142"/>
        <v>0.999983299698878+0.0124691275852499i</v>
      </c>
      <c r="AA225" s="160">
        <f t="shared" si="153"/>
        <v>1.0000610375469057</v>
      </c>
      <c r="AB225" s="160">
        <f t="shared" si="154"/>
        <v>1.2468689625062835E-2</v>
      </c>
      <c r="AC225" s="171" t="str">
        <f t="shared" si="155"/>
        <v>2.49248554782481-6.69489822651303i</v>
      </c>
      <c r="AD225" s="190">
        <f t="shared" si="156"/>
        <v>17.078608557250931</v>
      </c>
      <c r="AE225" s="169">
        <f t="shared" si="157"/>
        <v>-69.579889572100726</v>
      </c>
      <c r="AF225" s="98" t="str">
        <f t="shared" si="143"/>
        <v>-0.0000816326530612245</v>
      </c>
      <c r="AG225" s="98" t="str">
        <f t="shared" si="144"/>
        <v>0.000173479327783976i</v>
      </c>
      <c r="AH225" s="98">
        <f t="shared" si="158"/>
        <v>1.73479327783976E-4</v>
      </c>
      <c r="AI225" s="98">
        <f t="shared" si="159"/>
        <v>1.5707963267948966</v>
      </c>
      <c r="AJ225" s="98" t="str">
        <f t="shared" si="145"/>
        <v>1+0.0528683945061893i</v>
      </c>
      <c r="AK225" s="98">
        <f t="shared" si="160"/>
        <v>1.001396558381175</v>
      </c>
      <c r="AL225" s="98">
        <f t="shared" si="161"/>
        <v>5.2819220043403635E-2</v>
      </c>
      <c r="AM225" s="98" t="str">
        <f t="shared" si="146"/>
        <v>1+0.828271513930302i</v>
      </c>
      <c r="AN225" s="98">
        <f t="shared" si="162"/>
        <v>1.2984736041939375</v>
      </c>
      <c r="AO225" s="98">
        <f t="shared" si="163"/>
        <v>0.69174352668556116</v>
      </c>
      <c r="AP225" s="168" t="str">
        <f t="shared" si="164"/>
        <v>-0.363857671182802+0.48979784240553i</v>
      </c>
      <c r="AQ225" s="98">
        <f t="shared" si="165"/>
        <v>-4.2911357646565857</v>
      </c>
      <c r="AR225" s="169">
        <f t="shared" si="166"/>
        <v>126.60766619891804</v>
      </c>
      <c r="AS225" s="168" t="str">
        <f t="shared" si="167"/>
        <v>2.37223671958237+3.65680412105646i</v>
      </c>
      <c r="AT225" s="190">
        <f t="shared" si="168"/>
        <v>12.78747279259435</v>
      </c>
      <c r="AU225" s="169">
        <f t="shared" si="169"/>
        <v>57.027776626817278</v>
      </c>
      <c r="AV225" s="225"/>
      <c r="AX225">
        <f t="shared" si="170"/>
        <v>0</v>
      </c>
      <c r="AY225">
        <f t="shared" si="171"/>
        <v>0</v>
      </c>
    </row>
    <row r="226" spans="14:51" x14ac:dyDescent="0.25">
      <c r="N226" s="170">
        <v>8</v>
      </c>
      <c r="O226" s="199">
        <f t="shared" si="172"/>
        <v>1202.2644346174138</v>
      </c>
      <c r="P226" s="189" t="str">
        <f t="shared" si="138"/>
        <v>18.0065359477124</v>
      </c>
      <c r="Q226" s="160" t="str">
        <f t="shared" si="139"/>
        <v>1+2.36989811166516i</v>
      </c>
      <c r="R226" s="160">
        <f t="shared" si="147"/>
        <v>2.572239697165505</v>
      </c>
      <c r="S226" s="160">
        <f t="shared" si="148"/>
        <v>1.1715041924872844</v>
      </c>
      <c r="T226" s="160" t="str">
        <f t="shared" si="140"/>
        <v>1+0.00302162009237308i</v>
      </c>
      <c r="U226" s="160">
        <f t="shared" si="149"/>
        <v>1.0000045650835714</v>
      </c>
      <c r="V226" s="160">
        <f t="shared" si="150"/>
        <v>3.0216108964369712E-3</v>
      </c>
      <c r="W226" s="98" t="str">
        <f t="shared" si="141"/>
        <v>1-0.0426877076761847i</v>
      </c>
      <c r="X226" s="160">
        <f t="shared" si="151"/>
        <v>1.0009107055010689</v>
      </c>
      <c r="Y226" s="160">
        <f t="shared" si="152"/>
        <v>-4.2661806900442807E-2</v>
      </c>
      <c r="Z226" s="98" t="str">
        <f t="shared" si="142"/>
        <v>0.999982512637934+0.0127595708778409i</v>
      </c>
      <c r="AA226" s="160">
        <f t="shared" si="153"/>
        <v>1.0000639140728269</v>
      </c>
      <c r="AB226" s="160">
        <f t="shared" si="154"/>
        <v>1.2759101596630228E-2</v>
      </c>
      <c r="AC226" s="171" t="str">
        <f t="shared" si="155"/>
        <v>2.38198109033759-6.58895347566185i</v>
      </c>
      <c r="AD226" s="190">
        <f t="shared" si="156"/>
        <v>16.909765926425855</v>
      </c>
      <c r="AE226" s="169">
        <f t="shared" si="157"/>
        <v>-70.124504513369388</v>
      </c>
      <c r="AF226" s="98" t="str">
        <f t="shared" si="143"/>
        <v>-0.0000816326530612245</v>
      </c>
      <c r="AG226" s="98" t="str">
        <f t="shared" si="144"/>
        <v>0.000177520180426919i</v>
      </c>
      <c r="AH226" s="98">
        <f t="shared" si="158"/>
        <v>1.7752018042691901E-4</v>
      </c>
      <c r="AI226" s="98">
        <f t="shared" si="159"/>
        <v>1.5707963267948966</v>
      </c>
      <c r="AJ226" s="98" t="str">
        <f t="shared" si="145"/>
        <v>1+0.0540998576113179i</v>
      </c>
      <c r="AK226" s="98">
        <f t="shared" si="160"/>
        <v>1.0014623280950536</v>
      </c>
      <c r="AL226" s="98">
        <f t="shared" si="161"/>
        <v>5.4047170379649144E-2</v>
      </c>
      <c r="AM226" s="98" t="str">
        <f t="shared" si="146"/>
        <v>1+0.84756443591065i</v>
      </c>
      <c r="AN226" s="98">
        <f t="shared" si="162"/>
        <v>1.310864399173514</v>
      </c>
      <c r="AO226" s="98">
        <f t="shared" si="163"/>
        <v>0.70307839328370469</v>
      </c>
      <c r="AP226" s="168" t="str">
        <f t="shared" si="164"/>
        <v>-0.363809881009487+0.479532052011599i</v>
      </c>
      <c r="AQ226" s="98">
        <f t="shared" si="165"/>
        <v>-4.4092133505021707</v>
      </c>
      <c r="AR226" s="169">
        <f t="shared" si="166"/>
        <v>127.18674984461698</v>
      </c>
      <c r="AS226" s="168" t="str">
        <f t="shared" si="167"/>
        <v>2.29302612375052+3.53936266005999i</v>
      </c>
      <c r="AT226" s="190">
        <f t="shared" si="168"/>
        <v>12.500552575923683</v>
      </c>
      <c r="AU226" s="169">
        <f t="shared" si="169"/>
        <v>57.062245331247539</v>
      </c>
      <c r="AV226" s="225"/>
      <c r="AX226">
        <f t="shared" si="170"/>
        <v>0</v>
      </c>
      <c r="AY226">
        <f t="shared" si="171"/>
        <v>0</v>
      </c>
    </row>
    <row r="227" spans="14:51" x14ac:dyDescent="0.25">
      <c r="N227" s="170">
        <v>9</v>
      </c>
      <c r="O227" s="199">
        <f t="shared" si="172"/>
        <v>1230.2687708123824</v>
      </c>
      <c r="P227" s="189" t="str">
        <f t="shared" si="138"/>
        <v>18.0065359477124</v>
      </c>
      <c r="Q227" s="160" t="str">
        <f t="shared" si="139"/>
        <v>1+2.42510013008635i</v>
      </c>
      <c r="R227" s="160">
        <f t="shared" si="147"/>
        <v>2.6231871151225246</v>
      </c>
      <c r="S227" s="160">
        <f t="shared" si="148"/>
        <v>1.1796854317819621</v>
      </c>
      <c r="T227" s="160" t="str">
        <f t="shared" si="140"/>
        <v>1+0.0030920026658601i</v>
      </c>
      <c r="U227" s="160">
        <f t="shared" si="149"/>
        <v>1.0000047802288177</v>
      </c>
      <c r="V227" s="160">
        <f t="shared" si="150"/>
        <v>3.0919928122395738E-3</v>
      </c>
      <c r="W227" s="98" t="str">
        <f t="shared" si="141"/>
        <v>1-0.0436820321215692i</v>
      </c>
      <c r="X227" s="160">
        <f t="shared" si="151"/>
        <v>1.0009536052836163</v>
      </c>
      <c r="Y227" s="160">
        <f t="shared" si="152"/>
        <v>-4.3654280368156349E-2</v>
      </c>
      <c r="Z227" s="98" t="str">
        <f t="shared" si="142"/>
        <v>0.999981688483951+0.0130567794638042i</v>
      </c>
      <c r="AA227" s="160">
        <f t="shared" si="153"/>
        <v>1.0000669261570347</v>
      </c>
      <c r="AB227" s="160">
        <f t="shared" si="154"/>
        <v>1.3056276621705417E-2</v>
      </c>
      <c r="AC227" s="171" t="str">
        <f t="shared" si="155"/>
        <v>2.27497068740338-6.48291398448978i</v>
      </c>
      <c r="AD227" s="190">
        <f t="shared" si="156"/>
        <v>16.739757228568113</v>
      </c>
      <c r="AE227" s="169">
        <f t="shared" si="157"/>
        <v>-70.663113825103679</v>
      </c>
      <c r="AF227" s="98" t="str">
        <f t="shared" si="143"/>
        <v>-0.0000816326530612245</v>
      </c>
      <c r="AG227" s="98" t="str">
        <f t="shared" si="144"/>
        <v>0.000181655156619281i</v>
      </c>
      <c r="AH227" s="98">
        <f t="shared" si="158"/>
        <v>1.8165515661928099E-4</v>
      </c>
      <c r="AI227" s="98">
        <f t="shared" si="159"/>
        <v>1.5707963267948966</v>
      </c>
      <c r="AJ227" s="98" t="str">
        <f t="shared" si="145"/>
        <v>1+0.0553600051770482i</v>
      </c>
      <c r="AK227" s="98">
        <f t="shared" si="160"/>
        <v>1.0015311928108892</v>
      </c>
      <c r="AL227" s="98">
        <f t="shared" si="161"/>
        <v>5.5303554451740372E-2</v>
      </c>
      <c r="AM227" s="98" t="str">
        <f t="shared" si="146"/>
        <v>1+0.867306747773758i</v>
      </c>
      <c r="AN227" s="98">
        <f t="shared" si="162"/>
        <v>1.323714846458214</v>
      </c>
      <c r="AO227" s="98">
        <f t="shared" si="163"/>
        <v>0.71445611138726417</v>
      </c>
      <c r="AP227" s="168" t="str">
        <f t="shared" si="164"/>
        <v>-0.363759852008063+0.469520272842963i</v>
      </c>
      <c r="AQ227" s="98">
        <f t="shared" si="165"/>
        <v>-4.525077189981225</v>
      </c>
      <c r="AR227" s="169">
        <f t="shared" si="166"/>
        <v>127.76665956766223</v>
      </c>
      <c r="AS227" s="168" t="str">
        <f t="shared" si="167"/>
        <v>2.21631654224257+3.42636868943838i</v>
      </c>
      <c r="AT227" s="190">
        <f t="shared" si="168"/>
        <v>12.214680038586888</v>
      </c>
      <c r="AU227" s="169">
        <f t="shared" si="169"/>
        <v>57.103545742558495</v>
      </c>
      <c r="AV227" s="225"/>
      <c r="AX227">
        <f t="shared" si="170"/>
        <v>0</v>
      </c>
      <c r="AY227">
        <f t="shared" si="171"/>
        <v>0</v>
      </c>
    </row>
    <row r="228" spans="14:51" x14ac:dyDescent="0.25">
      <c r="N228" s="170">
        <v>10</v>
      </c>
      <c r="O228" s="199">
        <f t="shared" si="172"/>
        <v>1258.925411794168</v>
      </c>
      <c r="P228" s="189" t="str">
        <f t="shared" si="138"/>
        <v>18.0065359477124</v>
      </c>
      <c r="Q228" s="160" t="str">
        <f t="shared" si="139"/>
        <v>1+2.48158796869651i</v>
      </c>
      <c r="R228" s="160">
        <f t="shared" si="147"/>
        <v>2.6754960000678882</v>
      </c>
      <c r="S228" s="160">
        <f t="shared" si="148"/>
        <v>1.1877341378991275</v>
      </c>
      <c r="T228" s="160" t="str">
        <f t="shared" si="140"/>
        <v>1+0.00316402466008805i</v>
      </c>
      <c r="U228" s="160">
        <f t="shared" si="149"/>
        <v>1.0000050055134972</v>
      </c>
      <c r="V228" s="160">
        <f t="shared" si="150"/>
        <v>3.1640141017462839E-3</v>
      </c>
      <c r="W228" s="98" t="str">
        <f t="shared" si="141"/>
        <v>1-0.0446995173585845i</v>
      </c>
      <c r="X228" s="160">
        <f t="shared" si="151"/>
        <v>1.0009985249000573</v>
      </c>
      <c r="Y228" s="160">
        <f t="shared" si="152"/>
        <v>-4.4669782420882626E-2</v>
      </c>
      <c r="Z228" s="98" t="str">
        <f t="shared" si="142"/>
        <v>0.999980825488787+0.0133609109270661i</v>
      </c>
      <c r="AA228" s="160">
        <f t="shared" si="153"/>
        <v>1.0000700801874021</v>
      </c>
      <c r="AB228" s="160">
        <f t="shared" si="154"/>
        <v>1.3360372124044744E-2</v>
      </c>
      <c r="AC228" s="171" t="str">
        <f t="shared" si="155"/>
        <v>2.17139935273785-6.37689372340975i</v>
      </c>
      <c r="AD228" s="190">
        <f t="shared" si="156"/>
        <v>16.568620866411877</v>
      </c>
      <c r="AE228" s="169">
        <f t="shared" si="157"/>
        <v>-71.195751570795565</v>
      </c>
      <c r="AF228" s="98" t="str">
        <f t="shared" si="143"/>
        <v>-0.0000816326530612245</v>
      </c>
      <c r="AG228" s="98" t="str">
        <f t="shared" si="144"/>
        <v>0.000185886448780173i</v>
      </c>
      <c r="AH228" s="98">
        <f t="shared" si="158"/>
        <v>1.8588644878017301E-4</v>
      </c>
      <c r="AI228" s="98">
        <f t="shared" si="159"/>
        <v>1.5707963267948966</v>
      </c>
      <c r="AJ228" s="98" t="str">
        <f t="shared" si="145"/>
        <v>1+0.0566495053502997i</v>
      </c>
      <c r="AK228" s="98">
        <f t="shared" si="160"/>
        <v>1.001603297946065</v>
      </c>
      <c r="AL228" s="98">
        <f t="shared" si="161"/>
        <v>5.6589022536525702E-2</v>
      </c>
      <c r="AM228" s="98" t="str">
        <f t="shared" si="146"/>
        <v>1+0.887508917154699i</v>
      </c>
      <c r="AN228" s="98">
        <f t="shared" si="162"/>
        <v>1.3370385476975248</v>
      </c>
      <c r="AO228" s="98">
        <f t="shared" si="163"/>
        <v>0.7258709314821008</v>
      </c>
      <c r="AP228" s="168" t="str">
        <f t="shared" si="164"/>
        <v>-0.363707479957678+0.459757179248927i</v>
      </c>
      <c r="AQ228" s="98">
        <f t="shared" si="165"/>
        <v>-4.6387127349838888</v>
      </c>
      <c r="AR228" s="169">
        <f t="shared" si="166"/>
        <v>128.34702868704053</v>
      </c>
      <c r="AS228" s="168" t="str">
        <f t="shared" si="167"/>
        <v>2.14206848407904+3.31764038753699i</v>
      </c>
      <c r="AT228" s="190">
        <f t="shared" si="168"/>
        <v>11.929908131427982</v>
      </c>
      <c r="AU228" s="169">
        <f t="shared" si="169"/>
        <v>57.151277116244913</v>
      </c>
      <c r="AV228" s="225"/>
      <c r="AX228">
        <f t="shared" si="170"/>
        <v>0</v>
      </c>
      <c r="AY228">
        <f t="shared" si="171"/>
        <v>0</v>
      </c>
    </row>
    <row r="229" spans="14:51" x14ac:dyDescent="0.25">
      <c r="N229" s="170">
        <v>11</v>
      </c>
      <c r="O229" s="199">
        <f t="shared" si="172"/>
        <v>1288.2495516931347</v>
      </c>
      <c r="P229" s="189" t="str">
        <f t="shared" si="138"/>
        <v>18.0065359477124</v>
      </c>
      <c r="Q229" s="160" t="str">
        <f t="shared" si="139"/>
        <v>1+2.53939157809537i</v>
      </c>
      <c r="R229" s="160">
        <f t="shared" si="147"/>
        <v>2.7291957765799237</v>
      </c>
      <c r="S229" s="160">
        <f t="shared" si="148"/>
        <v>1.1956504060557747</v>
      </c>
      <c r="T229" s="160" t="str">
        <f t="shared" si="140"/>
        <v>1+0.0032377242620716i</v>
      </c>
      <c r="U229" s="160">
        <f t="shared" si="149"/>
        <v>1.0000052414154623</v>
      </c>
      <c r="V229" s="160">
        <f t="shared" si="150"/>
        <v>3.237712948607769E-3</v>
      </c>
      <c r="W229" s="98" t="str">
        <f t="shared" si="141"/>
        <v>1-0.0457407028713714i</v>
      </c>
      <c r="X229" s="160">
        <f t="shared" si="151"/>
        <v>1.0010455593524039</v>
      </c>
      <c r="Y229" s="160">
        <f t="shared" si="152"/>
        <v>-4.5708843108635454E-2</v>
      </c>
      <c r="Z229" s="98" t="str">
        <f t="shared" si="142"/>
        <v>0.999979921821914+0.0136721265221541i</v>
      </c>
      <c r="AA229" s="160">
        <f t="shared" si="153"/>
        <v>1.0000733828527781</v>
      </c>
      <c r="AB229" s="160">
        <f t="shared" si="154"/>
        <v>1.3671549186553377E-2</v>
      </c>
      <c r="AC229" s="171" t="str">
        <f t="shared" si="155"/>
        <v>2.07120852052286-6.27100117323908i</v>
      </c>
      <c r="AD229" s="190">
        <f t="shared" si="156"/>
        <v>16.396394659648628</v>
      </c>
      <c r="AE229" s="169">
        <f t="shared" si="157"/>
        <v>-71.722460617214452</v>
      </c>
      <c r="AF229" s="98" t="str">
        <f t="shared" si="143"/>
        <v>-0.0000816326530612245</v>
      </c>
      <c r="AG229" s="98" t="str">
        <f t="shared" si="144"/>
        <v>0.000190216300396706i</v>
      </c>
      <c r="AH229" s="98">
        <f t="shared" si="158"/>
        <v>1.9021630039670599E-4</v>
      </c>
      <c r="AI229" s="98">
        <f t="shared" si="159"/>
        <v>1.5707963267948966</v>
      </c>
      <c r="AJ229" s="98" t="str">
        <f t="shared" si="145"/>
        <v>1+0.0579690418411327i</v>
      </c>
      <c r="AK229" s="98">
        <f t="shared" si="160"/>
        <v>1.0016787957284405</v>
      </c>
      <c r="AL229" s="98">
        <f t="shared" si="161"/>
        <v>5.7904239203426987E-2</v>
      </c>
      <c r="AM229" s="98" t="str">
        <f t="shared" si="146"/>
        <v>1+0.908181655511083i</v>
      </c>
      <c r="AN229" s="98">
        <f t="shared" si="162"/>
        <v>1.3508493326077677</v>
      </c>
      <c r="AO229" s="98">
        <f t="shared" si="163"/>
        <v>0.737317008137785</v>
      </c>
      <c r="AP229" s="168" t="str">
        <f t="shared" si="164"/>
        <v>-0.363652655849443+0.450237576212892i</v>
      </c>
      <c r="AQ229" s="98">
        <f t="shared" si="165"/>
        <v>-4.7501077436372077</v>
      </c>
      <c r="AR229" s="169">
        <f t="shared" si="166"/>
        <v>128.92748420723566</v>
      </c>
      <c r="AS229" s="168" t="str">
        <f t="shared" si="167"/>
        <v>2.07023988936123+3.21300213559507i</v>
      </c>
      <c r="AT229" s="190">
        <f t="shared" si="168"/>
        <v>11.646286916011428</v>
      </c>
      <c r="AU229" s="169">
        <f t="shared" si="169"/>
        <v>57.205023590021298</v>
      </c>
      <c r="AV229" s="225"/>
      <c r="AX229">
        <f t="shared" si="170"/>
        <v>0</v>
      </c>
      <c r="AY229">
        <f t="shared" si="171"/>
        <v>0</v>
      </c>
    </row>
    <row r="230" spans="14:51" x14ac:dyDescent="0.25">
      <c r="N230" s="170">
        <v>12</v>
      </c>
      <c r="O230" s="199">
        <f t="shared" si="172"/>
        <v>1318.2567385564089</v>
      </c>
      <c r="P230" s="189" t="str">
        <f t="shared" si="138"/>
        <v>18.0065359477124</v>
      </c>
      <c r="Q230" s="160" t="str">
        <f t="shared" si="139"/>
        <v>1+2.59854160652176i</v>
      </c>
      <c r="R230" s="160">
        <f t="shared" si="147"/>
        <v>2.7843165195115098</v>
      </c>
      <c r="S230" s="160">
        <f t="shared" si="148"/>
        <v>1.2034344637969829</v>
      </c>
      <c r="T230" s="160" t="str">
        <f t="shared" si="140"/>
        <v>1+0.00331314054831524i</v>
      </c>
      <c r="U230" s="160">
        <f t="shared" si="149"/>
        <v>1.0000054884350851</v>
      </c>
      <c r="V230" s="160">
        <f t="shared" si="150"/>
        <v>3.3131284257239295E-3</v>
      </c>
      <c r="W230" s="98" t="str">
        <f t="shared" si="141"/>
        <v>1-0.0468061407102706i</v>
      </c>
      <c r="X230" s="160">
        <f t="shared" si="151"/>
        <v>1.001094808101705</v>
      </c>
      <c r="Y230" s="160">
        <f t="shared" si="152"/>
        <v>-4.6772004375486766E-2</v>
      </c>
      <c r="Z230" s="98" t="str">
        <f t="shared" si="142"/>
        <v>0.999978975566533+0.0139905912596961i</v>
      </c>
      <c r="AA230" s="160">
        <f t="shared" si="153"/>
        <v>1.0000768411571626</v>
      </c>
      <c r="AB230" s="160">
        <f t="shared" si="154"/>
        <v>1.3989972635965809E-2</v>
      </c>
      <c r="AC230" s="171" t="str">
        <f t="shared" si="155"/>
        <v>1.97433645226136-6.16533931456652i</v>
      </c>
      <c r="AD230" s="190">
        <f t="shared" si="156"/>
        <v>16.223115809842625</v>
      </c>
      <c r="AE230" s="169">
        <f t="shared" si="157"/>
        <v>-72.243292258004743</v>
      </c>
      <c r="AF230" s="98" t="str">
        <f t="shared" si="143"/>
        <v>-0.0000816326530612245</v>
      </c>
      <c r="AG230" s="98" t="str">
        <f t="shared" si="144"/>
        <v>0.000194647007213521i</v>
      </c>
      <c r="AH230" s="98">
        <f t="shared" si="158"/>
        <v>1.9464700721352101E-4</v>
      </c>
      <c r="AI230" s="98">
        <f t="shared" si="159"/>
        <v>1.5707963267948966</v>
      </c>
      <c r="AJ230" s="98" t="str">
        <f t="shared" si="145"/>
        <v>1+0.059319314285261i</v>
      </c>
      <c r="AK230" s="98">
        <f t="shared" si="160"/>
        <v>1.0017578455132126</v>
      </c>
      <c r="AL230" s="98">
        <f t="shared" si="161"/>
        <v>5.9249883586991098E-2</v>
      </c>
      <c r="AM230" s="98" t="str">
        <f t="shared" si="146"/>
        <v>1+0.929335923802426i</v>
      </c>
      <c r="AN230" s="98">
        <f t="shared" si="162"/>
        <v>1.3651612576064809</v>
      </c>
      <c r="AO230" s="98">
        <f t="shared" si="163"/>
        <v>0.74878841453492906</v>
      </c>
      <c r="AP230" s="168" t="str">
        <f t="shared" si="164"/>
        <v>-0.363595265672584+0.440956396512036i</v>
      </c>
      <c r="AQ230" s="98">
        <f t="shared" si="165"/>
        <v>-4.8592523389527607</v>
      </c>
      <c r="AR230" s="169">
        <f t="shared" si="166"/>
        <v>129.50764763496775</v>
      </c>
      <c r="AS230" s="168" t="str">
        <f t="shared" si="167"/>
        <v>2.0007864205382+3.11228447353297i</v>
      </c>
      <c r="AT230" s="190">
        <f t="shared" si="168"/>
        <v>11.363863470889864</v>
      </c>
      <c r="AU230" s="169">
        <f t="shared" si="169"/>
        <v>57.264355376963074</v>
      </c>
      <c r="AV230" s="225"/>
      <c r="AX230">
        <f t="shared" si="170"/>
        <v>0</v>
      </c>
      <c r="AY230">
        <f t="shared" si="171"/>
        <v>0</v>
      </c>
    </row>
    <row r="231" spans="14:51" x14ac:dyDescent="0.25">
      <c r="N231" s="170">
        <v>13</v>
      </c>
      <c r="O231" s="199">
        <f t="shared" si="172"/>
        <v>1348.9628825916541</v>
      </c>
      <c r="P231" s="189" t="str">
        <f t="shared" si="138"/>
        <v>18.0065359477124</v>
      </c>
      <c r="Q231" s="160" t="str">
        <f t="shared" si="139"/>
        <v>1+2.65906941610369i</v>
      </c>
      <c r="R231" s="160">
        <f t="shared" si="147"/>
        <v>2.8408889734831275</v>
      </c>
      <c r="S231" s="160">
        <f t="shared" si="148"/>
        <v>1.2110866641239935</v>
      </c>
      <c r="T231" s="160" t="str">
        <f t="shared" si="140"/>
        <v>1+0.0033903135055322i</v>
      </c>
      <c r="U231" s="160">
        <f t="shared" si="149"/>
        <v>1.0000057470963184</v>
      </c>
      <c r="V231" s="160">
        <f t="shared" si="150"/>
        <v>3.3903005159456132E-3</v>
      </c>
      <c r="W231" s="98" t="str">
        <f t="shared" si="141"/>
        <v>1-0.0478963957845268i</v>
      </c>
      <c r="X231" s="160">
        <f t="shared" si="151"/>
        <v>1.0011463752764369</v>
      </c>
      <c r="Y231" s="160">
        <f t="shared" si="152"/>
        <v>-4.7859820304513467E-2</v>
      </c>
      <c r="Z231" s="98" t="str">
        <f t="shared" si="142"/>
        <v>0.99997798471551+0.0143164739939114i</v>
      </c>
      <c r="AA231" s="160">
        <f t="shared" si="153"/>
        <v>1.0000804624345538</v>
      </c>
      <c r="AB231" s="160">
        <f t="shared" si="154"/>
        <v>1.4315811129459618E-2</v>
      </c>
      <c r="AC231" s="171" t="str">
        <f t="shared" si="155"/>
        <v>1.88071862832656-6.06000564340776i</v>
      </c>
      <c r="AD231" s="190">
        <f t="shared" si="156"/>
        <v>16.048820869757559</v>
      </c>
      <c r="AE231" s="169">
        <f t="shared" si="157"/>
        <v>-72.758305837765661</v>
      </c>
      <c r="AF231" s="98" t="str">
        <f t="shared" si="143"/>
        <v>-0.0000816326530612245</v>
      </c>
      <c r="AG231" s="98" t="str">
        <f t="shared" si="144"/>
        <v>0.000199180918450017i</v>
      </c>
      <c r="AH231" s="98">
        <f t="shared" si="158"/>
        <v>1.99180918450017E-4</v>
      </c>
      <c r="AI231" s="98">
        <f t="shared" si="159"/>
        <v>1.5707963267948966</v>
      </c>
      <c r="AJ231" s="98" t="str">
        <f t="shared" si="145"/>
        <v>1+0.0607010386150072i</v>
      </c>
      <c r="AK231" s="98">
        <f t="shared" si="160"/>
        <v>1.0018406141143115</v>
      </c>
      <c r="AL231" s="98">
        <f t="shared" si="161"/>
        <v>6.062664966156011E-2</v>
      </c>
      <c r="AM231" s="98" t="str">
        <f t="shared" si="146"/>
        <v>1+0.950982938301782i</v>
      </c>
      <c r="AN231" s="98">
        <f t="shared" si="162"/>
        <v>1.3799886046417524</v>
      </c>
      <c r="AO231" s="98">
        <f t="shared" si="163"/>
        <v>0.76027915750498554</v>
      </c>
      <c r="AP231" s="168" t="str">
        <f t="shared" si="164"/>
        <v>-0.363535190191635+0.431908697938836i</v>
      </c>
      <c r="AQ231" s="98">
        <f t="shared" si="165"/>
        <v>-4.9661390584672604</v>
      </c>
      <c r="AR231" s="169">
        <f t="shared" si="166"/>
        <v>130.087135825172</v>
      </c>
      <c r="AS231" s="168" t="str">
        <f t="shared" si="167"/>
        <v>1.9336617427006+3.01532403808846i</v>
      </c>
      <c r="AT231" s="190">
        <f t="shared" si="168"/>
        <v>11.082681811290303</v>
      </c>
      <c r="AU231" s="169">
        <f t="shared" si="169"/>
        <v>57.328829987406316</v>
      </c>
      <c r="AV231" s="225"/>
      <c r="AX231">
        <f t="shared" si="170"/>
        <v>0</v>
      </c>
      <c r="AY231">
        <f t="shared" si="171"/>
        <v>0</v>
      </c>
    </row>
    <row r="232" spans="14:51" x14ac:dyDescent="0.25">
      <c r="N232" s="170">
        <v>14</v>
      </c>
      <c r="O232" s="199">
        <f t="shared" si="172"/>
        <v>1380.3842646028863</v>
      </c>
      <c r="P232" s="189" t="str">
        <f t="shared" si="138"/>
        <v>18.0065359477124</v>
      </c>
      <c r="Q232" s="160" t="str">
        <f t="shared" si="139"/>
        <v>1+2.72100709948698i</v>
      </c>
      <c r="R232" s="160">
        <f t="shared" si="147"/>
        <v>2.8989445726778822</v>
      </c>
      <c r="S232" s="160">
        <f t="shared" si="148"/>
        <v>1.2186074786571295</v>
      </c>
      <c r="T232" s="160" t="str">
        <f t="shared" si="140"/>
        <v>1+0.0034692840518459i</v>
      </c>
      <c r="U232" s="160">
        <f t="shared" si="149"/>
        <v>1.0000060179478083</v>
      </c>
      <c r="V232" s="160">
        <f t="shared" si="150"/>
        <v>3.4692701332576284E-3</v>
      </c>
      <c r="W232" s="98" t="str">
        <f t="shared" si="141"/>
        <v>1-0.0490120461618117i</v>
      </c>
      <c r="X232" s="160">
        <f t="shared" si="151"/>
        <v>1.0012003698905467</v>
      </c>
      <c r="Y232" s="160">
        <f t="shared" si="152"/>
        <v>-4.8972857366185674E-2</v>
      </c>
      <c r="Z232" s="98" t="str">
        <f t="shared" si="142"/>
        <v>0.999976947167117+0.0146499475121392i</v>
      </c>
      <c r="AA232" s="160">
        <f t="shared" si="153"/>
        <v>1.0000842543644888</v>
      </c>
      <c r="AB232" s="160">
        <f t="shared" si="154"/>
        <v>1.4649237243244064E-2</v>
      </c>
      <c r="AC232" s="171" t="str">
        <f t="shared" si="155"/>
        <v>1.79028812300121-5.95509221080644i</v>
      </c>
      <c r="AD232" s="190">
        <f t="shared" si="156"/>
        <v>15.873545716924475</v>
      </c>
      <c r="AE232" s="169">
        <f t="shared" si="157"/>
        <v>-73.267568378407987</v>
      </c>
      <c r="AF232" s="98" t="str">
        <f t="shared" si="143"/>
        <v>-0.0000816326530612245</v>
      </c>
      <c r="AG232" s="98" t="str">
        <f t="shared" si="144"/>
        <v>0.000203820438045947i</v>
      </c>
      <c r="AH232" s="98">
        <f t="shared" si="158"/>
        <v>2.0382043804594699E-4</v>
      </c>
      <c r="AI232" s="98">
        <f t="shared" si="159"/>
        <v>1.5707963267948966</v>
      </c>
      <c r="AJ232" s="98" t="str">
        <f t="shared" si="145"/>
        <v>1+0.0621149474389003i</v>
      </c>
      <c r="AK232" s="98">
        <f t="shared" si="160"/>
        <v>1.0019272761509876</v>
      </c>
      <c r="AL232" s="98">
        <f t="shared" si="161"/>
        <v>6.2035246517820997E-2</v>
      </c>
      <c r="AM232" s="98" t="str">
        <f t="shared" si="146"/>
        <v>1+0.973134176542775i</v>
      </c>
      <c r="AN232" s="98">
        <f t="shared" si="162"/>
        <v>1.395345880258936</v>
      </c>
      <c r="AO232" s="98">
        <f t="shared" si="163"/>
        <v>0.771783192991502</v>
      </c>
      <c r="AP232" s="168" t="str">
        <f t="shared" si="164"/>
        <v>-0.363472304714354+0.423089660582489i</v>
      </c>
      <c r="AQ232" s="98">
        <f t="shared" si="165"/>
        <v>-5.0707628944707048</v>
      </c>
      <c r="AR232" s="169">
        <f t="shared" si="166"/>
        <v>130.66556185101894</v>
      </c>
      <c r="AS232" s="168" t="str">
        <f t="shared" si="167"/>
        <v>1.86881779203754+2.92196348495376i</v>
      </c>
      <c r="AT232" s="190">
        <f t="shared" si="168"/>
        <v>10.80278282245378</v>
      </c>
      <c r="AU232" s="169">
        <f t="shared" si="169"/>
        <v>57.397993472610942</v>
      </c>
      <c r="AV232" s="225"/>
      <c r="AX232">
        <f t="shared" si="170"/>
        <v>0</v>
      </c>
      <c r="AY232">
        <f t="shared" si="171"/>
        <v>0</v>
      </c>
    </row>
    <row r="233" spans="14:51" x14ac:dyDescent="0.25">
      <c r="N233" s="170">
        <v>15</v>
      </c>
      <c r="O233" s="199">
        <f t="shared" si="172"/>
        <v>1412.5375446227545</v>
      </c>
      <c r="P233" s="189" t="str">
        <f t="shared" si="138"/>
        <v>18.0065359477124</v>
      </c>
      <c r="Q233" s="160" t="str">
        <f t="shared" si="139"/>
        <v>1+2.78438749685121i</v>
      </c>
      <c r="R233" s="160">
        <f t="shared" si="147"/>
        <v>2.9585154609400548</v>
      </c>
      <c r="S233" s="160">
        <f t="shared" si="148"/>
        <v>1.2259974908620555</v>
      </c>
      <c r="T233" s="160" t="str">
        <f t="shared" si="140"/>
        <v>1+0.00355009405848529i</v>
      </c>
      <c r="U233" s="160">
        <f t="shared" si="149"/>
        <v>1.0000063015640572</v>
      </c>
      <c r="V233" s="160">
        <f t="shared" si="150"/>
        <v>3.5500791444543316E-3</v>
      </c>
      <c r="W233" s="98" t="str">
        <f t="shared" si="141"/>
        <v>1-0.0501536833747228i</v>
      </c>
      <c r="X233" s="160">
        <f t="shared" si="151"/>
        <v>1.0012569060715895</v>
      </c>
      <c r="Y233" s="160">
        <f t="shared" si="152"/>
        <v>-5.0111694670116259E-2</v>
      </c>
      <c r="Z233" s="98" t="str">
        <f t="shared" si="142"/>
        <v>0.999975860720575+0.0149911886264529i</v>
      </c>
      <c r="AA233" s="160">
        <f t="shared" si="153"/>
        <v>1.0000882249883201</v>
      </c>
      <c r="AB233" s="160">
        <f t="shared" si="154"/>
        <v>1.49904275631673E-2</v>
      </c>
      <c r="AC233" s="171" t="str">
        <f t="shared" si="155"/>
        <v>1.70297596205923-5.85068568406399i</v>
      </c>
      <c r="AD233" s="190">
        <f t="shared" si="156"/>
        <v>15.697325531268495</v>
      </c>
      <c r="AE233" s="169">
        <f t="shared" si="157"/>
        <v>-73.771154209421809</v>
      </c>
      <c r="AF233" s="98" t="str">
        <f t="shared" si="143"/>
        <v>-0.0000816326530612245</v>
      </c>
      <c r="AG233" s="98" t="str">
        <f t="shared" si="144"/>
        <v>0.000208568025936011i</v>
      </c>
      <c r="AH233" s="98">
        <f t="shared" si="158"/>
        <v>2.08568025936011E-4</v>
      </c>
      <c r="AI233" s="98">
        <f t="shared" si="159"/>
        <v>1.5707963267948966</v>
      </c>
      <c r="AJ233" s="98" t="str">
        <f t="shared" si="145"/>
        <v>1+0.063561790430114i</v>
      </c>
      <c r="AK233" s="98">
        <f t="shared" si="160"/>
        <v>1.0020180144102608</v>
      </c>
      <c r="AL233" s="98">
        <f t="shared" si="161"/>
        <v>6.3476398640964229E-2</v>
      </c>
      <c r="AM233" s="98" t="str">
        <f t="shared" si="146"/>
        <v>1+0.995801383405123i</v>
      </c>
      <c r="AN233" s="98">
        <f t="shared" si="162"/>
        <v>1.4112478149466015</v>
      </c>
      <c r="AO233" s="98">
        <f t="shared" si="163"/>
        <v>0.78329444183681363</v>
      </c>
      <c r="AP233" s="168" t="str">
        <f t="shared" si="164"/>
        <v>-0.363406478850047+0.414494584168429i</v>
      </c>
      <c r="AQ233" s="98">
        <f t="shared" si="165"/>
        <v>-5.1731213244958916</v>
      </c>
      <c r="AR233" s="169">
        <f t="shared" si="166"/>
        <v>131.24253589248781</v>
      </c>
      <c r="AS233" s="168" t="str">
        <f t="shared" si="167"/>
        <v>1.80620503177807+2.83205139654664i</v>
      </c>
      <c r="AT233" s="190">
        <f t="shared" si="168"/>
        <v>10.524204206772598</v>
      </c>
      <c r="AU233" s="169">
        <f t="shared" si="169"/>
        <v>57.471381683065964</v>
      </c>
      <c r="AV233" s="225"/>
      <c r="AX233">
        <f t="shared" si="170"/>
        <v>0</v>
      </c>
      <c r="AY233">
        <f t="shared" si="171"/>
        <v>0</v>
      </c>
    </row>
    <row r="234" spans="14:51" x14ac:dyDescent="0.25">
      <c r="N234" s="170">
        <v>16</v>
      </c>
      <c r="O234" s="199">
        <f t="shared" si="172"/>
        <v>1445.4397707459289</v>
      </c>
      <c r="P234" s="189" t="str">
        <f t="shared" si="138"/>
        <v>18.0065359477124</v>
      </c>
      <c r="Q234" s="160" t="str">
        <f t="shared" si="139"/>
        <v>1+2.84924421332199i</v>
      </c>
      <c r="R234" s="160">
        <f t="shared" si="147"/>
        <v>3.0196345121800494</v>
      </c>
      <c r="S234" s="160">
        <f t="shared" si="148"/>
        <v>1.2332573893650074</v>
      </c>
      <c r="T234" s="160" t="str">
        <f t="shared" si="140"/>
        <v>1+0.00363278637198554i</v>
      </c>
      <c r="U234" s="160">
        <f t="shared" si="149"/>
        <v>1.0000065985466418</v>
      </c>
      <c r="V234" s="160">
        <f t="shared" si="150"/>
        <v>3.6327703913191442E-3</v>
      </c>
      <c r="W234" s="98" t="str">
        <f t="shared" si="141"/>
        <v>1-0.0513219127344216i</v>
      </c>
      <c r="X234" s="160">
        <f t="shared" si="151"/>
        <v>1.0013161032994125</v>
      </c>
      <c r="Y234" s="160">
        <f t="shared" si="152"/>
        <v>-5.1276924220082204E-2</v>
      </c>
      <c r="Z234" s="98" t="str">
        <f t="shared" si="142"/>
        <v>0.999974723071385+0.0153403782674082i</v>
      </c>
      <c r="AA234" s="160">
        <f t="shared" si="153"/>
        <v>1.000092382726256</v>
      </c>
      <c r="AB234" s="160">
        <f t="shared" si="154"/>
        <v>1.5339562777385426E-2</v>
      </c>
      <c r="AC234" s="171" t="str">
        <f t="shared" si="155"/>
        <v>1.61871146218235-5.74686742733128i</v>
      </c>
      <c r="AD234" s="190">
        <f t="shared" si="156"/>
        <v>15.520194776605436</v>
      </c>
      <c r="AE234" s="169">
        <f t="shared" si="157"/>
        <v>-74.269144603517347</v>
      </c>
      <c r="AF234" s="98" t="str">
        <f t="shared" si="143"/>
        <v>-0.0000816326530612245</v>
      </c>
      <c r="AG234" s="98" t="str">
        <f t="shared" si="144"/>
        <v>0.00021342619935415i</v>
      </c>
      <c r="AH234" s="98">
        <f t="shared" si="158"/>
        <v>2.1342619935415001E-4</v>
      </c>
      <c r="AI234" s="98">
        <f t="shared" si="159"/>
        <v>1.5707963267948966</v>
      </c>
      <c r="AJ234" s="98" t="str">
        <f t="shared" si="145"/>
        <v>1+0.0650423347239536i</v>
      </c>
      <c r="AK234" s="98">
        <f t="shared" si="160"/>
        <v>1.0021130202259338</v>
      </c>
      <c r="AL234" s="98">
        <f t="shared" si="161"/>
        <v>6.4950846190158881E-2</v>
      </c>
      <c r="AM234" s="98" t="str">
        <f t="shared" si="146"/>
        <v>1+1.01899657734194i</v>
      </c>
      <c r="AN234" s="98">
        <f t="shared" si="162"/>
        <v>1.4277093628027338</v>
      </c>
      <c r="AO234" s="98">
        <f t="shared" si="163"/>
        <v>0.79480680579435969</v>
      </c>
      <c r="AP234" s="168" t="str">
        <f t="shared" si="164"/>
        <v>-0.363337576257958+0.406118885454025i</v>
      </c>
      <c r="AQ234" s="98">
        <f t="shared" si="165"/>
        <v>-5.2732143318306948</v>
      </c>
      <c r="AR234" s="169">
        <f t="shared" si="166"/>
        <v>131.81766613779143</v>
      </c>
      <c r="AS234" s="168" t="str">
        <f t="shared" si="167"/>
        <v>1.74577269510951+2.7454421770155i</v>
      </c>
      <c r="AT234" s="190">
        <f t="shared" si="168"/>
        <v>10.246980444774731</v>
      </c>
      <c r="AU234" s="169">
        <f t="shared" si="169"/>
        <v>57.54852153427403</v>
      </c>
      <c r="AV234" s="225"/>
      <c r="AX234">
        <f t="shared" si="170"/>
        <v>0</v>
      </c>
      <c r="AY234">
        <f t="shared" si="171"/>
        <v>0</v>
      </c>
    </row>
    <row r="235" spans="14:51" x14ac:dyDescent="0.25">
      <c r="N235" s="170">
        <v>17</v>
      </c>
      <c r="O235" s="199">
        <f t="shared" si="172"/>
        <v>1479.1083881682086</v>
      </c>
      <c r="P235" s="189" t="str">
        <f t="shared" si="138"/>
        <v>18.0065359477124</v>
      </c>
      <c r="Q235" s="160" t="str">
        <f t="shared" si="139"/>
        <v>1+2.91561163678888i</v>
      </c>
      <c r="R235" s="160">
        <f t="shared" si="147"/>
        <v>3.0823353510899381</v>
      </c>
      <c r="S235" s="160">
        <f t="shared" si="148"/>
        <v>1.2403879613798425</v>
      </c>
      <c r="T235" s="160" t="str">
        <f t="shared" si="140"/>
        <v>1+0.00371740483690583i</v>
      </c>
      <c r="U235" s="160">
        <f t="shared" si="149"/>
        <v>1.00000690952549</v>
      </c>
      <c r="V235" s="160">
        <f t="shared" si="150"/>
        <v>3.7173877133196663E-3</v>
      </c>
      <c r="W235" s="98" t="str">
        <f t="shared" si="141"/>
        <v>1-0.052517353651578i</v>
      </c>
      <c r="X235" s="160">
        <f t="shared" si="151"/>
        <v>1.0013780866558668</v>
      </c>
      <c r="Y235" s="160">
        <f t="shared" si="152"/>
        <v>-5.246915117221352E-2</v>
      </c>
      <c r="Z235" s="98" t="str">
        <f t="shared" si="142"/>
        <v>0.99997353180644+0.0156977015799748i</v>
      </c>
      <c r="AA235" s="160">
        <f t="shared" si="153"/>
        <v>1.0000967363952045</v>
      </c>
      <c r="AB235" s="160">
        <f t="shared" si="154"/>
        <v>1.5696827771138042E-2</v>
      </c>
      <c r="AC235" s="171" t="str">
        <f t="shared" si="155"/>
        <v>1.53742255172333-5.64371359936045i</v>
      </c>
      <c r="AD235" s="190">
        <f t="shared" si="156"/>
        <v>15.342187185810355</v>
      </c>
      <c r="AE235" s="169">
        <f t="shared" si="157"/>
        <v>-74.761627418945807</v>
      </c>
      <c r="AF235" s="98" t="str">
        <f t="shared" si="143"/>
        <v>-0.0000816326530612245</v>
      </c>
      <c r="AG235" s="98" t="str">
        <f t="shared" si="144"/>
        <v>0.000218397534168217i</v>
      </c>
      <c r="AH235" s="98">
        <f t="shared" si="158"/>
        <v>2.1839753416821701E-4</v>
      </c>
      <c r="AI235" s="98">
        <f t="shared" si="159"/>
        <v>1.5707963267948966</v>
      </c>
      <c r="AJ235" s="98" t="str">
        <f t="shared" si="145"/>
        <v>1+0.0665573653246009i</v>
      </c>
      <c r="AK235" s="98">
        <f t="shared" si="160"/>
        <v>1.0022124938749029</v>
      </c>
      <c r="AL235" s="98">
        <f t="shared" si="161"/>
        <v>6.6459345279019186E-2</v>
      </c>
      <c r="AM235" s="98" t="str">
        <f t="shared" si="146"/>
        <v>1+1.04273205675208i</v>
      </c>
      <c r="AN235" s="98">
        <f t="shared" si="162"/>
        <v>1.4447457015608052</v>
      </c>
      <c r="AO235" s="98">
        <f t="shared" si="163"/>
        <v>0.80631418366406971</v>
      </c>
      <c r="AP235" s="168" t="str">
        <f t="shared" si="164"/>
        <v>-0.363265454385414+0.397958095678606i</v>
      </c>
      <c r="AQ235" s="98">
        <f t="shared" si="165"/>
        <v>-5.3710444159030573</v>
      </c>
      <c r="AR235" s="169">
        <f t="shared" si="166"/>
        <v>132.39055969179702</v>
      </c>
      <c r="AS235" s="168" t="str">
        <f t="shared" si="167"/>
        <v>1.68746901472278+2.66199593602997i</v>
      </c>
      <c r="AT235" s="190">
        <f t="shared" si="168"/>
        <v>9.9711427699072903</v>
      </c>
      <c r="AU235" s="169">
        <f t="shared" si="169"/>
        <v>57.628932272851166</v>
      </c>
      <c r="AV235" s="225"/>
      <c r="AX235">
        <f t="shared" si="170"/>
        <v>0</v>
      </c>
      <c r="AY235">
        <f t="shared" si="171"/>
        <v>0</v>
      </c>
    </row>
    <row r="236" spans="14:51" x14ac:dyDescent="0.25">
      <c r="N236" s="170">
        <v>18</v>
      </c>
      <c r="O236" s="199">
        <f t="shared" si="172"/>
        <v>1513.5612484362093</v>
      </c>
      <c r="P236" s="189" t="str">
        <f t="shared" si="138"/>
        <v>18.0065359477124</v>
      </c>
      <c r="Q236" s="160" t="str">
        <f t="shared" si="139"/>
        <v>1+2.98352495613828i</v>
      </c>
      <c r="R236" s="160">
        <f t="shared" si="147"/>
        <v>3.1466523741748031</v>
      </c>
      <c r="S236" s="160">
        <f t="shared" si="148"/>
        <v>1.2473900862670255</v>
      </c>
      <c r="T236" s="160" t="str">
        <f t="shared" si="140"/>
        <v>1+0.00380399431907631i</v>
      </c>
      <c r="U236" s="160">
        <f t="shared" si="149"/>
        <v>1.0000072351602161</v>
      </c>
      <c r="V236" s="160">
        <f t="shared" si="150"/>
        <v>3.8039759708303304E-3</v>
      </c>
      <c r="W236" s="98" t="str">
        <f t="shared" si="141"/>
        <v>1-0.0537406399647899i</v>
      </c>
      <c r="X236" s="160">
        <f t="shared" si="151"/>
        <v>1.0014429870860473</v>
      </c>
      <c r="Y236" s="160">
        <f t="shared" si="152"/>
        <v>-5.3688994096229327E-2</v>
      </c>
      <c r="Z236" s="98" t="str">
        <f t="shared" si="142"/>
        <v>0.999972284398908+0.0160633480217027i</v>
      </c>
      <c r="AA236" s="160">
        <f t="shared" si="153"/>
        <v>1.0001012952274566</v>
      </c>
      <c r="AB236" s="160">
        <f t="shared" si="154"/>
        <v>1.6062411723675757E-2</v>
      </c>
      <c r="AC236" s="171" t="str">
        <f t="shared" si="155"/>
        <v>1.45903607252886-5.54129526629903i</v>
      </c>
      <c r="AD236" s="190">
        <f t="shared" si="156"/>
        <v>15.163335749458094</v>
      </c>
      <c r="AE236" s="169">
        <f t="shared" si="157"/>
        <v>-75.248696749647294</v>
      </c>
      <c r="AF236" s="98" t="str">
        <f t="shared" si="143"/>
        <v>-0.0000816326530612245</v>
      </c>
      <c r="AG236" s="98" t="str">
        <f t="shared" si="144"/>
        <v>0.000223484666245733i</v>
      </c>
      <c r="AH236" s="98">
        <f t="shared" si="158"/>
        <v>2.2348466624573301E-4</v>
      </c>
      <c r="AI236" s="98">
        <f t="shared" si="159"/>
        <v>1.5707963267948966</v>
      </c>
      <c r="AJ236" s="98" t="str">
        <f t="shared" si="145"/>
        <v>1+0.0681076855213342i</v>
      </c>
      <c r="AK236" s="98">
        <f t="shared" si="160"/>
        <v>1.0023166449915279</v>
      </c>
      <c r="AL236" s="98">
        <f t="shared" si="161"/>
        <v>6.8002668256709309E-2</v>
      </c>
      <c r="AM236" s="98" t="str">
        <f t="shared" si="146"/>
        <v>1+1.06702040650091i</v>
      </c>
      <c r="AN236" s="98">
        <f t="shared" si="162"/>
        <v>1.4623722330136628</v>
      </c>
      <c r="AO236" s="98">
        <f t="shared" si="163"/>
        <v>0.81781048744681695</v>
      </c>
      <c r="AP236" s="168" t="str">
        <f t="shared" si="164"/>
        <v>-0.363189964195375+0.390007858065966i</v>
      </c>
      <c r="AQ236" s="98">
        <f t="shared" si="165"/>
        <v>-5.4666165924809231</v>
      </c>
      <c r="AR236" s="169">
        <f t="shared" si="166"/>
        <v>132.96082348550149</v>
      </c>
      <c r="AS236" s="168" t="str">
        <f t="shared" si="167"/>
        <v>1.63124143877884+2.58157836285111i</v>
      </c>
      <c r="AT236" s="190">
        <f t="shared" si="168"/>
        <v>9.6967191569771725</v>
      </c>
      <c r="AU236" s="169">
        <f t="shared" si="169"/>
        <v>57.712126735854312</v>
      </c>
      <c r="AV236" s="225"/>
      <c r="AX236">
        <f t="shared" si="170"/>
        <v>0</v>
      </c>
      <c r="AY236">
        <f t="shared" si="171"/>
        <v>0</v>
      </c>
    </row>
    <row r="237" spans="14:51" x14ac:dyDescent="0.25">
      <c r="N237" s="170">
        <v>19</v>
      </c>
      <c r="O237" s="199">
        <f t="shared" si="172"/>
        <v>1548.8166189124822</v>
      </c>
      <c r="P237" s="189" t="str">
        <f t="shared" si="138"/>
        <v>18.0065359477124</v>
      </c>
      <c r="Q237" s="160" t="str">
        <f t="shared" si="139"/>
        <v>1+3.05302017991105i</v>
      </c>
      <c r="R237" s="160">
        <f t="shared" si="147"/>
        <v>3.2126207711063723</v>
      </c>
      <c r="S237" s="160">
        <f t="shared" si="148"/>
        <v>1.2542647292421056</v>
      </c>
      <c r="T237" s="160" t="str">
        <f t="shared" si="140"/>
        <v>1+0.00389260072938659i</v>
      </c>
      <c r="U237" s="160">
        <f t="shared" si="149"/>
        <v>1.0000075761415201</v>
      </c>
      <c r="V237" s="160">
        <f t="shared" si="150"/>
        <v>3.8925810688948503E-3</v>
      </c>
      <c r="W237" s="98" t="str">
        <f t="shared" si="141"/>
        <v>1-0.0549924202766525i</v>
      </c>
      <c r="X237" s="160">
        <f t="shared" si="151"/>
        <v>1.0015109416715746</v>
      </c>
      <c r="Y237" s="160">
        <f t="shared" si="152"/>
        <v>-5.4937085239586264E-2</v>
      </c>
      <c r="Z237" s="98" t="str">
        <f t="shared" si="142"/>
        <v>0.99997097820287+0.0164375114631753i</v>
      </c>
      <c r="AA237" s="160">
        <f t="shared" si="153"/>
        <v>1.0001060688902486</v>
      </c>
      <c r="AB237" s="160">
        <f t="shared" si="154"/>
        <v>1.6436508207386031E-2</v>
      </c>
      <c r="AC237" s="171" t="str">
        <f t="shared" si="155"/>
        <v>1.38347806271559-5.43967852750246i</v>
      </c>
      <c r="AD237" s="190">
        <f t="shared" si="156"/>
        <v>14.983672707732676</v>
      </c>
      <c r="AE237" s="169">
        <f t="shared" si="157"/>
        <v>-75.730452584225475</v>
      </c>
      <c r="AF237" s="98" t="str">
        <f t="shared" si="143"/>
        <v>-0.0000816326530612245</v>
      </c>
      <c r="AG237" s="98" t="str">
        <f t="shared" si="144"/>
        <v>0.000228690292851462i</v>
      </c>
      <c r="AH237" s="98">
        <f t="shared" si="158"/>
        <v>2.28690292851462E-4</v>
      </c>
      <c r="AI237" s="98">
        <f t="shared" si="159"/>
        <v>1.5707963267948966</v>
      </c>
      <c r="AJ237" s="98" t="str">
        <f t="shared" si="145"/>
        <v>1+0.0696941173144426i</v>
      </c>
      <c r="AK237" s="98">
        <f t="shared" si="160"/>
        <v>1.0024256930008524</v>
      </c>
      <c r="AL237" s="98">
        <f t="shared" si="161"/>
        <v>6.9581603989296928E-2</v>
      </c>
      <c r="AM237" s="98" t="str">
        <f t="shared" si="146"/>
        <v>1+1.09187450459294i</v>
      </c>
      <c r="AN237" s="98">
        <f t="shared" si="162"/>
        <v>1.4806045838710882</v>
      </c>
      <c r="AO237" s="98">
        <f t="shared" si="163"/>
        <v>0.82928965841368496</v>
      </c>
      <c r="AP237" s="168" t="str">
        <f t="shared" si="164"/>
        <v>-0.363110949883045+0.382263925377439i</v>
      </c>
      <c r="AQ237" s="98">
        <f t="shared" si="165"/>
        <v>-5.5599383837230762</v>
      </c>
      <c r="AR237" s="169">
        <f t="shared" si="166"/>
        <v>133.52806518061251</v>
      </c>
      <c r="AS237" s="168" t="str">
        <f t="shared" si="167"/>
        <v>1.57703683321944+2.50406059210706i</v>
      </c>
      <c r="AT237" s="190">
        <f t="shared" si="168"/>
        <v>9.4237343240095974</v>
      </c>
      <c r="AU237" s="169">
        <f t="shared" si="169"/>
        <v>57.797612596387175</v>
      </c>
      <c r="AV237" s="225"/>
      <c r="AX237">
        <f t="shared" si="170"/>
        <v>0</v>
      </c>
      <c r="AY237">
        <f t="shared" si="171"/>
        <v>0</v>
      </c>
    </row>
    <row r="238" spans="14:51" x14ac:dyDescent="0.25">
      <c r="N238" s="170">
        <v>20</v>
      </c>
      <c r="O238" s="199">
        <f t="shared" si="172"/>
        <v>1584.8931924611156</v>
      </c>
      <c r="P238" s="189" t="str">
        <f t="shared" si="138"/>
        <v>18.0065359477124</v>
      </c>
      <c r="Q238" s="160" t="str">
        <f t="shared" si="139"/>
        <v>1+3.12413415539471i</v>
      </c>
      <c r="R238" s="160">
        <f t="shared" si="147"/>
        <v>3.2802765464063879</v>
      </c>
      <c r="S238" s="160">
        <f t="shared" si="148"/>
        <v>1.2610129352487542</v>
      </c>
      <c r="T238" s="160" t="str">
        <f t="shared" si="140"/>
        <v>1+0.00398327104812825i</v>
      </c>
      <c r="U238" s="160">
        <f t="shared" si="149"/>
        <v>1.0000079331926537</v>
      </c>
      <c r="V238" s="160">
        <f t="shared" si="150"/>
        <v>3.9832499815408264E-3</v>
      </c>
      <c r="W238" s="98" t="str">
        <f t="shared" si="141"/>
        <v>1-0.0562733582976566i</v>
      </c>
      <c r="X238" s="160">
        <f t="shared" si="151"/>
        <v>1.0015820939164679</v>
      </c>
      <c r="Y238" s="160">
        <f t="shared" si="152"/>
        <v>-5.6214070794387741E-2</v>
      </c>
      <c r="Z238" s="98" t="str">
        <f t="shared" si="142"/>
        <v>0.999969610447709+0.0168203902908019i</v>
      </c>
      <c r="AA238" s="160">
        <f t="shared" si="153"/>
        <v>1.0001110675062435</v>
      </c>
      <c r="AB238" s="160">
        <f t="shared" si="154"/>
        <v>1.6819315289163583E-2</v>
      </c>
      <c r="AC238" s="171" t="str">
        <f t="shared" si="155"/>
        <v>1.31067402045419-5.3389246524463i</v>
      </c>
      <c r="AD238" s="190">
        <f t="shared" si="156"/>
        <v>14.803229545402971</v>
      </c>
      <c r="AE238" s="169">
        <f t="shared" si="157"/>
        <v>-76.207000474606446</v>
      </c>
      <c r="AF238" s="98" t="str">
        <f t="shared" si="143"/>
        <v>-0.0000816326530612245</v>
      </c>
      <c r="AG238" s="98" t="str">
        <f t="shared" si="144"/>
        <v>0.000234017174077535i</v>
      </c>
      <c r="AH238" s="98">
        <f t="shared" si="158"/>
        <v>2.3401717407753501E-4</v>
      </c>
      <c r="AI238" s="98">
        <f t="shared" si="159"/>
        <v>1.5707963267948966</v>
      </c>
      <c r="AJ238" s="98" t="str">
        <f t="shared" si="145"/>
        <v>1+0.071317501851062i</v>
      </c>
      <c r="AK238" s="98">
        <f t="shared" si="160"/>
        <v>1.0025398675714978</v>
      </c>
      <c r="AL238" s="98">
        <f t="shared" si="161"/>
        <v>7.1196958140933977E-2</v>
      </c>
      <c r="AM238" s="98" t="str">
        <f t="shared" si="146"/>
        <v>1+1.11730752899997i</v>
      </c>
      <c r="AN238" s="98">
        <f t="shared" si="162"/>
        <v>1.4994586070845768</v>
      </c>
      <c r="AO238" s="98">
        <f t="shared" si="163"/>
        <v>0.84074568298689123</v>
      </c>
      <c r="AP238" s="168" t="str">
        <f t="shared" si="164"/>
        <v>-0.363028248581259+0.374722157513702i</v>
      </c>
      <c r="AQ238" s="98">
        <f t="shared" si="165"/>
        <v>-5.6510197982077504</v>
      </c>
      <c r="AR238" s="169">
        <f t="shared" si="166"/>
        <v>134.09189406334761</v>
      </c>
      <c r="AS238" s="168" t="str">
        <f t="shared" si="167"/>
        <v>1.52480167046133+2.42931906262664i</v>
      </c>
      <c r="AT238" s="190">
        <f t="shared" si="168"/>
        <v>9.1522097471952275</v>
      </c>
      <c r="AU238" s="169">
        <f t="shared" si="169"/>
        <v>57.884893588741136</v>
      </c>
      <c r="AV238" s="225"/>
      <c r="AX238">
        <f t="shared" si="170"/>
        <v>0</v>
      </c>
      <c r="AY238">
        <f t="shared" si="171"/>
        <v>0</v>
      </c>
    </row>
    <row r="239" spans="14:51" x14ac:dyDescent="0.25">
      <c r="N239" s="170">
        <v>21</v>
      </c>
      <c r="O239" s="199">
        <f t="shared" si="172"/>
        <v>1621.8100973589308</v>
      </c>
      <c r="P239" s="189" t="str">
        <f t="shared" si="138"/>
        <v>18.0065359477124</v>
      </c>
      <c r="Q239" s="160" t="str">
        <f t="shared" si="139"/>
        <v>1+3.19690458816035i</v>
      </c>
      <c r="R239" s="160">
        <f t="shared" si="147"/>
        <v>3.3496565414681996</v>
      </c>
      <c r="S239" s="160">
        <f t="shared" si="148"/>
        <v>1.2676358230091045</v>
      </c>
      <c r="T239" s="160" t="str">
        <f t="shared" si="140"/>
        <v>1+0.00407605334990444i</v>
      </c>
      <c r="U239" s="160">
        <f t="shared" si="149"/>
        <v>1.000008307070952</v>
      </c>
      <c r="V239" s="160">
        <f t="shared" si="150"/>
        <v>4.0760307766594481E-3</v>
      </c>
      <c r="W239" s="98" t="str">
        <f t="shared" si="141"/>
        <v>1-0.0575841331980958i</v>
      </c>
      <c r="X239" s="160">
        <f t="shared" si="151"/>
        <v>1.001656594046171</v>
      </c>
      <c r="Y239" s="160">
        <f t="shared" si="152"/>
        <v>-5.7520611166880654E-2</v>
      </c>
      <c r="Z239" s="98" t="str">
        <f t="shared" si="142"/>
        <v>0.999968178232234+0.0172121875120047i</v>
      </c>
      <c r="AA239" s="160">
        <f t="shared" si="153"/>
        <v>1.0001163016749808</v>
      </c>
      <c r="AB239" s="160">
        <f t="shared" si="154"/>
        <v>1.7211035634073623E-2</v>
      </c>
      <c r="AC239" s="171" t="str">
        <f t="shared" si="155"/>
        <v>1.24054914895861-5.23909022693052i</v>
      </c>
      <c r="AD239" s="190">
        <f t="shared" si="156"/>
        <v>14.622036989662881</v>
      </c>
      <c r="AE239" s="169">
        <f t="shared" si="157"/>
        <v>-76.678451215103337</v>
      </c>
      <c r="AF239" s="98" t="str">
        <f t="shared" si="143"/>
        <v>-0.0000816326530612245</v>
      </c>
      <c r="AG239" s="98" t="str">
        <f t="shared" si="144"/>
        <v>0.000239468134306887i</v>
      </c>
      <c r="AH239" s="98">
        <f t="shared" si="158"/>
        <v>2.3946813430688699E-4</v>
      </c>
      <c r="AI239" s="98">
        <f t="shared" si="159"/>
        <v>1.5707963267948966</v>
      </c>
      <c r="AJ239" s="98" t="str">
        <f t="shared" si="145"/>
        <v>1+0.0729786998711612i</v>
      </c>
      <c r="AK239" s="98">
        <f t="shared" si="160"/>
        <v>1.002659409089091</v>
      </c>
      <c r="AL239" s="98">
        <f t="shared" si="161"/>
        <v>7.2849553454399862E-2</v>
      </c>
      <c r="AM239" s="98" t="str">
        <f t="shared" si="146"/>
        <v>1+1.1433329646482i</v>
      </c>
      <c r="AN239" s="98">
        <f t="shared" si="162"/>
        <v>1.5189503836700005</v>
      </c>
      <c r="AO239" s="98">
        <f t="shared" si="163"/>
        <v>0.85217260833131792</v>
      </c>
      <c r="AP239" s="168" t="str">
        <f t="shared" si="164"/>
        <v>-0.362941690054242+0.367378519163377i</v>
      </c>
      <c r="AQ239" s="98">
        <f t="shared" si="165"/>
        <v>-5.739873301158859</v>
      </c>
      <c r="AR239" s="169">
        <f t="shared" si="166"/>
        <v>134.65192192168965</v>
      </c>
      <c r="AS239" s="168" t="str">
        <f t="shared" si="167"/>
        <v>1.47448220461467+2.35723537060263i</v>
      </c>
      <c r="AT239" s="190">
        <f t="shared" si="168"/>
        <v>8.8821636885040398</v>
      </c>
      <c r="AU239" s="169">
        <f t="shared" si="169"/>
        <v>57.973470706586262</v>
      </c>
      <c r="AV239" s="225"/>
      <c r="AX239">
        <f t="shared" si="170"/>
        <v>0</v>
      </c>
      <c r="AY239">
        <f t="shared" si="171"/>
        <v>0</v>
      </c>
    </row>
    <row r="240" spans="14:51" x14ac:dyDescent="0.25">
      <c r="N240" s="170">
        <v>22</v>
      </c>
      <c r="O240" s="199">
        <f t="shared" si="172"/>
        <v>1659.5869074375626</v>
      </c>
      <c r="P240" s="189" t="str">
        <f t="shared" si="138"/>
        <v>18.0065359477124</v>
      </c>
      <c r="Q240" s="160" t="str">
        <f t="shared" si="139"/>
        <v>1+3.27137006205468i</v>
      </c>
      <c r="R240" s="160">
        <f t="shared" si="147"/>
        <v>3.4207984569260499</v>
      </c>
      <c r="S240" s="160">
        <f t="shared" si="148"/>
        <v>1.2741345792619612</v>
      </c>
      <c r="T240" s="160" t="str">
        <f t="shared" si="140"/>
        <v>1+0.00417099682911972i</v>
      </c>
      <c r="U240" s="160">
        <f t="shared" si="149"/>
        <v>1.0000086985694416</v>
      </c>
      <c r="V240" s="160">
        <f t="shared" si="150"/>
        <v>4.1709726414632924E-3</v>
      </c>
      <c r="W240" s="98" t="str">
        <f t="shared" si="141"/>
        <v>1-0.0589254399681732i</v>
      </c>
      <c r="X240" s="160">
        <f t="shared" si="151"/>
        <v>1.0017345993203204</v>
      </c>
      <c r="Y240" s="160">
        <f t="shared" si="152"/>
        <v>-5.8857381249352775E-2</v>
      </c>
      <c r="Z240" s="98" t="str">
        <f t="shared" si="142"/>
        <v>0.999966678518523+0.0176131108628568i</v>
      </c>
      <c r="AA240" s="160">
        <f t="shared" si="153"/>
        <v>1.000121782495329</v>
      </c>
      <c r="AB240" s="160">
        <f t="shared" si="154"/>
        <v>1.7611876611357394E-2</v>
      </c>
      <c r="AC240" s="171" t="str">
        <f t="shared" si="155"/>
        <v>1.1730285830015-5.14022730688567i</v>
      </c>
      <c r="AD240" s="190">
        <f t="shared" si="156"/>
        <v>14.440125010638367</v>
      </c>
      <c r="AE240" s="169">
        <f t="shared" si="157"/>
        <v>-77.144920532483113</v>
      </c>
      <c r="AF240" s="98" t="str">
        <f t="shared" si="143"/>
        <v>-0.0000816326530612245</v>
      </c>
      <c r="AG240" s="98" t="str">
        <f t="shared" si="144"/>
        <v>0.000245046063710784i</v>
      </c>
      <c r="AH240" s="98">
        <f t="shared" si="158"/>
        <v>2.45046063710784E-4</v>
      </c>
      <c r="AI240" s="98">
        <f t="shared" si="159"/>
        <v>1.5707963267948966</v>
      </c>
      <c r="AJ240" s="98" t="str">
        <f t="shared" si="145"/>
        <v>1+0.0746785921639198i</v>
      </c>
      <c r="AK240" s="98">
        <f t="shared" si="160"/>
        <v>1.0027845691511139</v>
      </c>
      <c r="AL240" s="98">
        <f t="shared" si="161"/>
        <v>7.4540230030510593E-2</v>
      </c>
      <c r="AM240" s="98" t="str">
        <f t="shared" si="146"/>
        <v>1+1.16996461056808i</v>
      </c>
      <c r="AN240" s="98">
        <f t="shared" si="162"/>
        <v>1.5390962250560292</v>
      </c>
      <c r="AO240" s="98">
        <f t="shared" si="163"/>
        <v>0.86356455755915862</v>
      </c>
      <c r="AP240" s="168" t="str">
        <f t="shared" si="164"/>
        <v>-0.362851096379426+0.360229077496559i</v>
      </c>
      <c r="AQ240" s="98">
        <f t="shared" si="165"/>
        <v>-5.8265137751753322</v>
      </c>
      <c r="AR240" s="169">
        <f t="shared" si="166"/>
        <v>135.20776390053942</v>
      </c>
      <c r="AS240" s="168" t="str">
        <f t="shared" si="167"/>
        <v>1.42602463345555+2.28769611827466i</v>
      </c>
      <c r="AT240" s="190">
        <f t="shared" si="168"/>
        <v>8.613611235463047</v>
      </c>
      <c r="AU240" s="169">
        <f t="shared" si="169"/>
        <v>58.062843368056342</v>
      </c>
      <c r="AV240" s="225"/>
      <c r="AX240">
        <f t="shared" si="170"/>
        <v>0</v>
      </c>
      <c r="AY240">
        <f t="shared" si="171"/>
        <v>0</v>
      </c>
    </row>
    <row r="241" spans="14:51" x14ac:dyDescent="0.25">
      <c r="N241" s="170">
        <v>23</v>
      </c>
      <c r="O241" s="199">
        <f t="shared" si="172"/>
        <v>1698.2436524617447</v>
      </c>
      <c r="P241" s="189" t="str">
        <f t="shared" si="138"/>
        <v>18.0065359477124</v>
      </c>
      <c r="Q241" s="160" t="str">
        <f t="shared" si="139"/>
        <v>1+3.3475700596576i</v>
      </c>
      <c r="R241" s="160">
        <f t="shared" si="147"/>
        <v>3.4937408753821435</v>
      </c>
      <c r="S241" s="160">
        <f t="shared" si="148"/>
        <v>1.2805104531973666</v>
      </c>
      <c r="T241" s="160" t="str">
        <f t="shared" si="140"/>
        <v>1+0.00426815182606344i</v>
      </c>
      <c r="U241" s="160">
        <f t="shared" si="149"/>
        <v>1.0000091085185225</v>
      </c>
      <c r="V241" s="160">
        <f t="shared" si="150"/>
        <v>4.2681259085353791E-3</v>
      </c>
      <c r="W241" s="98" t="str">
        <f t="shared" si="141"/>
        <v>1-0.0602979897864916i</v>
      </c>
      <c r="X241" s="160">
        <f t="shared" si="151"/>
        <v>1.0018162743598706</v>
      </c>
      <c r="Y241" s="160">
        <f t="shared" si="152"/>
        <v>-6.0225070694211361E-2</v>
      </c>
      <c r="Z241" s="98" t="str">
        <f t="shared" si="142"/>
        <v>0.999965108125482+0.0180233729182253i</v>
      </c>
      <c r="AA241" s="160">
        <f t="shared" si="153"/>
        <v>1.0001275215890002</v>
      </c>
      <c r="AB241" s="160">
        <f t="shared" si="154"/>
        <v>1.8022050402826003E-2</v>
      </c>
      <c r="AC241" s="171" t="str">
        <f t="shared" si="155"/>
        <v>1.10803759738292-5.04238357820937i</v>
      </c>
      <c r="AD241" s="190">
        <f t="shared" si="156"/>
        <v>14.257522824366614</v>
      </c>
      <c r="AE241" s="169">
        <f t="shared" si="157"/>
        <v>-77.60652878751327</v>
      </c>
      <c r="AF241" s="98" t="str">
        <f t="shared" si="143"/>
        <v>-0.0000816326530612245</v>
      </c>
      <c r="AG241" s="98" t="str">
        <f t="shared" si="144"/>
        <v>0.000250753919781228i</v>
      </c>
      <c r="AH241" s="98">
        <f t="shared" si="158"/>
        <v>2.50753919781228E-4</v>
      </c>
      <c r="AI241" s="98">
        <f t="shared" si="159"/>
        <v>1.5707963267948966</v>
      </c>
      <c r="AJ241" s="98" t="str">
        <f t="shared" si="145"/>
        <v>1+0.0764180800347313i</v>
      </c>
      <c r="AK241" s="98">
        <f t="shared" si="160"/>
        <v>1.0029156110841004</v>
      </c>
      <c r="AL241" s="98">
        <f t="shared" si="161"/>
        <v>7.6269845605839617E-2</v>
      </c>
      <c r="AM241" s="98" t="str">
        <f t="shared" si="146"/>
        <v>1+1.1972165872108i</v>
      </c>
      <c r="AN241" s="98">
        <f t="shared" si="162"/>
        <v>1.5599126759830741</v>
      </c>
      <c r="AO241" s="98">
        <f t="shared" si="163"/>
        <v>0.87491574445476039</v>
      </c>
      <c r="AP241" s="168" t="str">
        <f t="shared" si="164"/>
        <v>-0.362756281617049+0.353269999901331i</v>
      </c>
      <c r="AQ241" s="98">
        <f t="shared" si="165"/>
        <v>-5.9109584718521413</v>
      </c>
      <c r="AR241" s="169">
        <f t="shared" si="166"/>
        <v>135.75903932947514</v>
      </c>
      <c r="AS241" s="168" t="str">
        <f t="shared" si="167"/>
        <v>1.37937524745798+2.22059275923624i</v>
      </c>
      <c r="AT241" s="190">
        <f t="shared" si="168"/>
        <v>8.3465643525144788</v>
      </c>
      <c r="AU241" s="169">
        <f t="shared" si="169"/>
        <v>58.152510541961938</v>
      </c>
      <c r="AV241" s="225"/>
      <c r="AX241">
        <f t="shared" si="170"/>
        <v>0</v>
      </c>
      <c r="AY241">
        <f t="shared" si="171"/>
        <v>0</v>
      </c>
    </row>
    <row r="242" spans="14:51" x14ac:dyDescent="0.25">
      <c r="N242" s="170">
        <v>24</v>
      </c>
      <c r="O242" s="199">
        <f t="shared" si="172"/>
        <v>1737.8008287493772</v>
      </c>
      <c r="P242" s="189" t="str">
        <f t="shared" si="138"/>
        <v>18.0065359477124</v>
      </c>
      <c r="Q242" s="160" t="str">
        <f t="shared" si="139"/>
        <v>1+3.4255449832165i</v>
      </c>
      <c r="R242" s="160">
        <f t="shared" si="147"/>
        <v>3.5685232845029518</v>
      </c>
      <c r="S242" s="160">
        <f t="shared" si="148"/>
        <v>1.2867647510941895</v>
      </c>
      <c r="T242" s="160" t="str">
        <f t="shared" si="140"/>
        <v>1+0.00436756985360104i</v>
      </c>
      <c r="U242" s="160">
        <f t="shared" si="149"/>
        <v>1.0000095377877283</v>
      </c>
      <c r="V242" s="160">
        <f t="shared" si="150"/>
        <v>4.3675420824836842E-3</v>
      </c>
      <c r="W242" s="98" t="str">
        <f t="shared" si="141"/>
        <v>1-0.0617025103971336i</v>
      </c>
      <c r="X242" s="160">
        <f t="shared" si="151"/>
        <v>1.0019017914892199</v>
      </c>
      <c r="Y242" s="160">
        <f t="shared" si="152"/>
        <v>-6.1624384190018887E-2</v>
      </c>
      <c r="Z242" s="98" t="str">
        <f t="shared" si="142"/>
        <v>0.999963463722097+0.0184431912044828i</v>
      </c>
      <c r="AA242" s="160">
        <f t="shared" si="153"/>
        <v>1.0001335311251687</v>
      </c>
      <c r="AB242" s="160">
        <f t="shared" si="154"/>
        <v>1.8441774113697816E-2</v>
      </c>
      <c r="AC242" s="171" t="str">
        <f t="shared" si="155"/>
        <v>1.0455017978693-4.94560252118243i</v>
      </c>
      <c r="AD242" s="190">
        <f t="shared" si="156"/>
        <v>14.074258898058636</v>
      </c>
      <c r="AE242" s="169">
        <f t="shared" si="157"/>
        <v>-78.063400688356097</v>
      </c>
      <c r="AF242" s="98" t="str">
        <f t="shared" si="143"/>
        <v>-0.0000816326530612245</v>
      </c>
      <c r="AG242" s="98" t="str">
        <f t="shared" si="144"/>
        <v>0.000256594728899061i</v>
      </c>
      <c r="AH242" s="98">
        <f t="shared" si="158"/>
        <v>2.5659472889906103E-4</v>
      </c>
      <c r="AI242" s="98">
        <f t="shared" si="159"/>
        <v>1.5707963267948966</v>
      </c>
      <c r="AJ242" s="98" t="str">
        <f t="shared" si="145"/>
        <v>1+0.0781980857830907i</v>
      </c>
      <c r="AK242" s="98">
        <f t="shared" si="160"/>
        <v>1.0030528104841436</v>
      </c>
      <c r="AL242" s="98">
        <f t="shared" si="161"/>
        <v>7.8039275828169788E-2</v>
      </c>
      <c r="AM242" s="98" t="str">
        <f t="shared" si="146"/>
        <v>1+1.22510334393509i</v>
      </c>
      <c r="AN242" s="98">
        <f t="shared" si="162"/>
        <v>1.5814165179739774</v>
      </c>
      <c r="AO242" s="98">
        <f t="shared" si="163"/>
        <v>0.8862204876321963</v>
      </c>
      <c r="AP242" s="168" t="str">
        <f t="shared" si="164"/>
        <v>-0.362657051467115+0.346497551761324i</v>
      </c>
      <c r="AQ242" s="98">
        <f t="shared" si="165"/>
        <v>-5.9932269547602406</v>
      </c>
      <c r="AR242" s="169">
        <f t="shared" si="166"/>
        <v>136.30537251813922</v>
      </c>
      <c r="AS242" s="168" t="str">
        <f t="shared" si="167"/>
        <v>1.3344805662555+2.15582144138413i</v>
      </c>
      <c r="AT242" s="190">
        <f t="shared" si="168"/>
        <v>8.0810319432984166</v>
      </c>
      <c r="AU242" s="169">
        <f t="shared" si="169"/>
        <v>58.24197182978309</v>
      </c>
      <c r="AV242" s="225"/>
      <c r="AX242">
        <f t="shared" si="170"/>
        <v>0</v>
      </c>
      <c r="AY242">
        <f t="shared" si="171"/>
        <v>0</v>
      </c>
    </row>
    <row r="243" spans="14:51" x14ac:dyDescent="0.25">
      <c r="N243" s="170">
        <v>25</v>
      </c>
      <c r="O243" s="199">
        <f t="shared" si="172"/>
        <v>1778.2794100389244</v>
      </c>
      <c r="P243" s="189" t="str">
        <f t="shared" si="138"/>
        <v>18.0065359477124</v>
      </c>
      <c r="Q243" s="160" t="str">
        <f t="shared" si="139"/>
        <v>1+3.50533617606795i</v>
      </c>
      <c r="R243" s="160">
        <f t="shared" si="147"/>
        <v>3.6451861004961974</v>
      </c>
      <c r="S243" s="160">
        <f t="shared" si="148"/>
        <v>1.2928988311655765</v>
      </c>
      <c r="T243" s="160" t="str">
        <f t="shared" si="140"/>
        <v>1+0.00446930362448664i</v>
      </c>
      <c r="U243" s="160">
        <f t="shared" si="149"/>
        <v>1.000009987287571</v>
      </c>
      <c r="V243" s="160">
        <f t="shared" si="150"/>
        <v>4.4692738672143162E-3</v>
      </c>
      <c r="W243" s="98" t="str">
        <f t="shared" si="141"/>
        <v>1-0.0631397464955174i</v>
      </c>
      <c r="X243" s="160">
        <f t="shared" si="151"/>
        <v>1.0019913310939961</v>
      </c>
      <c r="Y243" s="160">
        <f t="shared" si="152"/>
        <v>-6.3056041739211519E-2</v>
      </c>
      <c r="Z243" s="98" t="str">
        <f t="shared" si="142"/>
        <v>0.999961741820368+0.0188727883148414i</v>
      </c>
      <c r="AA243" s="160">
        <f t="shared" si="153"/>
        <v>1.0001398238462464</v>
      </c>
      <c r="AB243" s="160">
        <f t="shared" si="154"/>
        <v>1.8871269885924458E-2</v>
      </c>
      <c r="AC243" s="171" t="str">
        <f t="shared" si="155"/>
        <v>0.98534729519372-4.84992357813423i</v>
      </c>
      <c r="AD243" s="190">
        <f t="shared" si="156"/>
        <v>13.890360957463328</v>
      </c>
      <c r="AE243" s="169">
        <f t="shared" si="157"/>
        <v>-78.5156650160786</v>
      </c>
      <c r="AF243" s="98" t="str">
        <f t="shared" si="143"/>
        <v>-0.0000816326530612245</v>
      </c>
      <c r="AG243" s="98" t="str">
        <f t="shared" si="144"/>
        <v>0.000262571587938589i</v>
      </c>
      <c r="AH243" s="98">
        <f t="shared" si="158"/>
        <v>2.62571587938589E-4</v>
      </c>
      <c r="AI243" s="98">
        <f t="shared" si="159"/>
        <v>1.5707963267948966</v>
      </c>
      <c r="AJ243" s="98" t="str">
        <f t="shared" si="145"/>
        <v>1+0.0800195531916063i</v>
      </c>
      <c r="AK243" s="98">
        <f t="shared" si="160"/>
        <v>1.0031964557817099</v>
      </c>
      <c r="AL243" s="98">
        <f t="shared" si="161"/>
        <v>7.9849414529022097E-2</v>
      </c>
      <c r="AM243" s="98" t="str">
        <f t="shared" si="146"/>
        <v>1+1.2536396666685i</v>
      </c>
      <c r="AN243" s="98">
        <f t="shared" si="162"/>
        <v>1.6036247733945455</v>
      </c>
      <c r="AO243" s="98">
        <f t="shared" si="163"/>
        <v>0.89747322404480967</v>
      </c>
      <c r="AP243" s="168" t="str">
        <f t="shared" si="164"/>
        <v>-0.362553202913493+0.339908094272379i</v>
      </c>
      <c r="AQ243" s="98">
        <f t="shared" si="165"/>
        <v>-6.0733410343205696</v>
      </c>
      <c r="AR243" s="169">
        <f t="shared" si="166"/>
        <v>136.84639351466294</v>
      </c>
      <c r="AS243" s="168" t="str">
        <f t="shared" si="167"/>
        <v>1.29128746295565+2.09328284844397i</v>
      </c>
      <c r="AT243" s="190">
        <f t="shared" si="168"/>
        <v>7.8170199231427411</v>
      </c>
      <c r="AU243" s="169">
        <f t="shared" si="169"/>
        <v>58.330728498584349</v>
      </c>
      <c r="AV243" s="225"/>
      <c r="AX243">
        <f t="shared" si="170"/>
        <v>0</v>
      </c>
      <c r="AY243">
        <f t="shared" si="171"/>
        <v>0</v>
      </c>
    </row>
    <row r="244" spans="14:51" x14ac:dyDescent="0.25">
      <c r="N244" s="170">
        <v>26</v>
      </c>
      <c r="O244" s="199">
        <f t="shared" si="172"/>
        <v>1819.7008586099832</v>
      </c>
      <c r="P244" s="189" t="str">
        <f t="shared" si="138"/>
        <v>18.0065359477124</v>
      </c>
      <c r="Q244" s="160" t="str">
        <f t="shared" si="139"/>
        <v>1+3.58698594455853i</v>
      </c>
      <c r="R244" s="160">
        <f t="shared" si="147"/>
        <v>3.7237706919815099</v>
      </c>
      <c r="S244" s="160">
        <f t="shared" si="148"/>
        <v>1.2989140986155958</v>
      </c>
      <c r="T244" s="160" t="str">
        <f t="shared" si="140"/>
        <v>1+0.00457340707931212i</v>
      </c>
      <c r="U244" s="160">
        <f t="shared" si="149"/>
        <v>1.0000104579714719</v>
      </c>
      <c r="V244" s="160">
        <f t="shared" si="150"/>
        <v>4.5733751938383631E-3</v>
      </c>
      <c r="W244" s="98" t="str">
        <f t="shared" si="141"/>
        <v>1-0.0646104601232458i</v>
      </c>
      <c r="X244" s="160">
        <f t="shared" si="151"/>
        <v>1.0020850819952054</v>
      </c>
      <c r="Y244" s="160">
        <f t="shared" si="152"/>
        <v>-6.4520778937226839E-2</v>
      </c>
      <c r="Z244" s="98" t="str">
        <f t="shared" si="142"/>
        <v>0.999959938767911+0.0193123920273751i</v>
      </c>
      <c r="AA244" s="160">
        <f t="shared" si="153"/>
        <v>1.0001464130948745</v>
      </c>
      <c r="AB244" s="160">
        <f t="shared" si="154"/>
        <v>1.931076501406179E-2</v>
      </c>
      <c r="AC244" s="171" t="str">
        <f t="shared" si="155"/>
        <v>0.927500862768491-4.75538232314387i</v>
      </c>
      <c r="AD244" s="190">
        <f t="shared" si="156"/>
        <v>13.705855996155867</v>
      </c>
      <c r="AE244" s="169">
        <f t="shared" si="157"/>
        <v>-78.963454362450804</v>
      </c>
      <c r="AF244" s="98" t="str">
        <f t="shared" si="143"/>
        <v>-0.0000816326530612245</v>
      </c>
      <c r="AG244" s="98" t="str">
        <f t="shared" si="144"/>
        <v>0.000268687665909588i</v>
      </c>
      <c r="AH244" s="98">
        <f t="shared" si="158"/>
        <v>2.6868766590958798E-4</v>
      </c>
      <c r="AI244" s="98">
        <f t="shared" si="159"/>
        <v>1.5707963267948966</v>
      </c>
      <c r="AJ244" s="98" t="str">
        <f t="shared" si="145"/>
        <v>1+0.0818834480264071i</v>
      </c>
      <c r="AK244" s="98">
        <f t="shared" si="160"/>
        <v>1.0033468488317951</v>
      </c>
      <c r="AL244" s="98">
        <f t="shared" si="161"/>
        <v>8.1701173992579007E-2</v>
      </c>
      <c r="AM244" s="98" t="str">
        <f t="shared" si="146"/>
        <v>1+1.28284068574705i</v>
      </c>
      <c r="AN244" s="98">
        <f t="shared" si="162"/>
        <v>1.6265547101182798</v>
      </c>
      <c r="AO244" s="98">
        <f t="shared" si="163"/>
        <v>0.90866852177315338</v>
      </c>
      <c r="AP244" s="168" t="str">
        <f t="shared" si="164"/>
        <v>-0.362444523854763+0.333498082296278i</v>
      </c>
      <c r="AQ244" s="98">
        <f t="shared" si="165"/>
        <v>-6.1513246951727485</v>
      </c>
      <c r="AR244" s="169">
        <f t="shared" si="166"/>
        <v>137.38173882295428</v>
      </c>
      <c r="AS244" s="168" t="str">
        <f t="shared" si="167"/>
        <v>1.24974327677309+2.03288204092067i</v>
      </c>
      <c r="AT244" s="190">
        <f t="shared" si="168"/>
        <v>7.5545313009831103</v>
      </c>
      <c r="AU244" s="169">
        <f t="shared" si="169"/>
        <v>58.418284460503507</v>
      </c>
      <c r="AV244" s="225"/>
      <c r="AX244">
        <f t="shared" si="170"/>
        <v>0</v>
      </c>
      <c r="AY244">
        <f t="shared" si="171"/>
        <v>0</v>
      </c>
    </row>
    <row r="245" spans="14:51" x14ac:dyDescent="0.25">
      <c r="N245" s="170">
        <v>27</v>
      </c>
      <c r="O245" s="199">
        <f t="shared" si="172"/>
        <v>1862.0871366628687</v>
      </c>
      <c r="P245" s="189" t="str">
        <f t="shared" si="138"/>
        <v>18.0065359477124</v>
      </c>
      <c r="Q245" s="160" t="str">
        <f t="shared" si="139"/>
        <v>1+3.6705375804763i</v>
      </c>
      <c r="R245" s="160">
        <f t="shared" si="147"/>
        <v>3.8043194042678397</v>
      </c>
      <c r="S245" s="160">
        <f t="shared" si="148"/>
        <v>1.3048120009089159</v>
      </c>
      <c r="T245" s="160" t="str">
        <f t="shared" si="140"/>
        <v>1+0.00467993541510728i</v>
      </c>
      <c r="U245" s="160">
        <f t="shared" si="149"/>
        <v>1.0000109508377844</v>
      </c>
      <c r="V245" s="160">
        <f t="shared" si="150"/>
        <v>4.6799012492268E-3</v>
      </c>
      <c r="W245" s="98" t="str">
        <f t="shared" si="141"/>
        <v>1-0.0661154310721525i</v>
      </c>
      <c r="X245" s="160">
        <f t="shared" si="151"/>
        <v>1.0021832418404613</v>
      </c>
      <c r="Y245" s="160">
        <f t="shared" si="152"/>
        <v>-6.6019347252720573E-2</v>
      </c>
      <c r="Z245" s="98" t="str">
        <f t="shared" si="142"/>
        <v>0.99995805074021+0.0197622354257917i</v>
      </c>
      <c r="AA245" s="160">
        <f t="shared" si="153"/>
        <v>1.0001533128421787</v>
      </c>
      <c r="AB245" s="160">
        <f t="shared" si="154"/>
        <v>1.9760492063736739E-2</v>
      </c>
      <c r="AC245" s="171" t="str">
        <f t="shared" si="155"/>
        <v>0.871890078807751-4.66201063268061i</v>
      </c>
      <c r="AD245" s="190">
        <f t="shared" si="156"/>
        <v>13.520770286583987</v>
      </c>
      <c r="AE245" s="169">
        <f t="shared" si="157"/>
        <v>-79.406904880125666</v>
      </c>
      <c r="AF245" s="98" t="str">
        <f t="shared" si="143"/>
        <v>-0.0000816326530612245</v>
      </c>
      <c r="AG245" s="98" t="str">
        <f t="shared" si="144"/>
        <v>0.000274946205637554i</v>
      </c>
      <c r="AH245" s="98">
        <f t="shared" si="158"/>
        <v>2.74946205637554E-4</v>
      </c>
      <c r="AI245" s="98">
        <f t="shared" si="159"/>
        <v>1.5707963267948966</v>
      </c>
      <c r="AJ245" s="98" t="str">
        <f t="shared" si="145"/>
        <v>1+0.0837907585492077i</v>
      </c>
      <c r="AK245" s="98">
        <f t="shared" si="160"/>
        <v>1.0035043055305002</v>
      </c>
      <c r="AL245" s="98">
        <f t="shared" si="161"/>
        <v>8.3595485220249149E-2</v>
      </c>
      <c r="AM245" s="98" t="str">
        <f t="shared" si="146"/>
        <v>1+1.31272188393759i</v>
      </c>
      <c r="AN245" s="98">
        <f t="shared" si="162"/>
        <v>1.6502238468064432</v>
      </c>
      <c r="AO245" s="98">
        <f t="shared" si="163"/>
        <v>0.9198010920259132</v>
      </c>
      <c r="AP245" s="168" t="str">
        <f t="shared" si="164"/>
        <v>-0.362330792721588+0.327264062249582i</v>
      </c>
      <c r="AQ245" s="98">
        <f t="shared" si="165"/>
        <v>-6.2272040166901288</v>
      </c>
      <c r="AR245" s="169">
        <f t="shared" si="166"/>
        <v>137.91105207514056</v>
      </c>
      <c r="AS245" s="168" t="str">
        <f t="shared" si="167"/>
        <v>1.2097959144813+1.97452829724137i</v>
      </c>
      <c r="AT245" s="190">
        <f t="shared" si="168"/>
        <v>7.2935662698938568</v>
      </c>
      <c r="AU245" s="169">
        <f t="shared" si="169"/>
        <v>58.50414719501488</v>
      </c>
      <c r="AV245" s="225"/>
      <c r="AX245">
        <f t="shared" si="170"/>
        <v>0</v>
      </c>
      <c r="AY245">
        <f t="shared" si="171"/>
        <v>0</v>
      </c>
    </row>
    <row r="246" spans="14:51" x14ac:dyDescent="0.25">
      <c r="N246" s="170">
        <v>28</v>
      </c>
      <c r="O246" s="199">
        <f t="shared" si="172"/>
        <v>1905.4607179632501</v>
      </c>
      <c r="P246" s="189" t="str">
        <f t="shared" si="138"/>
        <v>18.0065359477124</v>
      </c>
      <c r="Q246" s="160" t="str">
        <f t="shared" si="139"/>
        <v>1+3.75603538400458i</v>
      </c>
      <c r="R246" s="160">
        <f t="shared" si="147"/>
        <v>3.8868755840513383</v>
      </c>
      <c r="S246" s="160">
        <f t="shared" si="148"/>
        <v>1.3105940232540416</v>
      </c>
      <c r="T246" s="160" t="str">
        <f t="shared" si="140"/>
        <v>1+0.00478894511460584i</v>
      </c>
      <c r="U246" s="160">
        <f t="shared" si="149"/>
        <v>1.00001146693191</v>
      </c>
      <c r="V246" s="160">
        <f t="shared" si="150"/>
        <v>4.7889085052279972E-3</v>
      </c>
      <c r="W246" s="98" t="str">
        <f t="shared" si="141"/>
        <v>1-0.0676554572977554i</v>
      </c>
      <c r="X246" s="160">
        <f t="shared" si="151"/>
        <v>1.0022860175130492</v>
      </c>
      <c r="Y246" s="160">
        <f t="shared" si="152"/>
        <v>-6.755251430852223E-2</v>
      </c>
      <c r="Z246" s="98" t="str">
        <f t="shared" si="142"/>
        <v>0.999956073732504+0.0202225570230152i</v>
      </c>
      <c r="AA246" s="160">
        <f t="shared" si="153"/>
        <v>1.0001605377173577</v>
      </c>
      <c r="AB246" s="160">
        <f t="shared" si="154"/>
        <v>2.0220688992760038E-2</v>
      </c>
      <c r="AC246" s="171" t="str">
        <f t="shared" si="155"/>
        <v>0.818443453592848-4.56983685619647i</v>
      </c>
      <c r="AD246" s="190">
        <f t="shared" si="156"/>
        <v>13.335129392710382</v>
      </c>
      <c r="AE246" s="169">
        <f t="shared" si="157"/>
        <v>-79.846156045210364</v>
      </c>
      <c r="AF246" s="98" t="str">
        <f t="shared" si="143"/>
        <v>-0.0000816326530612245</v>
      </c>
      <c r="AG246" s="98" t="str">
        <f t="shared" si="144"/>
        <v>0.000281350525483092i</v>
      </c>
      <c r="AH246" s="98">
        <f t="shared" si="158"/>
        <v>2.8135052548309203E-4</v>
      </c>
      <c r="AI246" s="98">
        <f t="shared" si="159"/>
        <v>1.5707963267948966</v>
      </c>
      <c r="AJ246" s="98" t="str">
        <f t="shared" si="145"/>
        <v>1+0.0857424960412936i</v>
      </c>
      <c r="AK246" s="98">
        <f t="shared" si="160"/>
        <v>1.0036691564591349</v>
      </c>
      <c r="AL246" s="98">
        <f t="shared" si="161"/>
        <v>8.5533298190055451E-2</v>
      </c>
      <c r="AM246" s="98" t="str">
        <f t="shared" si="146"/>
        <v>1+1.34329910464694i</v>
      </c>
      <c r="AN246" s="98">
        <f t="shared" si="162"/>
        <v>1.6746499588108765</v>
      </c>
      <c r="AO246" s="98">
        <f t="shared" si="163"/>
        <v>0.9308658002968212</v>
      </c>
      <c r="AP246" s="168" t="str">
        <f t="shared" si="164"/>
        <v>-0.362211778080269+0.321202670025464i</v>
      </c>
      <c r="AQ246" s="98">
        <f t="shared" si="165"/>
        <v>-6.3010070873411541</v>
      </c>
      <c r="AR246" s="169">
        <f t="shared" si="166"/>
        <v>138.43398465595143</v>
      </c>
      <c r="AS246" s="168" t="str">
        <f t="shared" si="167"/>
        <v>1.17139394120706+1.91813495577855i</v>
      </c>
      <c r="AT246" s="190">
        <f t="shared" si="168"/>
        <v>7.0341223053692179</v>
      </c>
      <c r="AU246" s="169">
        <f t="shared" si="169"/>
        <v>58.587828610740942</v>
      </c>
      <c r="AV246" s="225"/>
      <c r="AX246">
        <f t="shared" si="170"/>
        <v>0</v>
      </c>
      <c r="AY246">
        <f t="shared" si="171"/>
        <v>0</v>
      </c>
    </row>
    <row r="247" spans="14:51" x14ac:dyDescent="0.25">
      <c r="N247" s="170">
        <v>29</v>
      </c>
      <c r="O247" s="199">
        <f t="shared" si="172"/>
        <v>1949.8445997580463</v>
      </c>
      <c r="P247" s="189" t="str">
        <f t="shared" si="138"/>
        <v>18.0065359477124</v>
      </c>
      <c r="Q247" s="160" t="str">
        <f t="shared" si="139"/>
        <v>1+3.84352468721042i</v>
      </c>
      <c r="R247" s="160">
        <f t="shared" si="147"/>
        <v>3.9714836045483</v>
      </c>
      <c r="S247" s="160">
        <f t="shared" si="148"/>
        <v>1.3162616842995143</v>
      </c>
      <c r="T247" s="160" t="str">
        <f t="shared" si="140"/>
        <v>1+0.00490049397619328i</v>
      </c>
      <c r="U247" s="160">
        <f t="shared" si="149"/>
        <v>1.0000120073485173</v>
      </c>
      <c r="V247" s="160">
        <f t="shared" si="150"/>
        <v>4.9004547485636089E-3</v>
      </c>
      <c r="W247" s="98" t="str">
        <f t="shared" si="141"/>
        <v>1-0.0692313553423425i</v>
      </c>
      <c r="X247" s="160">
        <f t="shared" si="151"/>
        <v>1.0023936255596091</v>
      </c>
      <c r="Y247" s="160">
        <f t="shared" si="152"/>
        <v>-6.9121064162958032E-2</v>
      </c>
      <c r="Z247" s="98" t="str">
        <f t="shared" si="142"/>
        <v>0.999954003551296+0.0206936008876493i</v>
      </c>
      <c r="AA247" s="160">
        <f t="shared" si="153"/>
        <v>1.0001681030386655</v>
      </c>
      <c r="AB247" s="160">
        <f t="shared" si="154"/>
        <v>2.0691599274943597E-2</v>
      </c>
      <c r="AC247" s="171" t="str">
        <f t="shared" si="155"/>
        <v>0.767090542637113-4.47888598579213i</v>
      </c>
      <c r="AD247" s="190">
        <f t="shared" si="156"/>
        <v>13.148958184100421</v>
      </c>
      <c r="AE247" s="169">
        <f t="shared" si="157"/>
        <v>-80.281350432176481</v>
      </c>
      <c r="AF247" s="98" t="str">
        <f t="shared" si="143"/>
        <v>-0.0000816326530612245</v>
      </c>
      <c r="AG247" s="98" t="str">
        <f t="shared" si="144"/>
        <v>0.000287904021101356i</v>
      </c>
      <c r="AH247" s="98">
        <f t="shared" si="158"/>
        <v>2.8790402110135597E-4</v>
      </c>
      <c r="AI247" s="98">
        <f t="shared" si="159"/>
        <v>1.5707963267948966</v>
      </c>
      <c r="AJ247" s="98" t="str">
        <f t="shared" si="145"/>
        <v>1+0.0877396953397155i</v>
      </c>
      <c r="AK247" s="98">
        <f t="shared" si="160"/>
        <v>1.0038417475570072</v>
      </c>
      <c r="AL247" s="98">
        <f t="shared" si="161"/>
        <v>8.7515582109984585E-2</v>
      </c>
      <c r="AM247" s="98" t="str">
        <f t="shared" si="146"/>
        <v>1+1.37458856032222i</v>
      </c>
      <c r="AN247" s="98">
        <f t="shared" si="162"/>
        <v>1.6998510847038084</v>
      </c>
      <c r="AO247" s="98">
        <f t="shared" si="163"/>
        <v>0.94185767662962361</v>
      </c>
      <c r="AP247" s="168" t="str">
        <f t="shared" si="164"/>
        <v>-0.36208723822224+0.315310628946486i</v>
      </c>
      <c r="AQ247" s="98">
        <f t="shared" si="165"/>
        <v>-6.3727639136304752</v>
      </c>
      <c r="AR247" s="169">
        <f t="shared" si="166"/>
        <v>138.95019627634213</v>
      </c>
      <c r="AS247" s="168" t="str">
        <f t="shared" si="167"/>
        <v>1.13448666110985+1.86361925836558i</v>
      </c>
      <c r="AT247" s="190">
        <f t="shared" si="168"/>
        <v>6.7761942704699667</v>
      </c>
      <c r="AU247" s="169">
        <f t="shared" si="169"/>
        <v>58.668845844165624</v>
      </c>
      <c r="AV247" s="225"/>
      <c r="AX247">
        <f t="shared" si="170"/>
        <v>0</v>
      </c>
      <c r="AY247">
        <f t="shared" si="171"/>
        <v>0</v>
      </c>
    </row>
    <row r="248" spans="14:51" x14ac:dyDescent="0.25">
      <c r="N248" s="170">
        <v>30</v>
      </c>
      <c r="O248" s="199">
        <f t="shared" si="172"/>
        <v>1995.2623149688804</v>
      </c>
      <c r="P248" s="189" t="str">
        <f t="shared" si="138"/>
        <v>18.0065359477124</v>
      </c>
      <c r="Q248" s="160" t="str">
        <f t="shared" si="139"/>
        <v>1+3.9330518780805i</v>
      </c>
      <c r="R248" s="160">
        <f t="shared" si="147"/>
        <v>4.0581888910784514</v>
      </c>
      <c r="S248" s="160">
        <f t="shared" si="148"/>
        <v>1.3218165320414308</v>
      </c>
      <c r="T248" s="160" t="str">
        <f t="shared" si="140"/>
        <v>1+0.00501464114455264i</v>
      </c>
      <c r="U248" s="160">
        <f t="shared" si="149"/>
        <v>1.0000125732338612</v>
      </c>
      <c r="V248" s="160">
        <f t="shared" si="150"/>
        <v>5.0145991114186909E-3</v>
      </c>
      <c r="W248" s="98" t="str">
        <f t="shared" si="141"/>
        <v>1-0.070843960767918i</v>
      </c>
      <c r="X248" s="160">
        <f t="shared" si="151"/>
        <v>1.0025062926372514</v>
      </c>
      <c r="Y248" s="160">
        <f t="shared" si="152"/>
        <v>-7.072579759113172E-2</v>
      </c>
      <c r="Z248" s="98" t="str">
        <f t="shared" si="142"/>
        <v>0.999951835805453+0.0211756167733864i</v>
      </c>
      <c r="AA248" s="160">
        <f t="shared" si="153"/>
        <v>1.0001760248458411</v>
      </c>
      <c r="AB248" s="160">
        <f t="shared" si="154"/>
        <v>2.117347202667462E-2</v>
      </c>
      <c r="AC248" s="171" t="str">
        <f t="shared" si="155"/>
        <v>0.717762046521117-4.38917982417731i</v>
      </c>
      <c r="AD248" s="190">
        <f t="shared" si="156"/>
        <v>12.962280851310142</v>
      </c>
      <c r="AE248" s="169">
        <f t="shared" si="157"/>
        <v>-80.712633500993746</v>
      </c>
      <c r="AF248" s="98" t="str">
        <f t="shared" si="143"/>
        <v>-0.0000816326530612245</v>
      </c>
      <c r="AG248" s="98" t="str">
        <f t="shared" si="144"/>
        <v>0.000294610167242468i</v>
      </c>
      <c r="AH248" s="98">
        <f t="shared" si="158"/>
        <v>2.9461016724246798E-4</v>
      </c>
      <c r="AI248" s="98">
        <f t="shared" si="159"/>
        <v>1.5707963267948966</v>
      </c>
      <c r="AJ248" s="98" t="str">
        <f t="shared" si="145"/>
        <v>1+0.0897834153859794i</v>
      </c>
      <c r="AK248" s="98">
        <f t="shared" si="160"/>
        <v>1.0040224408240941</v>
      </c>
      <c r="AL248" s="98">
        <f t="shared" si="161"/>
        <v>8.9543325664360074E-2</v>
      </c>
      <c r="AM248" s="98" t="str">
        <f t="shared" si="146"/>
        <v>1+1.40660684104702i</v>
      </c>
      <c r="AN248" s="98">
        <f t="shared" si="162"/>
        <v>1.7258455334357929</v>
      </c>
      <c r="AO248" s="98">
        <f t="shared" si="163"/>
        <v>0.95277192495241425</v>
      </c>
      <c r="AP248" s="168" t="str">
        <f t="shared" si="164"/>
        <v>-0.361956920739319+0.309584747746188i</v>
      </c>
      <c r="AQ248" s="98">
        <f t="shared" si="165"/>
        <v>-6.4425063243794414</v>
      </c>
      <c r="AR248" s="169">
        <f t="shared" si="166"/>
        <v>139.45935549419514</v>
      </c>
      <c r="AS248" s="168" t="str">
        <f t="shared" si="167"/>
        <v>1.09902418849826+1.81090219584439i</v>
      </c>
      <c r="AT248" s="190">
        <f t="shared" si="168"/>
        <v>6.5197745269307052</v>
      </c>
      <c r="AU248" s="169">
        <f t="shared" si="169"/>
        <v>58.74672199320127</v>
      </c>
      <c r="AV248" s="225"/>
      <c r="AX248">
        <f t="shared" si="170"/>
        <v>0</v>
      </c>
      <c r="AY248">
        <f t="shared" si="171"/>
        <v>0</v>
      </c>
    </row>
    <row r="249" spans="14:51" x14ac:dyDescent="0.25">
      <c r="N249" s="170">
        <v>31</v>
      </c>
      <c r="O249" s="199">
        <f t="shared" si="172"/>
        <v>2041.7379446695318</v>
      </c>
      <c r="P249" s="189" t="str">
        <f t="shared" si="138"/>
        <v>18.0065359477124</v>
      </c>
      <c r="Q249" s="160" t="str">
        <f t="shared" si="139"/>
        <v>1+4.02466442511642i</v>
      </c>
      <c r="R249" s="160">
        <f t="shared" si="147"/>
        <v>4.147037947113299</v>
      </c>
      <c r="S249" s="160">
        <f t="shared" si="148"/>
        <v>1.3272601399396646</v>
      </c>
      <c r="T249" s="160" t="str">
        <f t="shared" si="140"/>
        <v>1+0.00513144714202344i</v>
      </c>
      <c r="U249" s="160">
        <f t="shared" si="149"/>
        <v>1.0000131657882168</v>
      </c>
      <c r="V249" s="160">
        <f t="shared" si="150"/>
        <v>5.1314021027409791E-3</v>
      </c>
      <c r="W249" s="98" t="str">
        <f t="shared" si="141"/>
        <v>1-0.0724941285992229i</v>
      </c>
      <c r="X249" s="160">
        <f t="shared" si="151"/>
        <v>1.0026242559809535</v>
      </c>
      <c r="Y249" s="160">
        <f t="shared" si="152"/>
        <v>-7.2367532365697207E-2</v>
      </c>
      <c r="Z249" s="98" t="str">
        <f t="shared" si="142"/>
        <v>0.999949565896896+0.021668860251429i</v>
      </c>
      <c r="AA249" s="160">
        <f t="shared" si="153"/>
        <v>1.0001843199340745</v>
      </c>
      <c r="AB249" s="160">
        <f t="shared" si="154"/>
        <v>2.1666562136299493E-2</v>
      </c>
      <c r="AC249" s="171" t="str">
        <f t="shared" si="155"/>
        <v>0.670389898176214-4.30073715024463i</v>
      </c>
      <c r="AD249" s="190">
        <f t="shared" si="156"/>
        <v>12.775120922441728</v>
      </c>
      <c r="AE249" s="169">
        <f t="shared" si="157"/>
        <v>-81.140153396312954</v>
      </c>
      <c r="AF249" s="98" t="str">
        <f t="shared" si="143"/>
        <v>-0.0000816326530612245</v>
      </c>
      <c r="AG249" s="98" t="str">
        <f t="shared" si="144"/>
        <v>0.000301472519593878i</v>
      </c>
      <c r="AH249" s="98">
        <f t="shared" si="158"/>
        <v>3.0147251959387802E-4</v>
      </c>
      <c r="AI249" s="98">
        <f t="shared" si="159"/>
        <v>1.5707963267948966</v>
      </c>
      <c r="AJ249" s="98" t="str">
        <f t="shared" si="145"/>
        <v>1+0.0918747397875044i</v>
      </c>
      <c r="AK249" s="98">
        <f t="shared" si="160"/>
        <v>1.0042116150548257</v>
      </c>
      <c r="AL249" s="98">
        <f t="shared" si="161"/>
        <v>9.1617537252208545E-2</v>
      </c>
      <c r="AM249" s="98" t="str">
        <f t="shared" si="146"/>
        <v>1+1.43937092333757i</v>
      </c>
      <c r="AN249" s="98">
        <f t="shared" si="162"/>
        <v>1.7526518921193817</v>
      </c>
      <c r="AO249" s="98">
        <f t="shared" si="163"/>
        <v>0.96360393145174827</v>
      </c>
      <c r="AP249" s="168" t="str">
        <f t="shared" si="164"/>
        <v>-0.361820562084389+0.304021918577292i</v>
      </c>
      <c r="AQ249" s="98">
        <f t="shared" si="165"/>
        <v>-6.5102678711246007</v>
      </c>
      <c r="AR249" s="169">
        <f t="shared" si="166"/>
        <v>139.96114018046455</v>
      </c>
      <c r="AS249" s="168" t="str">
        <f t="shared" si="167"/>
        <v>1.06495750994019+1.75990835611709i</v>
      </c>
      <c r="AT249" s="190">
        <f t="shared" si="168"/>
        <v>6.2648530513171066</v>
      </c>
      <c r="AU249" s="169">
        <f t="shared" si="169"/>
        <v>58.820986784151643</v>
      </c>
      <c r="AV249" s="225"/>
      <c r="AX249">
        <f t="shared" si="170"/>
        <v>0</v>
      </c>
      <c r="AY249">
        <f t="shared" si="171"/>
        <v>0</v>
      </c>
    </row>
    <row r="250" spans="14:51" x14ac:dyDescent="0.25">
      <c r="N250" s="170">
        <v>32</v>
      </c>
      <c r="O250" s="199">
        <f t="shared" si="172"/>
        <v>2089.2961308540398</v>
      </c>
      <c r="P250" s="189" t="str">
        <f t="shared" si="138"/>
        <v>18.0065359477124</v>
      </c>
      <c r="Q250" s="160" t="str">
        <f t="shared" si="139"/>
        <v>1+4.11841090250331i</v>
      </c>
      <c r="R250" s="160">
        <f t="shared" si="147"/>
        <v>4.2380783808063454</v>
      </c>
      <c r="S250" s="160">
        <f t="shared" si="148"/>
        <v>1.3325941032394812</v>
      </c>
      <c r="T250" s="160" t="str">
        <f t="shared" si="140"/>
        <v>1+0.00525097390069172i</v>
      </c>
      <c r="U250" s="160">
        <f t="shared" si="149"/>
        <v>1.0000137862684222</v>
      </c>
      <c r="V250" s="160">
        <f t="shared" si="150"/>
        <v>5.2509256402670026E-3</v>
      </c>
      <c r="W250" s="98" t="str">
        <f t="shared" si="141"/>
        <v>1-0.074182733777085i</v>
      </c>
      <c r="X250" s="160">
        <f t="shared" si="151"/>
        <v>1.0027477638921174</v>
      </c>
      <c r="Y250" s="160">
        <f t="shared" si="152"/>
        <v>-7.4047103536653391E-2</v>
      </c>
      <c r="Z250" s="98" t="str">
        <f t="shared" si="142"/>
        <v>0.999947189010844+0.0221735928459984i</v>
      </c>
      <c r="AA250" s="160">
        <f t="shared" si="153"/>
        <v>1.0001930058895576</v>
      </c>
      <c r="AB250" s="160">
        <f t="shared" si="154"/>
        <v>2.2171130396378306E-2</v>
      </c>
      <c r="AC250" s="171" t="str">
        <f t="shared" si="155"/>
        <v>0.624907338391889-4.21357388166367i</v>
      </c>
      <c r="AD250" s="190">
        <f t="shared" si="156"/>
        <v>12.587501280737525</v>
      </c>
      <c r="AE250" s="169">
        <f t="shared" si="157"/>
        <v>-81.564060758483791</v>
      </c>
      <c r="AF250" s="98" t="str">
        <f t="shared" si="143"/>
        <v>-0.0000816326530612245</v>
      </c>
      <c r="AG250" s="98" t="str">
        <f t="shared" si="144"/>
        <v>0.000308494716665638i</v>
      </c>
      <c r="AH250" s="98">
        <f t="shared" si="158"/>
        <v>3.08494716665638E-4</v>
      </c>
      <c r="AI250" s="98">
        <f t="shared" si="159"/>
        <v>1.5707963267948966</v>
      </c>
      <c r="AJ250" s="98" t="str">
        <f t="shared" si="145"/>
        <v>1+0.0940147773921716i</v>
      </c>
      <c r="AK250" s="98">
        <f t="shared" si="160"/>
        <v>1.0044096666042694</v>
      </c>
      <c r="AL250" s="98">
        <f t="shared" si="161"/>
        <v>9.3739245216557687E-2</v>
      </c>
      <c r="AM250" s="98" t="str">
        <f t="shared" si="146"/>
        <v>1+1.47289817914403i</v>
      </c>
      <c r="AN250" s="98">
        <f t="shared" si="162"/>
        <v>1.7802890344339592</v>
      </c>
      <c r="AO250" s="98">
        <f t="shared" si="163"/>
        <v>0.97434927196652599</v>
      </c>
      <c r="AP250" s="168" t="str">
        <f t="shared" si="164"/>
        <v>-0.361677887117439+0.298619115044333i</v>
      </c>
      <c r="AQ250" s="98">
        <f t="shared" si="165"/>
        <v>-6.5760837254163302</v>
      </c>
      <c r="AR250" s="169">
        <f t="shared" si="166"/>
        <v>140.45523792967566</v>
      </c>
      <c r="AS250" s="168" t="str">
        <f t="shared" si="167"/>
        <v>1.03223853792256+1.71056577510864i</v>
      </c>
      <c r="AT250" s="190">
        <f t="shared" si="168"/>
        <v>6.0114175553212066</v>
      </c>
      <c r="AU250" s="169">
        <f t="shared" si="169"/>
        <v>58.891177171191892</v>
      </c>
      <c r="AV250" s="225"/>
      <c r="AX250">
        <f t="shared" si="170"/>
        <v>0</v>
      </c>
      <c r="AY250">
        <f t="shared" si="171"/>
        <v>0</v>
      </c>
    </row>
    <row r="251" spans="14:51" x14ac:dyDescent="0.25">
      <c r="N251" s="170">
        <v>33</v>
      </c>
      <c r="O251" s="199">
        <f t="shared" si="172"/>
        <v>2137.9620895022344</v>
      </c>
      <c r="P251" s="189" t="str">
        <f t="shared" si="138"/>
        <v>18.0065359477124</v>
      </c>
      <c r="Q251" s="160" t="str">
        <f t="shared" si="139"/>
        <v>1+4.21434101586428i</v>
      </c>
      <c r="R251" s="160">
        <f t="shared" si="147"/>
        <v>4.3313589320207546</v>
      </c>
      <c r="S251" s="160">
        <f t="shared" si="148"/>
        <v>1.3378200354944452</v>
      </c>
      <c r="T251" s="160" t="str">
        <f t="shared" si="140"/>
        <v>1+0.00537328479522696i</v>
      </c>
      <c r="U251" s="160">
        <f t="shared" si="149"/>
        <v>1.0000144359905463</v>
      </c>
      <c r="V251" s="160">
        <f t="shared" si="150"/>
        <v>5.3732330832905141E-3</v>
      </c>
      <c r="W251" s="98" t="str">
        <f t="shared" si="141"/>
        <v>1-0.0759106716223197i</v>
      </c>
      <c r="X251" s="160">
        <f t="shared" si="151"/>
        <v>1.0028770762492039</v>
      </c>
      <c r="Y251" s="160">
        <f t="shared" si="152"/>
        <v>-7.5765363709609249E-2</v>
      </c>
      <c r="Z251" s="98" t="str">
        <f t="shared" si="142"/>
        <v>0.999944700105604+0.0226900821729968i</v>
      </c>
      <c r="AA251" s="160">
        <f t="shared" si="153"/>
        <v>1.0002021011267193</v>
      </c>
      <c r="AB251" s="160">
        <f t="shared" si="154"/>
        <v>2.268744363886031E-2</v>
      </c>
      <c r="AC251" s="171" t="str">
        <f t="shared" si="155"/>
        <v>0.581248980315835-4.12770323398871i</v>
      </c>
      <c r="AD251" s="190">
        <f t="shared" si="156"/>
        <v>12.399444183097595</v>
      </c>
      <c r="AE251" s="169">
        <f t="shared" si="157"/>
        <v>-81.984508546142948</v>
      </c>
      <c r="AF251" s="98" t="str">
        <f t="shared" si="143"/>
        <v>-0.0000816326530612245</v>
      </c>
      <c r="AG251" s="98" t="str">
        <f t="shared" si="144"/>
        <v>0.000315680481719584i</v>
      </c>
      <c r="AH251" s="98">
        <f t="shared" si="158"/>
        <v>3.1568048171958402E-4</v>
      </c>
      <c r="AI251" s="98">
        <f t="shared" si="159"/>
        <v>1.5707963267948966</v>
      </c>
      <c r="AJ251" s="98" t="str">
        <f t="shared" si="145"/>
        <v>1+0.0962046628762441i</v>
      </c>
      <c r="AK251" s="98">
        <f t="shared" si="160"/>
        <v>1.0046170101880276</v>
      </c>
      <c r="AL251" s="98">
        <f t="shared" si="161"/>
        <v>9.5909498063473653E-2</v>
      </c>
      <c r="AM251" s="98" t="str">
        <f t="shared" si="146"/>
        <v>1+1.50720638506116i</v>
      </c>
      <c r="AN251" s="98">
        <f t="shared" si="162"/>
        <v>1.8087761296437792</v>
      </c>
      <c r="AO251" s="98">
        <f t="shared" si="163"/>
        <v>0.98500371839040479</v>
      </c>
      <c r="AP251" s="168" t="str">
        <f t="shared" si="164"/>
        <v>-0.361528608636706+0.29337339025841i</v>
      </c>
      <c r="AQ251" s="98">
        <f t="shared" si="165"/>
        <v>-6.6399905738015548</v>
      </c>
      <c r="AR251" s="169">
        <f t="shared" si="166"/>
        <v>140.94134641420766</v>
      </c>
      <c r="AS251" s="168" t="str">
        <f t="shared" si="167"/>
        <v>1.00082015661078+1.66280579098867i</v>
      </c>
      <c r="AT251" s="190">
        <f t="shared" si="168"/>
        <v>5.7594536092960302</v>
      </c>
      <c r="AU251" s="169">
        <f t="shared" si="169"/>
        <v>58.956837868064781</v>
      </c>
      <c r="AV251" s="225"/>
      <c r="AX251">
        <f t="shared" si="170"/>
        <v>0</v>
      </c>
      <c r="AY251">
        <f t="shared" si="171"/>
        <v>0</v>
      </c>
    </row>
    <row r="252" spans="14:51" x14ac:dyDescent="0.25">
      <c r="N252" s="170">
        <v>34</v>
      </c>
      <c r="O252" s="199">
        <f t="shared" si="172"/>
        <v>2187.7616239495528</v>
      </c>
      <c r="P252" s="189" t="str">
        <f t="shared" si="138"/>
        <v>18.0065359477124</v>
      </c>
      <c r="Q252" s="160" t="str">
        <f t="shared" si="139"/>
        <v>1+4.31250562861528i</v>
      </c>
      <c r="R252" s="160">
        <f t="shared" si="147"/>
        <v>4.4269294998721715</v>
      </c>
      <c r="S252" s="160">
        <f t="shared" si="148"/>
        <v>1.3429395652860343</v>
      </c>
      <c r="T252" s="160" t="str">
        <f t="shared" si="140"/>
        <v>1+0.00549844467648448i</v>
      </c>
      <c r="U252" s="160">
        <f t="shared" si="149"/>
        <v>1.0000151163326785</v>
      </c>
      <c r="V252" s="160">
        <f t="shared" si="150"/>
        <v>5.4983892661915048E-3</v>
      </c>
      <c r="W252" s="98" t="str">
        <f t="shared" si="141"/>
        <v>1-0.0776788583104453i</v>
      </c>
      <c r="X252" s="160">
        <f t="shared" si="151"/>
        <v>1.0030124650413943</v>
      </c>
      <c r="Y252" s="160">
        <f t="shared" si="152"/>
        <v>-7.7523183321958636E-2</v>
      </c>
      <c r="Z252" s="98" t="str">
        <f t="shared" si="142"/>
        <v>0.999942093901874+0.0232186020819021i</v>
      </c>
      <c r="AA252" s="160">
        <f t="shared" si="153"/>
        <v>1.0002116249271962</v>
      </c>
      <c r="AB252" s="160">
        <f t="shared" si="154"/>
        <v>2.3215774873243319E-2</v>
      </c>
      <c r="AC252" s="171" t="str">
        <f t="shared" si="155"/>
        <v>0.539350863701492-4.04313587584889i</v>
      </c>
      <c r="AD252" s="190">
        <f t="shared" si="156"/>
        <v>12.21097127940854</v>
      </c>
      <c r="AE252" s="169">
        <f t="shared" si="157"/>
        <v>-82.401651870080357</v>
      </c>
      <c r="AF252" s="98" t="str">
        <f t="shared" si="143"/>
        <v>-0.0000816326530612245</v>
      </c>
      <c r="AG252" s="98" t="str">
        <f t="shared" si="144"/>
        <v>0.000323033624743463i</v>
      </c>
      <c r="AH252" s="98">
        <f t="shared" si="158"/>
        <v>3.2303362474346299E-4</v>
      </c>
      <c r="AI252" s="98">
        <f t="shared" si="159"/>
        <v>1.5707963267948966</v>
      </c>
      <c r="AJ252" s="98" t="str">
        <f t="shared" si="145"/>
        <v>1+0.098445557345993i</v>
      </c>
      <c r="AK252" s="98">
        <f t="shared" si="160"/>
        <v>1.0048340797172253</v>
      </c>
      <c r="AL252" s="98">
        <f t="shared" si="161"/>
        <v>9.8129364669608532E-2</v>
      </c>
      <c r="AM252" s="98" t="str">
        <f t="shared" si="146"/>
        <v>1+1.5423137317539i</v>
      </c>
      <c r="AN252" s="98">
        <f t="shared" si="162"/>
        <v>1.8381326522198125</v>
      </c>
      <c r="AO252" s="98">
        <f t="shared" si="163"/>
        <v>0.99556324408069419</v>
      </c>
      <c r="AP252" s="168" t="str">
        <f t="shared" si="164"/>
        <v>-0.361372426894941+0.288281874911778i</v>
      </c>
      <c r="AQ252" s="98">
        <f t="shared" si="165"/>
        <v>-6.7020265112597288</v>
      </c>
      <c r="AR252" s="169">
        <f t="shared" si="166"/>
        <v>141.41917368230767</v>
      </c>
      <c r="AS252" s="168" t="str">
        <f t="shared" si="167"/>
        <v>0.970656260249101+1.61656290194467i</v>
      </c>
      <c r="AT252" s="190">
        <f t="shared" si="168"/>
        <v>5.5089447681488179</v>
      </c>
      <c r="AU252" s="169">
        <f t="shared" si="169"/>
        <v>59.017521812227329</v>
      </c>
      <c r="AV252" s="225"/>
      <c r="AX252">
        <f t="shared" si="170"/>
        <v>0</v>
      </c>
      <c r="AY252">
        <f t="shared" si="171"/>
        <v>0</v>
      </c>
    </row>
    <row r="253" spans="14:51" x14ac:dyDescent="0.25">
      <c r="N253" s="170">
        <v>35</v>
      </c>
      <c r="O253" s="199">
        <f t="shared" si="172"/>
        <v>2238.7211385683418</v>
      </c>
      <c r="P253" s="189" t="str">
        <f t="shared" si="138"/>
        <v>18.0065359477124</v>
      </c>
      <c r="Q253" s="160" t="str">
        <f t="shared" si="139"/>
        <v>1+4.41295678893333i</v>
      </c>
      <c r="R253" s="160">
        <f t="shared" si="147"/>
        <v>4.5248411708028788</v>
      </c>
      <c r="S253" s="160">
        <f t="shared" si="148"/>
        <v>1.3479543331347739</v>
      </c>
      <c r="T253" s="160" t="str">
        <f t="shared" si="140"/>
        <v>1+0.00562651990589i</v>
      </c>
      <c r="U253" s="160">
        <f t="shared" si="149"/>
        <v>1.0000158287378511</v>
      </c>
      <c r="V253" s="160">
        <f t="shared" si="150"/>
        <v>5.6264605327421245E-3</v>
      </c>
      <c r="W253" s="98" t="str">
        <f t="shared" si="141"/>
        <v>1-0.0794882313574485i</v>
      </c>
      <c r="X253" s="160">
        <f t="shared" si="151"/>
        <v>1.0031542149262671</v>
      </c>
      <c r="Y253" s="160">
        <f t="shared" si="152"/>
        <v>-7.932145091632245E-2</v>
      </c>
      <c r="Z253" s="98" t="str">
        <f t="shared" si="142"/>
        <v>0.999939364871546+0.0237594328009658i</v>
      </c>
      <c r="AA253" s="160">
        <f t="shared" si="153"/>
        <v>1.0002215974806454</v>
      </c>
      <c r="AB253" s="160">
        <f t="shared" si="154"/>
        <v>2.3756403427769537E-2</v>
      </c>
      <c r="AC253" s="171" t="str">
        <f t="shared" si="155"/>
        <v>0.499150499641169-3.95988007986407i</v>
      </c>
      <c r="AD253" s="190">
        <f t="shared" si="156"/>
        <v>12.022103632585006</v>
      </c>
      <c r="AE253" s="169">
        <f t="shared" si="157"/>
        <v>-82.815647838051575</v>
      </c>
      <c r="AF253" s="98" t="str">
        <f t="shared" si="143"/>
        <v>-0.0000816326530612245</v>
      </c>
      <c r="AG253" s="98" t="str">
        <f t="shared" si="144"/>
        <v>0.000330558044471037i</v>
      </c>
      <c r="AH253" s="98">
        <f t="shared" si="158"/>
        <v>3.3055804447103699E-4</v>
      </c>
      <c r="AI253" s="98">
        <f t="shared" si="159"/>
        <v>1.5707963267948966</v>
      </c>
      <c r="AJ253" s="98" t="str">
        <f t="shared" si="145"/>
        <v>1+0.100738648953328i</v>
      </c>
      <c r="AK253" s="98">
        <f t="shared" si="160"/>
        <v>1.0050613291699875</v>
      </c>
      <c r="AL253" s="98">
        <f t="shared" si="161"/>
        <v>0.10039993447689544</v>
      </c>
      <c r="AM253" s="98" t="str">
        <f t="shared" si="146"/>
        <v>1+1.57823883360215i</v>
      </c>
      <c r="AN253" s="98">
        <f t="shared" si="162"/>
        <v>1.8683783920528183</v>
      </c>
      <c r="AO253" s="98">
        <f t="shared" si="163"/>
        <v>1.0060240282796526</v>
      </c>
      <c r="AP253" s="168" t="str">
        <f t="shared" si="164"/>
        <v>-0.361209029100584+0.283341775369855i</v>
      </c>
      <c r="AQ253" s="98">
        <f t="shared" si="165"/>
        <v>-6.7622309338475652</v>
      </c>
      <c r="AR253" s="169">
        <f t="shared" si="166"/>
        <v>141.88843840025774</v>
      </c>
      <c r="AS253" s="168" t="str">
        <f t="shared" si="167"/>
        <v>0.941701784729951+1.57177462774752i</v>
      </c>
      <c r="AT253" s="190">
        <f t="shared" si="168"/>
        <v>5.2598726987374302</v>
      </c>
      <c r="AU253" s="169">
        <f t="shared" si="169"/>
        <v>59.072790562206123</v>
      </c>
      <c r="AV253" s="225"/>
      <c r="AX253">
        <f t="shared" si="170"/>
        <v>0</v>
      </c>
      <c r="AY253">
        <f t="shared" si="171"/>
        <v>0</v>
      </c>
    </row>
    <row r="254" spans="14:51" x14ac:dyDescent="0.25">
      <c r="N254" s="170">
        <v>36</v>
      </c>
      <c r="O254" s="199">
        <f t="shared" si="172"/>
        <v>2290.8676527677749</v>
      </c>
      <c r="P254" s="189" t="str">
        <f t="shared" si="138"/>
        <v>18.0065359477124</v>
      </c>
      <c r="Q254" s="160" t="str">
        <f t="shared" si="139"/>
        <v>1+4.51574775735325i</v>
      </c>
      <c r="R254" s="160">
        <f t="shared" si="147"/>
        <v>4.6251462472056932</v>
      </c>
      <c r="S254" s="160">
        <f t="shared" si="148"/>
        <v>1.3528659885973999</v>
      </c>
      <c r="T254" s="160" t="str">
        <f t="shared" si="140"/>
        <v>1+0.0057575783906254i</v>
      </c>
      <c r="U254" s="160">
        <f t="shared" si="149"/>
        <v>1.0000165747171015</v>
      </c>
      <c r="V254" s="160">
        <f t="shared" si="150"/>
        <v>5.7575147712081885E-3</v>
      </c>
      <c r="W254" s="98" t="str">
        <f t="shared" si="141"/>
        <v>1-0.0813397501168683i</v>
      </c>
      <c r="X254" s="160">
        <f t="shared" si="151"/>
        <v>1.0033026238125138</v>
      </c>
      <c r="Y254" s="160">
        <f t="shared" si="152"/>
        <v>-8.1161073410590159E-2</v>
      </c>
      <c r="Z254" s="98" t="str">
        <f t="shared" si="142"/>
        <v>0.999936507225981+0.0243128610857937i</v>
      </c>
      <c r="AA254" s="160">
        <f t="shared" si="153"/>
        <v>1.0002320399274718</v>
      </c>
      <c r="AB254" s="160">
        <f t="shared" si="154"/>
        <v>2.4309615093718508E-2</v>
      </c>
      <c r="AC254" s="171" t="str">
        <f t="shared" si="155"/>
        <v>0.460586906500531-3.8779418689939i</v>
      </c>
      <c r="AD254" s="190">
        <f t="shared" si="156"/>
        <v>11.83286173922945</v>
      </c>
      <c r="AE254" s="169">
        <f t="shared" si="157"/>
        <v>-83.226655410186154</v>
      </c>
      <c r="AF254" s="98" t="str">
        <f t="shared" si="143"/>
        <v>-0.0000816326530612245</v>
      </c>
      <c r="AG254" s="98" t="str">
        <f t="shared" si="144"/>
        <v>0.000338257730449242i</v>
      </c>
      <c r="AH254" s="98">
        <f t="shared" si="158"/>
        <v>3.3825773044924201E-4</v>
      </c>
      <c r="AI254" s="98">
        <f t="shared" si="159"/>
        <v>1.5707963267948966</v>
      </c>
      <c r="AJ254" s="98" t="str">
        <f t="shared" si="145"/>
        <v>1+0.103085153525771i</v>
      </c>
      <c r="AK254" s="98">
        <f t="shared" si="160"/>
        <v>1.0052992335008675</v>
      </c>
      <c r="AL254" s="98">
        <f t="shared" si="161"/>
        <v>0.10272231767296588</v>
      </c>
      <c r="AM254" s="98" t="str">
        <f t="shared" si="146"/>
        <v>1+1.61500073857042i</v>
      </c>
      <c r="AN254" s="98">
        <f t="shared" si="162"/>
        <v>1.8995334652442957</v>
      </c>
      <c r="AO254" s="98">
        <f t="shared" si="163"/>
        <v>1.0163824595624191</v>
      </c>
      <c r="AP254" s="168" t="str">
        <f t="shared" si="164"/>
        <v>-0.361038088903958+0.278550371778226i</v>
      </c>
      <c r="AQ254" s="98">
        <f t="shared" si="165"/>
        <v>-6.8206444312776862</v>
      </c>
      <c r="AR254" s="169">
        <f t="shared" si="166"/>
        <v>142.34887003958957</v>
      </c>
      <c r="AS254" s="168" t="str">
        <f t="shared" si="167"/>
        <v>0.913912732845462+1.52838137530411i</v>
      </c>
      <c r="AT254" s="190">
        <f t="shared" si="168"/>
        <v>5.0122173079517811</v>
      </c>
      <c r="AU254" s="169">
        <f t="shared" si="169"/>
        <v>59.122214629403466</v>
      </c>
      <c r="AV254" s="225"/>
      <c r="AX254">
        <f t="shared" si="170"/>
        <v>0</v>
      </c>
      <c r="AY254">
        <f t="shared" si="171"/>
        <v>0</v>
      </c>
    </row>
    <row r="255" spans="14:51" x14ac:dyDescent="0.25">
      <c r="N255" s="170">
        <v>37</v>
      </c>
      <c r="O255" s="199">
        <f t="shared" si="172"/>
        <v>2344.2288153199238</v>
      </c>
      <c r="P255" s="189" t="str">
        <f t="shared" si="138"/>
        <v>18.0065359477124</v>
      </c>
      <c r="Q255" s="160" t="str">
        <f t="shared" si="139"/>
        <v>1+4.62093303500712i</v>
      </c>
      <c r="R255" s="160">
        <f t="shared" si="147"/>
        <v>4.7278982766151083</v>
      </c>
      <c r="S255" s="160">
        <f t="shared" si="148"/>
        <v>1.3576761875441687</v>
      </c>
      <c r="T255" s="160" t="str">
        <f t="shared" si="140"/>
        <v>1+0.00589168961963408i</v>
      </c>
      <c r="U255" s="160">
        <f t="shared" si="149"/>
        <v>1.0000173558526742</v>
      </c>
      <c r="V255" s="160">
        <f t="shared" si="150"/>
        <v>5.8916214502642483E-3</v>
      </c>
      <c r="W255" s="98" t="str">
        <f t="shared" si="141"/>
        <v>1-0.0832343962884591i</v>
      </c>
      <c r="X255" s="160">
        <f t="shared" si="151"/>
        <v>1.0034580034687572</v>
      </c>
      <c r="Y255" s="160">
        <f t="shared" si="152"/>
        <v>-8.3042976363824836E-2</v>
      </c>
      <c r="Z255" s="98" t="str">
        <f t="shared" si="142"/>
        <v>0.99993351490373+0.0248791803713882i</v>
      </c>
      <c r="AA255" s="160">
        <f t="shared" si="153"/>
        <v>1.0002429744035595</v>
      </c>
      <c r="AB255" s="160">
        <f t="shared" si="154"/>
        <v>2.4875702272855814E-2</v>
      </c>
      <c r="AC255" s="171" t="str">
        <f t="shared" si="155"/>
        <v>0.423600637746222-3.79732515808844i</v>
      </c>
      <c r="AD255" s="190">
        <f t="shared" si="156"/>
        <v>11.643265550824998</v>
      </c>
      <c r="AE255" s="169">
        <f t="shared" si="157"/>
        <v>-83.634835264614438</v>
      </c>
      <c r="AF255" s="98" t="str">
        <f t="shared" si="143"/>
        <v>-0.0000816326530612245</v>
      </c>
      <c r="AG255" s="98" t="str">
        <f t="shared" si="144"/>
        <v>0.000346136765153501i</v>
      </c>
      <c r="AH255" s="98">
        <f t="shared" si="158"/>
        <v>3.4613676515350098E-4</v>
      </c>
      <c r="AI255" s="98">
        <f t="shared" si="159"/>
        <v>1.5707963267948966</v>
      </c>
      <c r="AJ255" s="98" t="str">
        <f t="shared" si="145"/>
        <v>1+0.105486315211108i</v>
      </c>
      <c r="AK255" s="98">
        <f t="shared" si="160"/>
        <v>1.0055482895897228</v>
      </c>
      <c r="AL255" s="98">
        <f t="shared" si="161"/>
        <v>0.10509764535575333</v>
      </c>
      <c r="AM255" s="98" t="str">
        <f t="shared" si="146"/>
        <v>1+1.65261893830736i</v>
      </c>
      <c r="AN255" s="98">
        <f t="shared" si="162"/>
        <v>1.9316183254598061</v>
      </c>
      <c r="AO255" s="98">
        <f t="shared" si="163"/>
        <v>1.0266351383328807</v>
      </c>
      <c r="AP255" s="168" t="str">
        <f t="shared" si="164"/>
        <v>-0.360859265868487+0.273905016182138i</v>
      </c>
      <c r="AQ255" s="98">
        <f t="shared" si="165"/>
        <v>-6.8773086801263741</v>
      </c>
      <c r="AR255" s="169">
        <f t="shared" si="166"/>
        <v>142.80020901065612</v>
      </c>
      <c r="AS255" s="168" t="str">
        <f t="shared" si="167"/>
        <v>0.887246193716529+1.48632630834837i</v>
      </c>
      <c r="AT255" s="190">
        <f t="shared" si="168"/>
        <v>4.7659568706986057</v>
      </c>
      <c r="AU255" s="169">
        <f t="shared" si="169"/>
        <v>59.165373746041624</v>
      </c>
      <c r="AV255" s="225"/>
      <c r="AX255">
        <f t="shared" si="170"/>
        <v>0</v>
      </c>
      <c r="AY255">
        <f t="shared" si="171"/>
        <v>0</v>
      </c>
    </row>
    <row r="256" spans="14:51" x14ac:dyDescent="0.25">
      <c r="N256" s="170">
        <v>38</v>
      </c>
      <c r="O256" s="199">
        <f t="shared" si="172"/>
        <v>2398.8329190194918</v>
      </c>
      <c r="P256" s="189" t="str">
        <f t="shared" si="138"/>
        <v>18.0065359477124</v>
      </c>
      <c r="Q256" s="160" t="str">
        <f t="shared" si="139"/>
        <v>1+4.72856839252141i</v>
      </c>
      <c r="R256" s="160">
        <f t="shared" si="147"/>
        <v>4.833152081483937</v>
      </c>
      <c r="S256" s="160">
        <f t="shared" si="148"/>
        <v>1.362386589610193</v>
      </c>
      <c r="T256" s="160" t="str">
        <f t="shared" si="140"/>
        <v>1+0.0060289247004648i</v>
      </c>
      <c r="U256" s="160">
        <f t="shared" si="149"/>
        <v>1.0000181738013785</v>
      </c>
      <c r="V256" s="160">
        <f t="shared" si="150"/>
        <v>6.0288516557406953E-3</v>
      </c>
      <c r="W256" s="98" t="str">
        <f t="shared" si="141"/>
        <v>1-0.0851731744386992i</v>
      </c>
      <c r="X256" s="160">
        <f t="shared" si="151"/>
        <v>1.0036206801595735</v>
      </c>
      <c r="Y256" s="160">
        <f t="shared" si="152"/>
        <v>-8.4968104237236275E-2</v>
      </c>
      <c r="Z256" s="98" t="str">
        <f t="shared" si="142"/>
        <v>0.999930381557676+0.0254586909277304i</v>
      </c>
      <c r="AA256" s="160">
        <f t="shared" si="153"/>
        <v>1.0002544240871085</v>
      </c>
      <c r="AB256" s="160">
        <f t="shared" si="154"/>
        <v>2.5454964128093692E-2</v>
      </c>
      <c r="AC256" s="171" t="str">
        <f t="shared" si="155"/>
        <v>0.388133802331399-3.71803189046349i</v>
      </c>
      <c r="AD256" s="190">
        <f t="shared" si="156"/>
        <v>11.45333449538396</v>
      </c>
      <c r="AE256" s="169">
        <f t="shared" si="157"/>
        <v>-84.040349672919376</v>
      </c>
      <c r="AF256" s="98" t="str">
        <f t="shared" si="143"/>
        <v>-0.0000816326530612245</v>
      </c>
      <c r="AG256" s="98" t="str">
        <f t="shared" si="144"/>
        <v>0.000354199326152307i</v>
      </c>
      <c r="AH256" s="98">
        <f t="shared" si="158"/>
        <v>3.5419932615230701E-4</v>
      </c>
      <c r="AI256" s="98">
        <f t="shared" si="159"/>
        <v>1.5707963267948966</v>
      </c>
      <c r="AJ256" s="98" t="str">
        <f t="shared" si="145"/>
        <v>1+0.107943407137045i</v>
      </c>
      <c r="AK256" s="98">
        <f t="shared" si="160"/>
        <v>1.0058090172315786</v>
      </c>
      <c r="AL256" s="98">
        <f t="shared" si="161"/>
        <v>0.10752706968062391</v>
      </c>
      <c r="AM256" s="98" t="str">
        <f t="shared" si="146"/>
        <v>1+1.69111337848038i</v>
      </c>
      <c r="AN256" s="98">
        <f t="shared" si="162"/>
        <v>1.9646537758280274</v>
      </c>
      <c r="AO256" s="98">
        <f t="shared" si="163"/>
        <v>1.0367788783954912</v>
      </c>
      <c r="AP256" s="168" t="str">
        <f t="shared" si="164"/>
        <v>-0.360672204926996+0.269403130655889i</v>
      </c>
      <c r="AQ256" s="98">
        <f t="shared" si="165"/>
        <v>-6.9322663383282643</v>
      </c>
      <c r="AR256" s="169">
        <f t="shared" si="166"/>
        <v>143.24220674425996</v>
      </c>
      <c r="AS256" s="168" t="str">
        <f t="shared" si="167"/>
        <v>0.861660356875733+1.44555522138381i</v>
      </c>
      <c r="AT256" s="190">
        <f t="shared" si="168"/>
        <v>4.5210681570557067</v>
      </c>
      <c r="AU256" s="169">
        <f t="shared" si="169"/>
        <v>59.20185707134064</v>
      </c>
      <c r="AV256" s="225"/>
      <c r="AX256">
        <f t="shared" si="170"/>
        <v>0</v>
      </c>
      <c r="AY256">
        <f t="shared" si="171"/>
        <v>0</v>
      </c>
    </row>
    <row r="257" spans="14:51" x14ac:dyDescent="0.25">
      <c r="N257" s="170">
        <v>39</v>
      </c>
      <c r="O257" s="199">
        <f t="shared" si="172"/>
        <v>2454.7089156850338</v>
      </c>
      <c r="P257" s="189" t="str">
        <f t="shared" si="138"/>
        <v>18.0065359477124</v>
      </c>
      <c r="Q257" s="160" t="str">
        <f t="shared" si="139"/>
        <v>1+4.83871089958742i</v>
      </c>
      <c r="R257" s="160">
        <f t="shared" si="147"/>
        <v>4.9409637895643508</v>
      </c>
      <c r="S257" s="160">
        <f t="shared" si="148"/>
        <v>1.3669988558145105</v>
      </c>
      <c r="T257" s="160" t="str">
        <f t="shared" si="140"/>
        <v>1+0.00616935639697396i</v>
      </c>
      <c r="U257" s="160">
        <f t="shared" si="149"/>
        <v>1.0000190302981002</v>
      </c>
      <c r="V257" s="160">
        <f t="shared" si="150"/>
        <v>6.1692781282223792E-3</v>
      </c>
      <c r="W257" s="98" t="str">
        <f t="shared" si="141"/>
        <v>1-0.0871571125334269i</v>
      </c>
      <c r="X257" s="160">
        <f t="shared" si="151"/>
        <v>1.0037909953098625</v>
      </c>
      <c r="Y257" s="160">
        <f t="shared" si="152"/>
        <v>-8.6937420649374306E-2</v>
      </c>
      <c r="Z257" s="98" t="str">
        <f t="shared" si="142"/>
        <v>0.999927100541571+0.026051700018988i</v>
      </c>
      <c r="AA257" s="160">
        <f t="shared" si="153"/>
        <v>1.0002664132476669</v>
      </c>
      <c r="AB257" s="160">
        <f t="shared" si="154"/>
        <v>2.6047706737426405E-2</v>
      </c>
      <c r="AC257" s="171" t="str">
        <f t="shared" si="155"/>
        <v>0.354130078275121-3.64006216937283i</v>
      </c>
      <c r="AD257" s="190">
        <f t="shared" si="156"/>
        <v>11.2630874994815</v>
      </c>
      <c r="AE257" s="169">
        <f t="shared" si="157"/>
        <v>-84.443362385006139</v>
      </c>
      <c r="AF257" s="98" t="str">
        <f t="shared" si="143"/>
        <v>-0.0000816326530612245</v>
      </c>
      <c r="AG257" s="98" t="str">
        <f t="shared" si="144"/>
        <v>0.000362449688322221i</v>
      </c>
      <c r="AH257" s="98">
        <f t="shared" si="158"/>
        <v>3.6244968832222098E-4</v>
      </c>
      <c r="AI257" s="98">
        <f t="shared" si="159"/>
        <v>1.5707963267948966</v>
      </c>
      <c r="AJ257" s="98" t="str">
        <f t="shared" si="145"/>
        <v>1+0.110457732086246i</v>
      </c>
      <c r="AK257" s="98">
        <f t="shared" si="160"/>
        <v>1.0060819601690694</v>
      </c>
      <c r="AL257" s="98">
        <f t="shared" si="161"/>
        <v>0.11001176398830845</v>
      </c>
      <c r="AM257" s="98" t="str">
        <f t="shared" si="146"/>
        <v>1+1.7305044693512i</v>
      </c>
      <c r="AN257" s="98">
        <f t="shared" si="162"/>
        <v>1.9986609813683958</v>
      </c>
      <c r="AO257" s="98">
        <f t="shared" si="163"/>
        <v>1.0468107076371698</v>
      </c>
      <c r="AP257" s="168" t="str">
        <f t="shared" si="164"/>
        <v>-0.360476535823394+0.2650422054395i</v>
      </c>
      <c r="AQ257" s="98">
        <f t="shared" si="165"/>
        <v>-6.9855609415697835</v>
      </c>
      <c r="AR257" s="169">
        <f t="shared" si="166"/>
        <v>143.67462572339358</v>
      </c>
      <c r="AS257" s="168" t="str">
        <f t="shared" si="167"/>
        <v>0.837114521459983+1.40601641795581i</v>
      </c>
      <c r="AT257" s="190">
        <f t="shared" si="168"/>
        <v>4.277526557911731</v>
      </c>
      <c r="AU257" s="169">
        <f t="shared" si="169"/>
        <v>59.231263338387478</v>
      </c>
      <c r="AV257" s="225"/>
      <c r="AX257">
        <f t="shared" si="170"/>
        <v>0</v>
      </c>
      <c r="AY257">
        <f t="shared" si="171"/>
        <v>0</v>
      </c>
    </row>
    <row r="258" spans="14:51" x14ac:dyDescent="0.25">
      <c r="N258" s="170">
        <v>40</v>
      </c>
      <c r="O258" s="199">
        <f t="shared" si="172"/>
        <v>2511.8864315095811</v>
      </c>
      <c r="P258" s="189" t="str">
        <f t="shared" si="138"/>
        <v>18.0065359477124</v>
      </c>
      <c r="Q258" s="160" t="str">
        <f t="shared" si="139"/>
        <v>1+4.95141895522033i</v>
      </c>
      <c r="R258" s="160">
        <f t="shared" si="147"/>
        <v>5.0513908649118795</v>
      </c>
      <c r="S258" s="160">
        <f t="shared" si="148"/>
        <v>1.3715146463404317</v>
      </c>
      <c r="T258" s="160" t="str">
        <f t="shared" si="140"/>
        <v>1+0.00631305916790592i</v>
      </c>
      <c r="U258" s="160">
        <f t="shared" si="149"/>
        <v>1.000019927159483</v>
      </c>
      <c r="V258" s="160">
        <f t="shared" si="150"/>
        <v>6.3129753015178638E-3</v>
      </c>
      <c r="W258" s="98" t="str">
        <f t="shared" si="141"/>
        <v>1-0.0891872624828812i</v>
      </c>
      <c r="X258" s="160">
        <f t="shared" si="151"/>
        <v>1.0039693061987456</v>
      </c>
      <c r="Y258" s="160">
        <f t="shared" si="152"/>
        <v>-8.8951908624616813E-2</v>
      </c>
      <c r="Z258" s="98" t="str">
        <f t="shared" si="142"/>
        <v>0.999923664895942+0.026658522066431i</v>
      </c>
      <c r="AA258" s="160">
        <f t="shared" si="153"/>
        <v>1.0002789672974728</v>
      </c>
      <c r="AB258" s="160">
        <f t="shared" si="154"/>
        <v>2.665424325119713E-2</v>
      </c>
      <c r="AC258" s="171" t="str">
        <f t="shared" si="155"/>
        <v>0.321534720041615-3.56341438429343i</v>
      </c>
      <c r="AD258" s="190">
        <f t="shared" si="156"/>
        <v>11.072543010610055</v>
      </c>
      <c r="AE258" s="169">
        <f t="shared" si="157"/>
        <v>-84.844038522969711</v>
      </c>
      <c r="AF258" s="98" t="str">
        <f t="shared" si="143"/>
        <v>-0.0000816326530612245</v>
      </c>
      <c r="AG258" s="98" t="str">
        <f t="shared" si="144"/>
        <v>0.000370892226114472i</v>
      </c>
      <c r="AH258" s="98">
        <f t="shared" si="158"/>
        <v>3.7089222611447198E-4</v>
      </c>
      <c r="AI258" s="98">
        <f t="shared" si="159"/>
        <v>1.5707963267948966</v>
      </c>
      <c r="AJ258" s="98" t="str">
        <f t="shared" si="145"/>
        <v>1+0.113030623187081i</v>
      </c>
      <c r="AK258" s="98">
        <f t="shared" si="160"/>
        <v>1.0063676871690883</v>
      </c>
      <c r="AL258" s="98">
        <f t="shared" si="161"/>
        <v>0.11255292291173492</v>
      </c>
      <c r="AM258" s="98" t="str">
        <f t="shared" si="146"/>
        <v>1+1.77081309659761i</v>
      </c>
      <c r="AN258" s="98">
        <f t="shared" si="162"/>
        <v>2.0336614819289904</v>
      </c>
      <c r="AO258" s="98">
        <f t="shared" si="163"/>
        <v>1.056727867858454</v>
      </c>
      <c r="AP258" s="168" t="str">
        <f t="shared" si="164"/>
        <v>-0.360271872539908+0.260819797079922i</v>
      </c>
      <c r="AQ258" s="98">
        <f t="shared" si="165"/>
        <v>-7.0372368021505043</v>
      </c>
      <c r="AR258" s="169">
        <f t="shared" si="166"/>
        <v>144.09723946744396</v>
      </c>
      <c r="AS258" s="168" t="str">
        <f t="shared" si="167"/>
        <v>0.8135691009471+1.36766059330044i</v>
      </c>
      <c r="AT258" s="190">
        <f t="shared" si="168"/>
        <v>4.0353062084595468</v>
      </c>
      <c r="AU258" s="169">
        <f t="shared" si="169"/>
        <v>59.253200944474237</v>
      </c>
      <c r="AV258" s="225"/>
      <c r="AX258">
        <f t="shared" si="170"/>
        <v>0</v>
      </c>
      <c r="AY258">
        <f t="shared" si="171"/>
        <v>0</v>
      </c>
    </row>
    <row r="259" spans="14:51" x14ac:dyDescent="0.25">
      <c r="N259" s="170">
        <v>41</v>
      </c>
      <c r="O259" s="199">
        <f t="shared" si="172"/>
        <v>2570.3957827688669</v>
      </c>
      <c r="P259" s="189" t="str">
        <f t="shared" si="138"/>
        <v>18.0065359477124</v>
      </c>
      <c r="Q259" s="160" t="str">
        <f t="shared" si="139"/>
        <v>1+5.06675231872304i</v>
      </c>
      <c r="R259" s="160">
        <f t="shared" si="147"/>
        <v>5.1644921395317569</v>
      </c>
      <c r="S259" s="160">
        <f t="shared" si="148"/>
        <v>1.3759356184706497</v>
      </c>
      <c r="T259" s="160" t="str">
        <f t="shared" si="140"/>
        <v>1+0.00646010920637188i</v>
      </c>
      <c r="U259" s="160">
        <f t="shared" si="149"/>
        <v>1.0000208662877781</v>
      </c>
      <c r="V259" s="160">
        <f t="shared" si="150"/>
        <v>6.4600193420192879E-3</v>
      </c>
      <c r="W259" s="98" t="str">
        <f t="shared" si="141"/>
        <v>1-0.0912647006994363i</v>
      </c>
      <c r="X259" s="160">
        <f t="shared" si="151"/>
        <v>1.0041559866842191</v>
      </c>
      <c r="Y259" s="160">
        <f t="shared" si="152"/>
        <v>-9.1012570833961956E-2</v>
      </c>
      <c r="Z259" s="98" t="str">
        <f t="shared" si="142"/>
        <v>0.999920067333322+0.0272794788151406i</v>
      </c>
      <c r="AA259" s="160">
        <f t="shared" si="153"/>
        <v>1.0002921128451931</v>
      </c>
      <c r="AB259" s="160">
        <f t="shared" si="154"/>
        <v>2.7274894052755412E-2</v>
      </c>
      <c r="AC259" s="171" t="str">
        <f t="shared" si="155"/>
        <v>0.290294560294722-3.48808533197977i</v>
      </c>
      <c r="AD259" s="190">
        <f t="shared" si="156"/>
        <v>10.881719019798382</v>
      </c>
      <c r="AE259" s="169">
        <f t="shared" si="157"/>
        <v>-85.242544483531177</v>
      </c>
      <c r="AF259" s="98" t="str">
        <f t="shared" si="143"/>
        <v>-0.0000816326530612245</v>
      </c>
      <c r="AG259" s="98" t="str">
        <f t="shared" si="144"/>
        <v>0.000379531415874348i</v>
      </c>
      <c r="AH259" s="98">
        <f t="shared" si="158"/>
        <v>3.7953141587434799E-4</v>
      </c>
      <c r="AI259" s="98">
        <f t="shared" si="159"/>
        <v>1.5707963267948966</v>
      </c>
      <c r="AJ259" s="98" t="str">
        <f t="shared" si="145"/>
        <v>1+0.115663444620466i</v>
      </c>
      <c r="AK259" s="98">
        <f t="shared" si="160"/>
        <v>1.0066667931453146</v>
      </c>
      <c r="AL259" s="98">
        <f t="shared" si="161"/>
        <v>0.11515176245978311</v>
      </c>
      <c r="AM259" s="98" t="str">
        <f t="shared" si="146"/>
        <v>1+1.81206063238731i</v>
      </c>
      <c r="AN259" s="98">
        <f t="shared" si="162"/>
        <v>2.0696772056163488</v>
      </c>
      <c r="AO259" s="98">
        <f t="shared" si="163"/>
        <v>1.0665278137977119</v>
      </c>
      <c r="AP259" s="168" t="str">
        <f t="shared" si="164"/>
        <v>-0.360057812710269+0.256733526573999i</v>
      </c>
      <c r="AQ259" s="98">
        <f t="shared" si="165"/>
        <v>-7.0873389108293283</v>
      </c>
      <c r="AR259" s="169">
        <f t="shared" si="166"/>
        <v>144.50983247148483</v>
      </c>
      <c r="AS259" s="168" t="str">
        <f t="shared" si="167"/>
        <v>0.790985623848798+1.33044072138912i</v>
      </c>
      <c r="AT259" s="190">
        <f t="shared" si="168"/>
        <v>3.7943801089690519</v>
      </c>
      <c r="AU259" s="169">
        <f t="shared" si="169"/>
        <v>59.267287987953644</v>
      </c>
      <c r="AV259" s="225"/>
      <c r="AX259">
        <f t="shared" si="170"/>
        <v>0</v>
      </c>
      <c r="AY259">
        <f t="shared" si="171"/>
        <v>0</v>
      </c>
    </row>
    <row r="260" spans="14:51" x14ac:dyDescent="0.25">
      <c r="N260" s="170">
        <v>42</v>
      </c>
      <c r="O260" s="199">
        <f t="shared" si="172"/>
        <v>2630.2679918953822</v>
      </c>
      <c r="P260" s="189" t="str">
        <f t="shared" si="138"/>
        <v>18.0065359477124</v>
      </c>
      <c r="Q260" s="160" t="str">
        <f t="shared" si="139"/>
        <v>1+5.18477214137155i</v>
      </c>
      <c r="R260" s="160">
        <f t="shared" si="147"/>
        <v>5.2803278456874745</v>
      </c>
      <c r="S260" s="160">
        <f t="shared" si="148"/>
        <v>1.3802634246705756</v>
      </c>
      <c r="T260" s="160" t="str">
        <f t="shared" si="140"/>
        <v>1+0.00661058448024872i</v>
      </c>
      <c r="U260" s="160">
        <f t="shared" si="149"/>
        <v>1.0000218496748812</v>
      </c>
      <c r="V260" s="160">
        <f t="shared" si="150"/>
        <v>6.6104881889736938E-3</v>
      </c>
      <c r="W260" s="98" t="str">
        <f t="shared" si="141"/>
        <v>1-0.0933905286683335i</v>
      </c>
      <c r="X260" s="160">
        <f t="shared" si="151"/>
        <v>1.0043514279598307</v>
      </c>
      <c r="Y260" s="160">
        <f t="shared" si="152"/>
        <v>-9.3120429827067919E-2</v>
      </c>
      <c r="Z260" s="98" t="str">
        <f t="shared" si="142"/>
        <v>0.9999163002228+0.0279148995046046i</v>
      </c>
      <c r="AA260" s="160">
        <f t="shared" si="153"/>
        <v>1.0003058777522029</v>
      </c>
      <c r="AB260" s="160">
        <f t="shared" si="154"/>
        <v>2.7909986922569133E-2</v>
      </c>
      <c r="AC260" s="171" t="str">
        <f t="shared" si="155"/>
        <v>0.260358006571153-3.41407033227707i</v>
      </c>
      <c r="AD260" s="190">
        <f t="shared" si="156"/>
        <v>10.690633084442652</v>
      </c>
      <c r="AE260" s="169">
        <f t="shared" si="157"/>
        <v>-85.639047848611568</v>
      </c>
      <c r="AF260" s="98" t="str">
        <f t="shared" si="143"/>
        <v>-0.0000816326530612245</v>
      </c>
      <c r="AG260" s="98" t="str">
        <f t="shared" si="144"/>
        <v>0.000388371838214613i</v>
      </c>
      <c r="AH260" s="98">
        <f t="shared" si="158"/>
        <v>3.8837183821461299E-4</v>
      </c>
      <c r="AI260" s="98">
        <f t="shared" si="159"/>
        <v>1.5707963267948966</v>
      </c>
      <c r="AJ260" s="98" t="str">
        <f t="shared" si="145"/>
        <v>1+0.118357592343176i</v>
      </c>
      <c r="AK260" s="98">
        <f t="shared" si="160"/>
        <v>1.0069799003283399</v>
      </c>
      <c r="AL260" s="98">
        <f t="shared" si="161"/>
        <v>0.11780952007584494</v>
      </c>
      <c r="AM260" s="98" t="str">
        <f t="shared" si="146"/>
        <v>1+1.85426894670977i</v>
      </c>
      <c r="AN260" s="98">
        <f t="shared" si="162"/>
        <v>2.1067304826987621</v>
      </c>
      <c r="AO260" s="98">
        <f t="shared" si="163"/>
        <v>1.0762082113959148</v>
      </c>
      <c r="AP260" s="168" t="str">
        <f t="shared" si="164"/>
        <v>-0.359833937019344+0.252781077510316i</v>
      </c>
      <c r="AQ260" s="98">
        <f t="shared" si="165"/>
        <v>-7.135912842121046</v>
      </c>
      <c r="AR260" s="169">
        <f t="shared" si="166"/>
        <v>144.91220010350142</v>
      </c>
      <c r="AS260" s="168" t="str">
        <f t="shared" si="167"/>
        <v>0.769326730749994+1.29431194636369i</v>
      </c>
      <c r="AT260" s="190">
        <f t="shared" si="168"/>
        <v>3.5547202423215958</v>
      </c>
      <c r="AU260" s="169">
        <f t="shared" si="169"/>
        <v>59.273152254889816</v>
      </c>
      <c r="AV260" s="225"/>
      <c r="AX260">
        <f t="shared" si="170"/>
        <v>0</v>
      </c>
      <c r="AY260">
        <f t="shared" si="171"/>
        <v>0</v>
      </c>
    </row>
    <row r="261" spans="14:51" x14ac:dyDescent="0.25">
      <c r="N261" s="170">
        <v>43</v>
      </c>
      <c r="O261" s="199">
        <f t="shared" si="172"/>
        <v>2691.5348039269184</v>
      </c>
      <c r="P261" s="189" t="str">
        <f t="shared" si="138"/>
        <v>18.0065359477124</v>
      </c>
      <c r="Q261" s="160" t="str">
        <f t="shared" si="139"/>
        <v>1+5.30554099883799i</v>
      </c>
      <c r="R261" s="160">
        <f t="shared" si="147"/>
        <v>5.3989596488907754</v>
      </c>
      <c r="S261" s="160">
        <f t="shared" si="148"/>
        <v>1.3844997108133268</v>
      </c>
      <c r="T261" s="160" t="str">
        <f t="shared" si="140"/>
        <v>1+0.00676456477351844i</v>
      </c>
      <c r="U261" s="160">
        <f t="shared" si="149"/>
        <v>1.000022879406554</v>
      </c>
      <c r="V261" s="160">
        <f t="shared" si="150"/>
        <v>6.764461595685816E-3</v>
      </c>
      <c r="W261" s="98" t="str">
        <f t="shared" si="141"/>
        <v>1-0.0955658735317007i</v>
      </c>
      <c r="X261" s="160">
        <f t="shared" si="151"/>
        <v>1.0045560393446833</v>
      </c>
      <c r="Y261" s="160">
        <f t="shared" si="152"/>
        <v>-9.5276528254383722E-2</v>
      </c>
      <c r="Z261" s="98" t="str">
        <f t="shared" si="142"/>
        <v>0.999912355573828+0.0285651210432834i</v>
      </c>
      <c r="AA261" s="160">
        <f t="shared" si="153"/>
        <v>1.0003202911914857</v>
      </c>
      <c r="AB261" s="160">
        <f t="shared" si="154"/>
        <v>2.8559857205845161E-2</v>
      </c>
      <c r="AC261" s="171" t="str">
        <f t="shared" si="155"/>
        <v>0.231675033385355-3.34136333871518i</v>
      </c>
      <c r="AD261" s="190">
        <f t="shared" si="156"/>
        <v>10.499302351306026</v>
      </c>
      <c r="AE261" s="169">
        <f t="shared" si="157"/>
        <v>-86.033717303601833</v>
      </c>
      <c r="AF261" s="98" t="str">
        <f t="shared" si="143"/>
        <v>-0.0000816326530612245</v>
      </c>
      <c r="AG261" s="98" t="str">
        <f t="shared" si="144"/>
        <v>0.000397418180444208i</v>
      </c>
      <c r="AH261" s="98">
        <f t="shared" si="158"/>
        <v>3.9741818044420799E-4</v>
      </c>
      <c r="AI261" s="98">
        <f t="shared" si="159"/>
        <v>1.5707963267948966</v>
      </c>
      <c r="AJ261" s="98" t="str">
        <f t="shared" si="145"/>
        <v>1+0.121114494827995i</v>
      </c>
      <c r="AK261" s="98">
        <f t="shared" si="160"/>
        <v>1.0073076594851449</v>
      </c>
      <c r="AL261" s="98">
        <f t="shared" si="161"/>
        <v>0.120527454668914</v>
      </c>
      <c r="AM261" s="98" t="str">
        <f t="shared" si="146"/>
        <v>1+1.89746041897192i</v>
      </c>
      <c r="AN261" s="98">
        <f t="shared" si="162"/>
        <v>2.1448440599645218</v>
      </c>
      <c r="AO261" s="98">
        <f t="shared" si="163"/>
        <v>1.0857669353524024</v>
      </c>
      <c r="AP261" s="168" t="str">
        <f t="shared" si="164"/>
        <v>-0.35959980858972+0.248960194206984i</v>
      </c>
      <c r="AQ261" s="98">
        <f t="shared" si="165"/>
        <v>-7.1830046634573952</v>
      </c>
      <c r="AR261" s="169">
        <f t="shared" si="166"/>
        <v>145.30414846256321</v>
      </c>
      <c r="AS261" s="168" t="str">
        <f t="shared" si="167"/>
        <v>0.748556168062237+1.25923147833521i</v>
      </c>
      <c r="AT261" s="190">
        <f t="shared" si="168"/>
        <v>3.3162976878486079</v>
      </c>
      <c r="AU261" s="169">
        <f t="shared" si="169"/>
        <v>59.270431158961273</v>
      </c>
      <c r="AV261" s="225"/>
      <c r="AX261">
        <f t="shared" si="170"/>
        <v>0</v>
      </c>
      <c r="AY261">
        <f t="shared" si="171"/>
        <v>0</v>
      </c>
    </row>
    <row r="262" spans="14:51" x14ac:dyDescent="0.25">
      <c r="N262" s="170">
        <v>44</v>
      </c>
      <c r="O262" s="199">
        <f t="shared" si="172"/>
        <v>2754.228703338169</v>
      </c>
      <c r="P262" s="189" t="str">
        <f t="shared" si="138"/>
        <v>18.0065359477124</v>
      </c>
      <c r="Q262" s="160" t="str">
        <f t="shared" si="139"/>
        <v>1+5.42912292436916i</v>
      </c>
      <c r="R262" s="160">
        <f t="shared" si="147"/>
        <v>5.5204506815939167</v>
      </c>
      <c r="S262" s="160">
        <f t="shared" si="148"/>
        <v>1.3886461145398932</v>
      </c>
      <c r="T262" s="160" t="str">
        <f t="shared" si="140"/>
        <v>1+0.00692213172857068i</v>
      </c>
      <c r="U262" s="160">
        <f t="shared" si="149"/>
        <v>1.0000239576668488</v>
      </c>
      <c r="V262" s="160">
        <f t="shared" si="150"/>
        <v>6.9220211716741996E-3</v>
      </c>
      <c r="W262" s="98" t="str">
        <f t="shared" si="141"/>
        <v>1-0.0977918886861783i</v>
      </c>
      <c r="X262" s="160">
        <f t="shared" si="151"/>
        <v>1.0047702491081281</v>
      </c>
      <c r="Y262" s="160">
        <f t="shared" si="152"/>
        <v>-9.7481929078152951E-2</v>
      </c>
      <c r="Z262" s="98" t="str">
        <f t="shared" si="142"/>
        <v>0.999908225019278+0.0292304881872435i</v>
      </c>
      <c r="AA262" s="160">
        <f t="shared" si="153"/>
        <v>1.0003353837093176</v>
      </c>
      <c r="AB262" s="160">
        <f t="shared" si="154"/>
        <v>2.9224847983721873E-2</v>
      </c>
      <c r="AC262" s="171" t="str">
        <f t="shared" si="155"/>
        <v>0.204197170247178-3.26995704393021i</v>
      </c>
      <c r="AD262" s="190">
        <f t="shared" si="156"/>
        <v>10.307743579645512</v>
      </c>
      <c r="AE262" s="169">
        <f t="shared" si="157"/>
        <v>-86.426722562889495</v>
      </c>
      <c r="AF262" s="98" t="str">
        <f t="shared" si="143"/>
        <v>-0.0000816326530612245</v>
      </c>
      <c r="AG262" s="98" t="str">
        <f t="shared" si="144"/>
        <v>0.000406675239053527i</v>
      </c>
      <c r="AH262" s="98">
        <f t="shared" si="158"/>
        <v>4.0667523905352698E-4</v>
      </c>
      <c r="AI262" s="98">
        <f t="shared" si="159"/>
        <v>1.5707963267948966</v>
      </c>
      <c r="AJ262" s="98" t="str">
        <f t="shared" si="145"/>
        <v>1+0.123935613821111i</v>
      </c>
      <c r="AK262" s="98">
        <f t="shared" si="160"/>
        <v>1.0076507511897244</v>
      </c>
      <c r="AL262" s="98">
        <f t="shared" si="161"/>
        <v>0.12330684661482073</v>
      </c>
      <c r="AM262" s="98" t="str">
        <f t="shared" si="146"/>
        <v>1+1.94165794986408i</v>
      </c>
      <c r="AN262" s="98">
        <f t="shared" si="162"/>
        <v>2.1840411155173753</v>
      </c>
      <c r="AO262" s="98">
        <f t="shared" si="163"/>
        <v>1.0952020660244262</v>
      </c>
      <c r="AP262" s="168" t="str">
        <f t="shared" si="164"/>
        <v>-0.359354972356029+0.245268679842318i</v>
      </c>
      <c r="AQ262" s="98">
        <f t="shared" si="165"/>
        <v>-7.2286608485710673</v>
      </c>
      <c r="AR262" s="169">
        <f t="shared" si="166"/>
        <v>145.68549420111148</v>
      </c>
      <c r="AS262" s="168" t="str">
        <f t="shared" si="167"/>
        <v>0.728638778836497+1.22515849350101i</v>
      </c>
      <c r="AT262" s="190">
        <f t="shared" si="168"/>
        <v>3.0790827310744695</v>
      </c>
      <c r="AU262" s="169">
        <f t="shared" si="169"/>
        <v>59.2587716382221</v>
      </c>
      <c r="AV262" s="225"/>
      <c r="AX262">
        <f t="shared" si="170"/>
        <v>0</v>
      </c>
      <c r="AY262">
        <f t="shared" si="171"/>
        <v>0</v>
      </c>
    </row>
    <row r="263" spans="14:51" x14ac:dyDescent="0.25">
      <c r="N263" s="170">
        <v>45</v>
      </c>
      <c r="O263" s="199">
        <f t="shared" si="172"/>
        <v>2818.3829312644561</v>
      </c>
      <c r="P263" s="189" t="str">
        <f t="shared" si="138"/>
        <v>18.0065359477124</v>
      </c>
      <c r="Q263" s="160" t="str">
        <f t="shared" si="139"/>
        <v>1+5.55558344273776i</v>
      </c>
      <c r="R263" s="160">
        <f t="shared" si="147"/>
        <v>5.6448655776043015</v>
      </c>
      <c r="S263" s="160">
        <f t="shared" si="148"/>
        <v>1.3927042637480367</v>
      </c>
      <c r="T263" s="160" t="str">
        <f t="shared" si="140"/>
        <v>1+0.00708336888949064i</v>
      </c>
      <c r="U263" s="160">
        <f t="shared" si="149"/>
        <v>1.00002508674274</v>
      </c>
      <c r="V263" s="160">
        <f t="shared" si="150"/>
        <v>7.0832504258022365E-3</v>
      </c>
      <c r="W263" s="98" t="str">
        <f t="shared" si="141"/>
        <v>1-0.100069754394466i</v>
      </c>
      <c r="X263" s="160">
        <f t="shared" si="151"/>
        <v>1.004994505330536</v>
      </c>
      <c r="Y263" s="160">
        <f t="shared" si="152"/>
        <v>-9.9737715770972291E-2</v>
      </c>
      <c r="Z263" s="98" t="str">
        <f t="shared" si="142"/>
        <v>0.999903899797689+0.0299113537229517i</v>
      </c>
      <c r="AA263" s="160">
        <f t="shared" si="153"/>
        <v>1.000351187289827</v>
      </c>
      <c r="AB263" s="160">
        <f t="shared" si="154"/>
        <v>2.9905310248092291E-2</v>
      </c>
      <c r="AC263" s="171" t="str">
        <f t="shared" si="155"/>
        <v>0.177877486042946-3.19984297998483i</v>
      </c>
      <c r="AD263" s="190">
        <f t="shared" si="156"/>
        <v>10.115973164431953</v>
      </c>
      <c r="AE263" s="169">
        <f t="shared" si="157"/>
        <v>-86.818234302201574</v>
      </c>
      <c r="AF263" s="98" t="str">
        <f t="shared" si="143"/>
        <v>-0.0000816326530612245</v>
      </c>
      <c r="AG263" s="98" t="str">
        <f t="shared" si="144"/>
        <v>0.000416147922257574i</v>
      </c>
      <c r="AH263" s="98">
        <f t="shared" si="158"/>
        <v>4.1614792225757398E-4</v>
      </c>
      <c r="AI263" s="98">
        <f t="shared" si="159"/>
        <v>1.5707963267948966</v>
      </c>
      <c r="AJ263" s="98" t="str">
        <f t="shared" si="145"/>
        <v>1+0.126822445117156i</v>
      </c>
      <c r="AK263" s="98">
        <f t="shared" si="160"/>
        <v>1.0080098871466956</v>
      </c>
      <c r="AL263" s="98">
        <f t="shared" si="161"/>
        <v>0.12614899772506655</v>
      </c>
      <c r="AM263" s="98" t="str">
        <f t="shared" si="146"/>
        <v>1+1.98688497350212i</v>
      </c>
      <c r="AN263" s="98">
        <f t="shared" si="162"/>
        <v>2.2243452739915446</v>
      </c>
      <c r="AO263" s="98">
        <f t="shared" si="163"/>
        <v>1.104511885724683</v>
      </c>
      <c r="AP263" s="168" t="str">
        <f t="shared" si="164"/>
        <v>-0.359098954427774+0.241704394575323i</v>
      </c>
      <c r="AQ263" s="98">
        <f t="shared" si="165"/>
        <v>-7.2729281954100919</v>
      </c>
      <c r="AR263" s="169">
        <f t="shared" si="166"/>
        <v>146.05606431460848</v>
      </c>
      <c r="AS263" s="168" t="str">
        <f t="shared" si="167"/>
        <v>0.709540490959068+1.1920540385182i</v>
      </c>
      <c r="AT263" s="190">
        <f t="shared" si="168"/>
        <v>2.8430449690218844</v>
      </c>
      <c r="AU263" s="169">
        <f t="shared" si="169"/>
        <v>59.237830012406988</v>
      </c>
      <c r="AV263" s="225"/>
      <c r="AX263">
        <f t="shared" si="170"/>
        <v>0</v>
      </c>
      <c r="AY263">
        <f t="shared" si="171"/>
        <v>0</v>
      </c>
    </row>
    <row r="264" spans="14:51" x14ac:dyDescent="0.25">
      <c r="N264" s="170">
        <v>46</v>
      </c>
      <c r="O264" s="199">
        <f t="shared" si="172"/>
        <v>2884.0315031266077</v>
      </c>
      <c r="P264" s="189" t="str">
        <f t="shared" si="138"/>
        <v>18.0065359477124</v>
      </c>
      <c r="Q264" s="160" t="str">
        <f t="shared" si="139"/>
        <v>1+5.68498960498453i</v>
      </c>
      <c r="R264" s="160">
        <f t="shared" si="147"/>
        <v>5.7722705072425491</v>
      </c>
      <c r="S264" s="160">
        <f t="shared" si="148"/>
        <v>1.3966757752036087</v>
      </c>
      <c r="T264" s="160" t="str">
        <f t="shared" si="140"/>
        <v>1+0.00724836174635528i</v>
      </c>
      <c r="U264" s="160">
        <f t="shared" si="149"/>
        <v>1.0000262690289721</v>
      </c>
      <c r="V264" s="160">
        <f t="shared" si="150"/>
        <v>7.2482348104062734E-3</v>
      </c>
      <c r="W264" s="98" t="str">
        <f t="shared" si="141"/>
        <v>1-0.102400678411113i</v>
      </c>
      <c r="X264" s="160">
        <f t="shared" si="151"/>
        <v>1.0052292768015942</v>
      </c>
      <c r="Y264" s="160">
        <f t="shared" si="152"/>
        <v>-0.10204499250049376</v>
      </c>
      <c r="Z264" s="98" t="str">
        <f t="shared" si="142"/>
        <v>0.999899370734687+0.0306080786543273i</v>
      </c>
      <c r="AA264" s="160">
        <f t="shared" si="153"/>
        <v>1.0003677354225959</v>
      </c>
      <c r="AB264" s="160">
        <f t="shared" si="154"/>
        <v>3.0601603080116696E-2</v>
      </c>
      <c r="AC264" s="171" t="str">
        <f t="shared" si="155"/>
        <v>0.152670570200568-3.13101161367757i</v>
      </c>
      <c r="AD264" s="190">
        <f t="shared" si="156"/>
        <v>9.924007159632998</v>
      </c>
      <c r="AE264" s="169">
        <f t="shared" si="157"/>
        <v>-87.208424097320858</v>
      </c>
      <c r="AF264" s="98" t="str">
        <f t="shared" si="143"/>
        <v>-0.0000816326530612245</v>
      </c>
      <c r="AG264" s="98" t="str">
        <f t="shared" si="144"/>
        <v>0.000425841252598372i</v>
      </c>
      <c r="AH264" s="98">
        <f t="shared" si="158"/>
        <v>4.2584125259837201E-4</v>
      </c>
      <c r="AI264" s="98">
        <f t="shared" si="159"/>
        <v>1.5707963267948966</v>
      </c>
      <c r="AJ264" s="98" t="str">
        <f t="shared" si="145"/>
        <v>1+0.129776519352297i</v>
      </c>
      <c r="AK264" s="98">
        <f t="shared" si="160"/>
        <v>1.0083858115697568</v>
      </c>
      <c r="AL264" s="98">
        <f t="shared" si="161"/>
        <v>0.12905523118055262</v>
      </c>
      <c r="AM264" s="98" t="str">
        <f t="shared" si="146"/>
        <v>1+2.03316546985266i</v>
      </c>
      <c r="AN264" s="98">
        <f t="shared" si="162"/>
        <v>2.2657806221700252</v>
      </c>
      <c r="AO264" s="98">
        <f t="shared" si="163"/>
        <v>1.1136948744720858</v>
      </c>
      <c r="AP264" s="168" t="str">
        <f t="shared" si="164"/>
        <v>-0.358831261441731+0.238265253652771i</v>
      </c>
      <c r="AQ264" s="98">
        <f t="shared" si="165"/>
        <v>-7.3158537488357833</v>
      </c>
      <c r="AR264" s="169">
        <f t="shared" si="166"/>
        <v>146.41569590187183</v>
      </c>
      <c r="AS264" s="168" t="str">
        <f t="shared" si="167"/>
        <v>0.69122830303256+1.15988093905878i</v>
      </c>
      <c r="AT264" s="190">
        <f t="shared" si="168"/>
        <v>2.6081534107971964</v>
      </c>
      <c r="AU264" s="169">
        <f t="shared" si="169"/>
        <v>59.207271804550892</v>
      </c>
      <c r="AV264" s="225"/>
      <c r="AX264">
        <f t="shared" si="170"/>
        <v>0</v>
      </c>
      <c r="AY264">
        <f t="shared" si="171"/>
        <v>0</v>
      </c>
    </row>
    <row r="265" spans="14:51" x14ac:dyDescent="0.25">
      <c r="N265" s="170">
        <v>47</v>
      </c>
      <c r="O265" s="199">
        <f t="shared" si="172"/>
        <v>2951.2092266663876</v>
      </c>
      <c r="P265" s="189" t="str">
        <f t="shared" si="138"/>
        <v>18.0065359477124</v>
      </c>
      <c r="Q265" s="160" t="str">
        <f t="shared" si="139"/>
        <v>1+5.8174100239696i</v>
      </c>
      <c r="R265" s="160">
        <f t="shared" si="147"/>
        <v>5.9027332132650203</v>
      </c>
      <c r="S265" s="160">
        <f t="shared" si="148"/>
        <v>1.4005622532680757</v>
      </c>
      <c r="T265" s="160" t="str">
        <f t="shared" si="140"/>
        <v>1+0.00741719778056124i</v>
      </c>
      <c r="U265" s="160">
        <f t="shared" si="149"/>
        <v>1.0000275070331395</v>
      </c>
      <c r="V265" s="160">
        <f t="shared" si="150"/>
        <v>7.4170617664434104E-3</v>
      </c>
      <c r="W265" s="98" t="str">
        <f t="shared" si="141"/>
        <v>1-0.104785896622887i</v>
      </c>
      <c r="X265" s="160">
        <f t="shared" si="151"/>
        <v>1.0054750539576118</v>
      </c>
      <c r="Y265" s="160">
        <f t="shared" si="152"/>
        <v>-0.1044048842987665</v>
      </c>
      <c r="Z265" s="98" t="str">
        <f t="shared" si="142"/>
        <v>0.999894628223521+0.0313210323941512i</v>
      </c>
      <c r="AA265" s="160">
        <f t="shared" si="153"/>
        <v>1.0003850631734206</v>
      </c>
      <c r="AB265" s="160">
        <f t="shared" si="154"/>
        <v>3.1314093832483847E-2</v>
      </c>
      <c r="AC265" s="171" t="str">
        <f t="shared" si="155"/>
        <v>0.128532511029919-3.06345243694815i</v>
      </c>
      <c r="AD265" s="190">
        <f t="shared" si="156"/>
        <v>9.7318613015335043</v>
      </c>
      <c r="AE265" s="169">
        <f t="shared" si="157"/>
        <v>-87.59746436873732</v>
      </c>
      <c r="AF265" s="98" t="str">
        <f t="shared" si="143"/>
        <v>-0.0000816326530612245</v>
      </c>
      <c r="AG265" s="98" t="str">
        <f t="shared" si="144"/>
        <v>0.000435760369607972i</v>
      </c>
      <c r="AH265" s="98">
        <f t="shared" si="158"/>
        <v>4.3576036960797198E-4</v>
      </c>
      <c r="AI265" s="98">
        <f t="shared" si="159"/>
        <v>1.5707963267948966</v>
      </c>
      <c r="AJ265" s="98" t="str">
        <f t="shared" si="145"/>
        <v>1+0.132799402815793i</v>
      </c>
      <c r="AK265" s="98">
        <f t="shared" si="160"/>
        <v>1.0087793026168961</v>
      </c>
      <c r="AL265" s="98">
        <f t="shared" si="161"/>
        <v>0.13202689142734017</v>
      </c>
      <c r="AM265" s="98" t="str">
        <f t="shared" si="146"/>
        <v>1+2.08052397744743i</v>
      </c>
      <c r="AN265" s="98">
        <f t="shared" si="162"/>
        <v>2.3083717249900793</v>
      </c>
      <c r="AO265" s="98">
        <f t="shared" si="163"/>
        <v>1.1227497052511122</v>
      </c>
      <c r="AP265" s="168" t="str">
        <f t="shared" si="164"/>
        <v>-0.358551379904998+0.234949225499615i</v>
      </c>
      <c r="AQ265" s="98">
        <f t="shared" si="165"/>
        <v>-7.3574847283087959</v>
      </c>
      <c r="AR265" s="169">
        <f t="shared" si="166"/>
        <v>146.76423589942735</v>
      </c>
      <c r="AS265" s="168" t="str">
        <f t="shared" si="167"/>
        <v>0.673670268223444+1.12860371245909i</v>
      </c>
      <c r="AT265" s="190">
        <f t="shared" si="168"/>
        <v>2.3743765732247142</v>
      </c>
      <c r="AU265" s="169">
        <f t="shared" si="169"/>
        <v>59.166771530690056</v>
      </c>
      <c r="AV265" s="225"/>
      <c r="AX265">
        <f t="shared" si="170"/>
        <v>0</v>
      </c>
      <c r="AY265">
        <f t="shared" si="171"/>
        <v>0</v>
      </c>
    </row>
    <row r="266" spans="14:51" x14ac:dyDescent="0.25">
      <c r="N266" s="170">
        <v>48</v>
      </c>
      <c r="O266" s="199">
        <f t="shared" si="172"/>
        <v>3019.9517204020176</v>
      </c>
      <c r="P266" s="189" t="str">
        <f t="shared" si="138"/>
        <v>18.0065359477124</v>
      </c>
      <c r="Q266" s="160" t="str">
        <f t="shared" si="139"/>
        <v>1+5.95291491075191i</v>
      </c>
      <c r="R266" s="160">
        <f t="shared" si="147"/>
        <v>6.0363230475722904</v>
      </c>
      <c r="S266" s="160">
        <f t="shared" si="148"/>
        <v>1.4043652887361979</v>
      </c>
      <c r="T266" s="160" t="str">
        <f t="shared" si="140"/>
        <v>1+0.00758996651120868i</v>
      </c>
      <c r="U266" s="160">
        <f t="shared" si="149"/>
        <v>1.0000288033810032</v>
      </c>
      <c r="V266" s="160">
        <f t="shared" si="150"/>
        <v>7.5898207696823549E-3</v>
      </c>
      <c r="W266" s="98" t="str">
        <f t="shared" si="141"/>
        <v>1-0.107226673704056i</v>
      </c>
      <c r="X266" s="160">
        <f t="shared" si="151"/>
        <v>1.0057323498593631</v>
      </c>
      <c r="Y266" s="160">
        <f t="shared" si="152"/>
        <v>-0.10681853721460094</v>
      </c>
      <c r="Z266" s="98" t="str">
        <f t="shared" si="142"/>
        <v>0.99988966220469+0.0320505929599334i</v>
      </c>
      <c r="AA266" s="160">
        <f t="shared" si="153"/>
        <v>1.0004032072583995</v>
      </c>
      <c r="AB266" s="160">
        <f t="shared" si="154"/>
        <v>3.2043158315478409E-2</v>
      </c>
      <c r="AC266" s="171" t="str">
        <f t="shared" si="155"/>
        <v>0.105420871601525-2.99715405249949i</v>
      </c>
      <c r="AD266" s="190">
        <f t="shared" si="156"/>
        <v>9.5395510320710901</v>
      </c>
      <c r="AE266" s="169">
        <f t="shared" si="157"/>
        <v>-87.985528331796061</v>
      </c>
      <c r="AF266" s="98" t="str">
        <f t="shared" si="143"/>
        <v>-0.0000816326530612245</v>
      </c>
      <c r="AG266" s="98" t="str">
        <f t="shared" si="144"/>
        <v>0.000445910532533509i</v>
      </c>
      <c r="AH266" s="98">
        <f t="shared" si="158"/>
        <v>4.4591053253350898E-4</v>
      </c>
      <c r="AI266" s="98">
        <f t="shared" si="159"/>
        <v>1.5707963267948966</v>
      </c>
      <c r="AJ266" s="98" t="str">
        <f t="shared" si="145"/>
        <v>1+0.13589269828047i</v>
      </c>
      <c r="AK266" s="98">
        <f t="shared" si="160"/>
        <v>1.0091911738842878</v>
      </c>
      <c r="AL266" s="98">
        <f t="shared" si="161"/>
        <v>0.13506534403143905</v>
      </c>
      <c r="AM266" s="98" t="str">
        <f t="shared" si="146"/>
        <v>1+2.12898560639404i</v>
      </c>
      <c r="AN266" s="98">
        <f t="shared" si="162"/>
        <v>2.3521436419217681</v>
      </c>
      <c r="AO266" s="98">
        <f t="shared" si="163"/>
        <v>1.13167523883498</v>
      </c>
      <c r="AP266" s="168" t="str">
        <f t="shared" si="164"/>
        <v>-0.35825877553012+0.231754329789375i</v>
      </c>
      <c r="AQ266" s="98">
        <f t="shared" si="165"/>
        <v>-7.3978684607166221</v>
      </c>
      <c r="AR266" s="169">
        <f t="shared" si="166"/>
        <v>147.10154079321984</v>
      </c>
      <c r="AS266" s="168" t="str">
        <f t="shared" si="167"/>
        <v>0.656835476337248+1.09818848436743i</v>
      </c>
      <c r="AT266" s="190">
        <f t="shared" si="168"/>
        <v>2.1416825713544823</v>
      </c>
      <c r="AU266" s="169">
        <f t="shared" si="169"/>
        <v>59.116012461423864</v>
      </c>
      <c r="AV266" s="225"/>
      <c r="AX266">
        <f t="shared" si="170"/>
        <v>0</v>
      </c>
      <c r="AY266">
        <f t="shared" si="171"/>
        <v>0</v>
      </c>
    </row>
    <row r="267" spans="14:51" x14ac:dyDescent="0.25">
      <c r="N267" s="170">
        <v>49</v>
      </c>
      <c r="O267" s="199">
        <f t="shared" si="172"/>
        <v>3090.295432513592</v>
      </c>
      <c r="P267" s="189" t="str">
        <f t="shared" si="138"/>
        <v>18.0065359477124</v>
      </c>
      <c r="Q267" s="160" t="str">
        <f t="shared" si="139"/>
        <v>1+6.09157611181603i</v>
      </c>
      <c r="R267" s="160">
        <f t="shared" si="147"/>
        <v>6.1731110087254804</v>
      </c>
      <c r="S267" s="160">
        <f t="shared" si="148"/>
        <v>1.408086457777957</v>
      </c>
      <c r="T267" s="160" t="str">
        <f t="shared" si="140"/>
        <v>1+0.00776675954256544i</v>
      </c>
      <c r="U267" s="160">
        <f t="shared" si="149"/>
        <v>1.0000301608220585</v>
      </c>
      <c r="V267" s="160">
        <f t="shared" si="150"/>
        <v>7.7666033779607846E-3</v>
      </c>
      <c r="W267" s="98" t="str">
        <f t="shared" si="141"/>
        <v>1-0.109724303786935i</v>
      </c>
      <c r="X267" s="160">
        <f t="shared" si="151"/>
        <v>1.0060017012120446</v>
      </c>
      <c r="Y267" s="160">
        <f t="shared" si="152"/>
        <v>-0.10928711844723811</v>
      </c>
      <c r="Z267" s="98" t="str">
        <f t="shared" si="142"/>
        <v>0.999884462144602+0.0327971471743427i</v>
      </c>
      <c r="AA267" s="160">
        <f t="shared" si="153"/>
        <v>1.0004222061214831</v>
      </c>
      <c r="AB267" s="160">
        <f t="shared" si="154"/>
        <v>3.2789180986912747E-2</v>
      </c>
      <c r="AC267" s="171" t="str">
        <f t="shared" si="155"/>
        <v>0.0832946634993536-2.93210425476903i</v>
      </c>
      <c r="AD267" s="190">
        <f t="shared" si="156"/>
        <v>9.3470915221699808</v>
      </c>
      <c r="AE267" s="169">
        <f t="shared" si="157"/>
        <v>-88.372789951907492</v>
      </c>
      <c r="AF267" s="98" t="str">
        <f t="shared" si="143"/>
        <v>-0.0000816326530612245</v>
      </c>
      <c r="AG267" s="98" t="str">
        <f t="shared" si="144"/>
        <v>0.000456297123125719i</v>
      </c>
      <c r="AH267" s="98">
        <f t="shared" si="158"/>
        <v>4.5629712312571902E-4</v>
      </c>
      <c r="AI267" s="98">
        <f t="shared" si="159"/>
        <v>1.5707963267948966</v>
      </c>
      <c r="AJ267" s="98" t="str">
        <f t="shared" si="145"/>
        <v>1+0.139058045852528i</v>
      </c>
      <c r="AK267" s="98">
        <f t="shared" si="160"/>
        <v>1.0096222759608287</v>
      </c>
      <c r="AL267" s="98">
        <f t="shared" si="161"/>
        <v>0.13817197548940466</v>
      </c>
      <c r="AM267" s="98" t="str">
        <f t="shared" si="146"/>
        <v>1+2.17857605168961i</v>
      </c>
      <c r="AN267" s="98">
        <f t="shared" si="162"/>
        <v>2.3971219437057205</v>
      </c>
      <c r="AO267" s="98">
        <f t="shared" si="163"/>
        <v>1.1404705182268995</v>
      </c>
      <c r="AP267" s="168" t="str">
        <f t="shared" si="164"/>
        <v>-0.357952892563764+0.228678635491105i</v>
      </c>
      <c r="AQ267" s="98">
        <f t="shared" si="165"/>
        <v>-7.4370523184511548</v>
      </c>
      <c r="AR267" s="169">
        <f t="shared" si="166"/>
        <v>147.42747631097123</v>
      </c>
      <c r="AS267" s="168" t="str">
        <f t="shared" si="167"/>
        <v>0.640694034363526+1.06860290928582i</v>
      </c>
      <c r="AT267" s="190">
        <f t="shared" si="168"/>
        <v>1.9100392037188441</v>
      </c>
      <c r="AU267" s="169">
        <f t="shared" si="169"/>
        <v>59.05468635906383</v>
      </c>
      <c r="AV267" s="225"/>
      <c r="AX267">
        <f t="shared" si="170"/>
        <v>0</v>
      </c>
      <c r="AY267">
        <f t="shared" si="171"/>
        <v>0</v>
      </c>
    </row>
    <row r="268" spans="14:51" x14ac:dyDescent="0.25">
      <c r="N268" s="170">
        <v>50</v>
      </c>
      <c r="O268" s="199">
        <f t="shared" si="172"/>
        <v>3162.2776601683804</v>
      </c>
      <c r="P268" s="189" t="str">
        <f t="shared" si="138"/>
        <v>18.0065359477124</v>
      </c>
      <c r="Q268" s="160" t="str">
        <f t="shared" si="139"/>
        <v>1+6.23346714716618i</v>
      </c>
      <c r="R268" s="160">
        <f t="shared" si="147"/>
        <v>6.3131697802926281</v>
      </c>
      <c r="S268" s="160">
        <f t="shared" si="148"/>
        <v>1.4117273209790089</v>
      </c>
      <c r="T268" s="160" t="str">
        <f t="shared" si="140"/>
        <v>1+0.00794767061263688i</v>
      </c>
      <c r="U268" s="160">
        <f t="shared" si="149"/>
        <v>1.0000315822353647</v>
      </c>
      <c r="V268" s="160">
        <f t="shared" si="150"/>
        <v>7.9475032795336097E-3</v>
      </c>
      <c r="W268" s="98" t="str">
        <f t="shared" si="141"/>
        <v>1-0.112280111148055i</v>
      </c>
      <c r="X268" s="160">
        <f t="shared" si="151"/>
        <v>1.0062836694289636</v>
      </c>
      <c r="Y268" s="160">
        <f t="shared" si="152"/>
        <v>-0.11181181645949001</v>
      </c>
      <c r="Z268" s="98" t="str">
        <f t="shared" si="142"/>
        <v>0.999879017013233+0.0335610908703054i</v>
      </c>
      <c r="AA268" s="160">
        <f t="shared" si="153"/>
        <v>1.0004421000156649</v>
      </c>
      <c r="AB268" s="160">
        <f t="shared" si="154"/>
        <v>3.3552555145979608E-2</v>
      </c>
      <c r="AC268" s="171" t="str">
        <f t="shared" si="155"/>
        <v>0.0621143187573316-2.8682901063901i</v>
      </c>
      <c r="AD268" s="190">
        <f t="shared" si="156"/>
        <v>9.1544976950568611</v>
      </c>
      <c r="AE268" s="169">
        <f t="shared" si="157"/>
        <v>-88.759423904388782</v>
      </c>
      <c r="AF268" s="98" t="str">
        <f t="shared" si="143"/>
        <v>-0.0000816326530612245</v>
      </c>
      <c r="AG268" s="98" t="str">
        <f t="shared" si="144"/>
        <v>0.000466925648492417i</v>
      </c>
      <c r="AH268" s="98">
        <f t="shared" si="158"/>
        <v>4.6692564849241703E-4</v>
      </c>
      <c r="AI268" s="98">
        <f t="shared" si="159"/>
        <v>1.5707963267948966</v>
      </c>
      <c r="AJ268" s="98" t="str">
        <f t="shared" si="145"/>
        <v>1+0.142297123841147i</v>
      </c>
      <c r="AK268" s="98">
        <f t="shared" si="160"/>
        <v>1.010073498045297</v>
      </c>
      <c r="AL268" s="98">
        <f t="shared" si="161"/>
        <v>0.14134819299138671</v>
      </c>
      <c r="AM268" s="98" t="str">
        <f t="shared" si="146"/>
        <v>1+2.22932160684464i</v>
      </c>
      <c r="AN268" s="98">
        <f t="shared" si="162"/>
        <v>2.4433327294382909</v>
      </c>
      <c r="AO268" s="98">
        <f t="shared" si="163"/>
        <v>1.1491347627725432</v>
      </c>
      <c r="AP268" s="168" t="str">
        <f t="shared" si="164"/>
        <v>-0.357633153110736+0.225720258889403i</v>
      </c>
      <c r="AQ268" s="98">
        <f t="shared" si="165"/>
        <v>-7.4750836628005368</v>
      </c>
      <c r="AR268" s="169">
        <f t="shared" si="166"/>
        <v>147.74191709842674</v>
      </c>
      <c r="AS268" s="168" t="str">
        <f t="shared" si="167"/>
        <v>0.625217045713777+1.03981609489526i</v>
      </c>
      <c r="AT268" s="190">
        <f t="shared" si="168"/>
        <v>1.6794140322563016</v>
      </c>
      <c r="AU268" s="169">
        <f t="shared" si="169"/>
        <v>58.982493194037851</v>
      </c>
      <c r="AV268" s="225"/>
      <c r="AX268">
        <f t="shared" si="170"/>
        <v>0</v>
      </c>
      <c r="AY268">
        <f t="shared" si="171"/>
        <v>0</v>
      </c>
    </row>
    <row r="269" spans="14:51" x14ac:dyDescent="0.25">
      <c r="N269" s="170">
        <v>51</v>
      </c>
      <c r="O269" s="199">
        <f t="shared" si="172"/>
        <v>3235.9365692962833</v>
      </c>
      <c r="P269" s="189" t="str">
        <f t="shared" si="138"/>
        <v>18.0065359477124</v>
      </c>
      <c r="Q269" s="160" t="str">
        <f t="shared" si="139"/>
        <v>1+6.37866324930745i</v>
      </c>
      <c r="R269" s="160">
        <f t="shared" si="147"/>
        <v>6.4565737700475063</v>
      </c>
      <c r="S269" s="160">
        <f t="shared" si="148"/>
        <v>1.4152894224741046</v>
      </c>
      <c r="T269" s="160" t="str">
        <f t="shared" si="140"/>
        <v>1+0.008132795642867i</v>
      </c>
      <c r="U269" s="160">
        <f t="shared" si="149"/>
        <v>1.0000330706356508</v>
      </c>
      <c r="V269" s="160">
        <f t="shared" si="150"/>
        <v>8.1326163425366783E-3</v>
      </c>
      <c r="W269" s="98" t="str">
        <f t="shared" si="141"/>
        <v>1-0.114895450910309i</v>
      </c>
      <c r="X269" s="160">
        <f t="shared" si="151"/>
        <v>1.0065788417406176</v>
      </c>
      <c r="Y269" s="160">
        <f t="shared" si="152"/>
        <v>-0.11439384106838371</v>
      </c>
      <c r="Z269" s="98" t="str">
        <f t="shared" si="142"/>
        <v>0.999873315260727+0.0343428291008811i</v>
      </c>
      <c r="AA269" s="160">
        <f t="shared" si="153"/>
        <v>1.0004629310879685</v>
      </c>
      <c r="AB269" s="160">
        <f t="shared" si="154"/>
        <v>3.4333683131081282E-2</v>
      </c>
      <c r="AC269" s="171" t="str">
        <f t="shared" si="155"/>
        <v>0.041841660264522-2.80569801029236i</v>
      </c>
      <c r="AD269" s="190">
        <f t="shared" si="156"/>
        <v>8.9617842495489661</v>
      </c>
      <c r="AE269" s="169">
        <f t="shared" si="157"/>
        <v>-89.145605538506615</v>
      </c>
      <c r="AF269" s="98" t="str">
        <f t="shared" si="143"/>
        <v>-0.0000816326530612245</v>
      </c>
      <c r="AG269" s="98" t="str">
        <f t="shared" si="144"/>
        <v>0.000477801744018437i</v>
      </c>
      <c r="AH269" s="98">
        <f t="shared" si="158"/>
        <v>4.77801744018437E-4</v>
      </c>
      <c r="AI269" s="98">
        <f t="shared" si="159"/>
        <v>1.5707963267948966</v>
      </c>
      <c r="AJ269" s="98" t="str">
        <f t="shared" si="145"/>
        <v>1+0.145611649648352i</v>
      </c>
      <c r="AK269" s="98">
        <f t="shared" si="160"/>
        <v>1.0105457696281324</v>
      </c>
      <c r="AL269" s="98">
        <f t="shared" si="161"/>
        <v>0.14459542413307624</v>
      </c>
      <c r="AM269" s="98" t="str">
        <f t="shared" si="146"/>
        <v>1+2.28124917782419i</v>
      </c>
      <c r="AN269" s="98">
        <f t="shared" si="162"/>
        <v>2.4908026439932054</v>
      </c>
      <c r="AO269" s="98">
        <f t="shared" si="163"/>
        <v>1.1576673619951221</v>
      </c>
      <c r="AP269" s="168" t="str">
        <f t="shared" si="164"/>
        <v>-0.357298956455323+0.222877361573945i</v>
      </c>
      <c r="AQ269" s="98">
        <f t="shared" si="165"/>
        <v>-7.5120097926782181</v>
      </c>
      <c r="AR269" s="169">
        <f t="shared" si="166"/>
        <v>148.04474638263474</v>
      </c>
      <c r="AS269" s="168" t="str">
        <f t="shared" si="167"/>
        <v>0.610376588358357+1.01179853004987i</v>
      </c>
      <c r="AT269" s="190">
        <f t="shared" si="168"/>
        <v>1.4497744568707724</v>
      </c>
      <c r="AU269" s="169">
        <f t="shared" si="169"/>
        <v>58.899140844128205</v>
      </c>
      <c r="AV269" s="225"/>
      <c r="AX269">
        <f t="shared" si="170"/>
        <v>0</v>
      </c>
      <c r="AY269">
        <f t="shared" si="171"/>
        <v>0</v>
      </c>
    </row>
    <row r="270" spans="14:51" x14ac:dyDescent="0.25">
      <c r="N270" s="170">
        <v>52</v>
      </c>
      <c r="O270" s="199">
        <f t="shared" si="172"/>
        <v>3311.3112148259115</v>
      </c>
      <c r="P270" s="189" t="str">
        <f t="shared" si="138"/>
        <v>18.0065359477124</v>
      </c>
      <c r="Q270" s="160" t="str">
        <f t="shared" si="139"/>
        <v>1+6.52724140313512i</v>
      </c>
      <c r="R270" s="160">
        <f t="shared" si="147"/>
        <v>6.6033991500439635</v>
      </c>
      <c r="S270" s="160">
        <f t="shared" si="148"/>
        <v>1.4187742891681265</v>
      </c>
      <c r="T270" s="160" t="str">
        <f t="shared" si="140"/>
        <v>1+0.00832223278899728i</v>
      </c>
      <c r="U270" s="160">
        <f t="shared" si="149"/>
        <v>1.0000346291797071</v>
      </c>
      <c r="V270" s="160">
        <f t="shared" si="150"/>
        <v>8.3220406655912169E-3</v>
      </c>
      <c r="W270" s="98" t="str">
        <f t="shared" si="141"/>
        <v>1-0.117571709761457i</v>
      </c>
      <c r="X270" s="160">
        <f t="shared" si="151"/>
        <v>1.0068878323508692</v>
      </c>
      <c r="Y270" s="160">
        <f t="shared" si="152"/>
        <v>-0.11703442351123433</v>
      </c>
      <c r="Z270" s="98" t="str">
        <f t="shared" si="142"/>
        <v>0.999867344792905+0.0351427763540273i</v>
      </c>
      <c r="AA270" s="160">
        <f t="shared" si="153"/>
        <v>1.0004847434684265</v>
      </c>
      <c r="AB270" s="160">
        <f t="shared" si="154"/>
        <v>3.5132976521689369E-2</v>
      </c>
      <c r="AC270" s="171" t="str">
        <f>(IMDIV(IMPRODUCT(P270,T270,W270),IMPRODUCT(Q270,Z270)))</f>
        <v>0.0224398709000263-2.7443137775943i</v>
      </c>
      <c r="AD270" s="190">
        <f t="shared" si="156"/>
        <v>8.768965683303529</v>
      </c>
      <c r="AE270" s="169">
        <f t="shared" si="157"/>
        <v>-89.531510845297845</v>
      </c>
      <c r="AF270" s="98" t="str">
        <f t="shared" si="143"/>
        <v>-0.0000816326530612245</v>
      </c>
      <c r="AG270" s="98" t="str">
        <f t="shared" si="144"/>
        <v>0.000488931176353589i</v>
      </c>
      <c r="AH270" s="98">
        <f t="shared" si="158"/>
        <v>4.8893117635358902E-4</v>
      </c>
      <c r="AI270" s="98">
        <f t="shared" si="159"/>
        <v>1.5707963267948966</v>
      </c>
      <c r="AJ270" s="98" t="str">
        <f t="shared" si="145"/>
        <v>1+0.1490033806796i</v>
      </c>
      <c r="AK270" s="98">
        <f t="shared" si="160"/>
        <v>1.011040062239845</v>
      </c>
      <c r="AL270" s="98">
        <f t="shared" si="161"/>
        <v>0.14791511657280046</v>
      </c>
      <c r="AM270" s="98" t="str">
        <f t="shared" si="146"/>
        <v>1+2.33438629731374i</v>
      </c>
      <c r="AN270" s="98">
        <f t="shared" si="162"/>
        <v>2.5395588957703175</v>
      </c>
      <c r="AO270" s="98">
        <f t="shared" si="163"/>
        <v>1.1660678692024953</v>
      </c>
      <c r="AP270" s="168" t="str">
        <f t="shared" si="164"/>
        <v>-0.356949678382187+0.220148148394891i</v>
      </c>
      <c r="AQ270" s="98">
        <f t="shared" si="165"/>
        <v>-7.547877898675516</v>
      </c>
      <c r="AR270" s="169">
        <f t="shared" si="166"/>
        <v>148.33585562530885</v>
      </c>
      <c r="AS270" s="168" t="str">
        <f t="shared" si="167"/>
        <v>0.596145692051272+0.984522016320951i</v>
      </c>
      <c r="AT270" s="190">
        <f t="shared" si="168"/>
        <v>1.2210877846280139</v>
      </c>
      <c r="AU270" s="169">
        <f t="shared" si="169"/>
        <v>58.804344780010993</v>
      </c>
      <c r="AV270" s="225"/>
      <c r="AX270">
        <f t="shared" si="170"/>
        <v>0</v>
      </c>
      <c r="AY270">
        <f t="shared" si="171"/>
        <v>0</v>
      </c>
    </row>
    <row r="271" spans="14:51" x14ac:dyDescent="0.25">
      <c r="N271" s="170">
        <v>53</v>
      </c>
      <c r="O271" s="199">
        <f t="shared" si="172"/>
        <v>3388.4415613920314</v>
      </c>
      <c r="P271" s="189" t="str">
        <f t="shared" si="138"/>
        <v>18.0065359477124</v>
      </c>
      <c r="Q271" s="160" t="str">
        <f t="shared" si="139"/>
        <v>1+6.67928038675297i</v>
      </c>
      <c r="R271" s="160">
        <f t="shared" si="147"/>
        <v>6.7537238975888627</v>
      </c>
      <c r="S271" s="160">
        <f t="shared" si="148"/>
        <v>1.4221834300395721</v>
      </c>
      <c r="T271" s="160" t="str">
        <f t="shared" si="140"/>
        <v>1+0.00851608249311004i</v>
      </c>
      <c r="U271" s="160">
        <f t="shared" si="149"/>
        <v>1.0000362611730784</v>
      </c>
      <c r="V271" s="160">
        <f t="shared" si="150"/>
        <v>8.5158766295746098E-3</v>
      </c>
      <c r="W271" s="98" t="str">
        <f t="shared" si="141"/>
        <v>1-0.120310306689366i</v>
      </c>
      <c r="X271" s="160">
        <f t="shared" si="151"/>
        <v>1.0072112836419622</v>
      </c>
      <c r="Y271" s="160">
        <f t="shared" si="152"/>
        <v>-0.1197348164849243</v>
      </c>
      <c r="Z271" s="98" t="str">
        <f t="shared" si="142"/>
        <v>0.999861092945603+0.0359613567723659i</v>
      </c>
      <c r="AA271" s="160">
        <f t="shared" si="153"/>
        <v>1.0005075833632073</v>
      </c>
      <c r="AB271" s="160">
        <f t="shared" si="154"/>
        <v>3.5950856344288309E-2</v>
      </c>
      <c r="AC271" s="171" t="str">
        <f t="shared" si="155"/>
        <v>0.00387346163643405-2.68412269144563i</v>
      </c>
      <c r="AD271" s="190">
        <f t="shared" si="156"/>
        <v>8.5760563160237506</v>
      </c>
      <c r="AE271" s="169">
        <f t="shared" si="157"/>
        <v>-89.917316428746204</v>
      </c>
      <c r="AF271" s="98" t="str">
        <f t="shared" si="143"/>
        <v>-0.0000816326530612245</v>
      </c>
      <c r="AG271" s="98" t="str">
        <f t="shared" si="144"/>
        <v>0.000500319846470214i</v>
      </c>
      <c r="AH271" s="98">
        <f t="shared" si="158"/>
        <v>5.0031984647021395E-4</v>
      </c>
      <c r="AI271" s="98">
        <f t="shared" si="159"/>
        <v>1.5707963267948966</v>
      </c>
      <c r="AJ271" s="98" t="str">
        <f t="shared" si="145"/>
        <v>1+0.152474115275576i</v>
      </c>
      <c r="AK271" s="98">
        <f t="shared" si="160"/>
        <v>1.0115573912680731</v>
      </c>
      <c r="AL271" s="98">
        <f t="shared" si="161"/>
        <v>0.15130873762983865</v>
      </c>
      <c r="AM271" s="98" t="str">
        <f t="shared" si="146"/>
        <v>1+2.38876113931737i</v>
      </c>
      <c r="AN271" s="98">
        <f t="shared" si="162"/>
        <v>2.5896292747636331</v>
      </c>
      <c r="AO271" s="98">
        <f t="shared" si="163"/>
        <v>1.1743359949134715</v>
      </c>
      <c r="AP271" s="168" t="str">
        <f t="shared" si="164"/>
        <v>-0.356584670499353+0.217530865380533i</v>
      </c>
      <c r="AQ271" s="98">
        <f t="shared" si="165"/>
        <v>-7.582735022388027</v>
      </c>
      <c r="AR271" s="169">
        <f t="shared" si="166"/>
        <v>148.61514416919636</v>
      </c>
      <c r="AS271" s="168" t="str">
        <f t="shared" si="167"/>
        <v>0.582498314816373+0.957959602970768i</v>
      </c>
      <c r="AT271" s="190">
        <f t="shared" si="168"/>
        <v>0.9933212936357193</v>
      </c>
      <c r="AU271" s="169">
        <f t="shared" si="169"/>
        <v>58.697827740450187</v>
      </c>
      <c r="AV271" s="225"/>
      <c r="AX271">
        <f t="shared" si="170"/>
        <v>0</v>
      </c>
      <c r="AY271">
        <f t="shared" si="171"/>
        <v>0</v>
      </c>
    </row>
    <row r="272" spans="14:51" x14ac:dyDescent="0.25">
      <c r="N272" s="170">
        <v>54</v>
      </c>
      <c r="O272" s="199">
        <f t="shared" si="172"/>
        <v>3467.3685045253224</v>
      </c>
      <c r="P272" s="189" t="str">
        <f t="shared" si="138"/>
        <v>18.0065359477124</v>
      </c>
      <c r="Q272" s="160" t="str">
        <f t="shared" si="139"/>
        <v>1+6.8348608132426i</v>
      </c>
      <c r="R272" s="160">
        <f t="shared" si="147"/>
        <v>6.9076278371376745</v>
      </c>
      <c r="S272" s="160">
        <f t="shared" si="148"/>
        <v>1.4255183355215226</v>
      </c>
      <c r="T272" s="160" t="str">
        <f t="shared" si="140"/>
        <v>1+0.00871444753688432i</v>
      </c>
      <c r="U272" s="160">
        <f t="shared" si="149"/>
        <v>1.0000379700770732</v>
      </c>
      <c r="V272" s="160">
        <f t="shared" si="150"/>
        <v>8.7142269505842036E-3</v>
      </c>
      <c r="W272" s="98" t="str">
        <f t="shared" si="141"/>
        <v>1-0.123112693734376i</v>
      </c>
      <c r="X272" s="160">
        <f t="shared" si="151"/>
        <v>1.0075498674301606</v>
      </c>
      <c r="Y272" s="160">
        <f t="shared" si="152"/>
        <v>-0.12249629415603264</v>
      </c>
      <c r="Z272" s="98" t="str">
        <f t="shared" si="142"/>
        <v>0.999854546457816+0.0367990043780701i</v>
      </c>
      <c r="AA272" s="160">
        <f t="shared" si="153"/>
        <v>1.0005314991521166</v>
      </c>
      <c r="AB272" s="160">
        <f t="shared" si="154"/>
        <v>3.6787753282454969E-2</v>
      </c>
      <c r="AC272" s="171" t="str">
        <f t="shared" si="155"/>
        <v>-0.0138917611705629-2.62510956697865i</v>
      </c>
      <c r="AD272" s="190">
        <f t="shared" si="156"/>
        <v>8.3830703126154553</v>
      </c>
      <c r="AE272" s="169">
        <f t="shared" si="157"/>
        <v>-90.303199479896548</v>
      </c>
      <c r="AF272" s="98" t="str">
        <f t="shared" si="143"/>
        <v>-0.0000816326530612245</v>
      </c>
      <c r="AG272" s="98" t="str">
        <f t="shared" si="144"/>
        <v>0.000511973792791953i</v>
      </c>
      <c r="AH272" s="98">
        <f t="shared" si="158"/>
        <v>5.1197379279195295E-4</v>
      </c>
      <c r="AI272" s="98">
        <f t="shared" si="159"/>
        <v>1.5707963267948966</v>
      </c>
      <c r="AJ272" s="98" t="str">
        <f t="shared" si="145"/>
        <v>1+0.156025693665705i</v>
      </c>
      <c r="AK272" s="98">
        <f t="shared" si="160"/>
        <v>1.0120988178453052</v>
      </c>
      <c r="AL272" s="98">
        <f t="shared" si="161"/>
        <v>0.15477777381984534</v>
      </c>
      <c r="AM272" s="98" t="str">
        <f t="shared" si="146"/>
        <v>1+2.44440253409605i</v>
      </c>
      <c r="AN272" s="98">
        <f t="shared" si="162"/>
        <v>2.6410421709422192</v>
      </c>
      <c r="AO272" s="98">
        <f t="shared" si="163"/>
        <v>1.1824716001479532</v>
      </c>
      <c r="AP272" s="168" t="str">
        <f t="shared" si="164"/>
        <v>-0.356203259566106+0.215023797613447i</v>
      </c>
      <c r="AQ272" s="98">
        <f t="shared" si="165"/>
        <v>-7.6166280209359529</v>
      </c>
      <c r="AR272" s="169">
        <f t="shared" si="166"/>
        <v>148.8825188802511</v>
      </c>
      <c r="AS272" s="168" t="str">
        <f t="shared" si="167"/>
        <v>0.569409318853209+0.932085525233531i</v>
      </c>
      <c r="AT272" s="190">
        <f t="shared" si="168"/>
        <v>0.76644229167950439</v>
      </c>
      <c r="AU272" s="169">
        <f t="shared" si="169"/>
        <v>58.579319400354557</v>
      </c>
      <c r="AV272" s="225"/>
      <c r="AX272">
        <f t="shared" si="170"/>
        <v>0</v>
      </c>
      <c r="AY272">
        <f t="shared" si="171"/>
        <v>0</v>
      </c>
    </row>
    <row r="273" spans="14:51" x14ac:dyDescent="0.25">
      <c r="N273" s="170">
        <v>55</v>
      </c>
      <c r="O273" s="199">
        <f t="shared" si="172"/>
        <v>3548.1338923357539</v>
      </c>
      <c r="P273" s="189" t="str">
        <f t="shared" si="138"/>
        <v>18.0065359477124</v>
      </c>
      <c r="Q273" s="160" t="str">
        <f t="shared" si="139"/>
        <v>1+6.99406517340546i</v>
      </c>
      <c r="R273" s="160">
        <f t="shared" si="147"/>
        <v>7.0651926831363303</v>
      </c>
      <c r="S273" s="160">
        <f t="shared" si="148"/>
        <v>1.4287804769553232</v>
      </c>
      <c r="T273" s="160" t="str">
        <f t="shared" si="140"/>
        <v>1+0.00891743309609196i</v>
      </c>
      <c r="U273" s="160">
        <f t="shared" si="149"/>
        <v>1.0000397595161021</v>
      </c>
      <c r="V273" s="160">
        <f t="shared" si="150"/>
        <v>8.917196734120449E-3</v>
      </c>
      <c r="W273" s="98" t="str">
        <f t="shared" si="141"/>
        <v>1-0.125980356759194i</v>
      </c>
      <c r="X273" s="160">
        <f t="shared" si="151"/>
        <v>1.0079042862738377</v>
      </c>
      <c r="Y273" s="160">
        <f t="shared" si="152"/>
        <v>-0.12532015213931527</v>
      </c>
      <c r="Z273" s="98" t="str">
        <f t="shared" si="142"/>
        <v>0.999847691443564+0.0376561633029878i</v>
      </c>
      <c r="AA273" s="160">
        <f t="shared" si="153"/>
        <v>1.0005565414906474</v>
      </c>
      <c r="AB273" s="160">
        <f t="shared" si="154"/>
        <v>3.7644107891121499E-2</v>
      </c>
      <c r="AC273" s="171" t="str">
        <f t="shared" si="155"/>
        <v>-0.0308887291086517-2.56725880752926i</v>
      </c>
      <c r="AD273" s="190">
        <f t="shared" si="156"/>
        <v>8.190021706292308</v>
      </c>
      <c r="AE273" s="169">
        <f t="shared" si="157"/>
        <v>-90.689337753492381</v>
      </c>
      <c r="AF273" s="98" t="str">
        <f t="shared" si="143"/>
        <v>-0.0000816326530612245</v>
      </c>
      <c r="AG273" s="98" t="str">
        <f t="shared" si="144"/>
        <v>0.000523899194395403i</v>
      </c>
      <c r="AH273" s="98">
        <f t="shared" si="158"/>
        <v>5.2389919439540297E-4</v>
      </c>
      <c r="AI273" s="98">
        <f t="shared" si="159"/>
        <v>1.5707963267948966</v>
      </c>
      <c r="AJ273" s="98" t="str">
        <f t="shared" si="145"/>
        <v>1+0.159659998943859i</v>
      </c>
      <c r="AK273" s="98">
        <f t="shared" si="160"/>
        <v>1.0126654508092754</v>
      </c>
      <c r="AL273" s="98">
        <f t="shared" si="161"/>
        <v>0.15832373032303018</v>
      </c>
      <c r="AM273" s="98" t="str">
        <f t="shared" si="146"/>
        <v>1+2.5013399834538i</v>
      </c>
      <c r="AN273" s="98">
        <f t="shared" si="162"/>
        <v>2.6938265929388727</v>
      </c>
      <c r="AO273" s="98">
        <f t="shared" si="163"/>
        <v>1.1904746896228624</v>
      </c>
      <c r="AP273" s="168" t="str">
        <f t="shared" si="164"/>
        <v>-0.355804746828913+0.212625267061435i</v>
      </c>
      <c r="AQ273" s="98">
        <f t="shared" si="165"/>
        <v>-7.6496035365703685</v>
      </c>
      <c r="AR273" s="169">
        <f t="shared" si="166"/>
        <v>149.13789378825967</v>
      </c>
      <c r="AS273" s="168" t="str">
        <f t="shared" si="167"/>
        <v>0.556854446007101+0.90687514578133i</v>
      </c>
      <c r="AT273" s="190">
        <f t="shared" si="168"/>
        <v>0.54041816972193801</v>
      </c>
      <c r="AU273" s="169">
        <f t="shared" si="169"/>
        <v>58.448556034767257</v>
      </c>
      <c r="AV273" s="225"/>
      <c r="AX273">
        <f t="shared" si="170"/>
        <v>0</v>
      </c>
      <c r="AY273">
        <f t="shared" si="171"/>
        <v>0</v>
      </c>
    </row>
    <row r="274" spans="14:51" x14ac:dyDescent="0.25">
      <c r="N274" s="170">
        <v>56</v>
      </c>
      <c r="O274" s="199">
        <f t="shared" si="172"/>
        <v>3630.7805477010188</v>
      </c>
      <c r="P274" s="189" t="str">
        <f t="shared" si="138"/>
        <v>18.0065359477124</v>
      </c>
      <c r="Q274" s="160" t="str">
        <f t="shared" si="139"/>
        <v>1+7.15697787950071i</v>
      </c>
      <c r="R274" s="160">
        <f t="shared" si="147"/>
        <v>7.2265020838343696</v>
      </c>
      <c r="S274" s="160">
        <f t="shared" si="148"/>
        <v>1.4319713061124191</v>
      </c>
      <c r="T274" s="160" t="str">
        <f t="shared" si="140"/>
        <v>1+0.0091251467963634i</v>
      </c>
      <c r="U274" s="160">
        <f t="shared" si="149"/>
        <v>1.0000416332853623</v>
      </c>
      <c r="V274" s="160">
        <f t="shared" si="150"/>
        <v>9.1248935305173594E-3</v>
      </c>
      <c r="W274" s="98" t="str">
        <f t="shared" si="141"/>
        <v>1-0.128914816236712i</v>
      </c>
      <c r="X274" s="160">
        <f t="shared" si="151"/>
        <v>1.0082752748358681</v>
      </c>
      <c r="Y274" s="160">
        <f t="shared" si="152"/>
        <v>-0.12820770744187013</v>
      </c>
      <c r="Z274" s="98" t="str">
        <f t="shared" si="142"/>
        <v>0.999840513362443+0.0385332880241272i</v>
      </c>
      <c r="AA274" s="160">
        <f t="shared" si="153"/>
        <v>1.0005827634168118</v>
      </c>
      <c r="AB274" s="160">
        <f t="shared" si="154"/>
        <v>3.8520370815071689E-2</v>
      </c>
      <c r="AC274" s="171" t="str">
        <f t="shared" si="155"/>
        <v>-0.0471491454723354-2.51055445728812i</v>
      </c>
      <c r="AD274" s="190">
        <f t="shared" si="156"/>
        <v>7.9969244216287363</v>
      </c>
      <c r="AE274" s="169">
        <f t="shared" si="157"/>
        <v>-91.075909546722471</v>
      </c>
      <c r="AF274" s="98" t="str">
        <f t="shared" si="143"/>
        <v>-0.0000816326530612245</v>
      </c>
      <c r="AG274" s="98" t="str">
        <f t="shared" si="144"/>
        <v>0.00053610237428635i</v>
      </c>
      <c r="AH274" s="98">
        <f t="shared" si="158"/>
        <v>5.3610237428634996E-4</v>
      </c>
      <c r="AI274" s="98">
        <f t="shared" si="159"/>
        <v>1.5707963267948966</v>
      </c>
      <c r="AJ274" s="98" t="str">
        <f t="shared" si="145"/>
        <v>1+0.163378958066804i</v>
      </c>
      <c r="AK274" s="98">
        <f t="shared" si="160"/>
        <v>1.0132584487380278</v>
      </c>
      <c r="AL274" s="98">
        <f t="shared" si="161"/>
        <v>0.16194813038059819</v>
      </c>
      <c r="AM274" s="98" t="str">
        <f t="shared" si="146"/>
        <v>1+2.55960367637993i</v>
      </c>
      <c r="AN274" s="98">
        <f t="shared" si="162"/>
        <v>2.748012187043146</v>
      </c>
      <c r="AO274" s="98">
        <f t="shared" si="163"/>
        <v>1.1983454048930227</v>
      </c>
      <c r="AP274" s="168" t="str">
        <f t="shared" si="164"/>
        <v>-0.355388407368832+0.210333630359513i</v>
      </c>
      <c r="AQ274" s="98">
        <f t="shared" si="165"/>
        <v>-7.6817079712326342</v>
      </c>
      <c r="AR274" s="169">
        <f t="shared" si="166"/>
        <v>149.38118972842329</v>
      </c>
      <c r="AS274" s="168" t="str">
        <f t="shared" si="167"/>
        <v>0.544810292934882+0.882304899252802i</v>
      </c>
      <c r="AT274" s="190">
        <f t="shared" si="168"/>
        <v>0.31521645039610185</v>
      </c>
      <c r="AU274" s="169">
        <f t="shared" si="169"/>
        <v>58.305280181700823</v>
      </c>
      <c r="AV274" s="225"/>
      <c r="AX274">
        <f t="shared" si="170"/>
        <v>0</v>
      </c>
      <c r="AY274">
        <f t="shared" si="171"/>
        <v>0</v>
      </c>
    </row>
    <row r="275" spans="14:51" x14ac:dyDescent="0.25">
      <c r="N275" s="170">
        <v>57</v>
      </c>
      <c r="O275" s="199">
        <f t="shared" si="172"/>
        <v>3715.352290971724</v>
      </c>
      <c r="P275" s="189" t="str">
        <f t="shared" ref="P275:P338" si="173">COMPLEX(Adc,0)</f>
        <v>18.0065359477124</v>
      </c>
      <c r="Q275" s="160" t="str">
        <f t="shared" ref="Q275:Q338" si="174">IMSUM(COMPLEX(1,0),IMDIV(COMPLEX(0,2*PI()*O275),COMPLEX(wp_lf,0)))</f>
        <v>1+7.32368531000144i</v>
      </c>
      <c r="R275" s="160">
        <f t="shared" si="147"/>
        <v>7.3916416660935944</v>
      </c>
      <c r="S275" s="160">
        <f t="shared" si="148"/>
        <v>1.4350922547799678</v>
      </c>
      <c r="T275" s="160" t="str">
        <f t="shared" ref="T275:T338" si="175">IMSUM(COMPLEX(1,0),IMDIV(COMPLEX(0,2*PI()*O275),COMPLEX(wz_esr,0)))</f>
        <v>1+0.00933769877025184i</v>
      </c>
      <c r="U275" s="160">
        <f t="shared" si="149"/>
        <v>1.0000435953588842</v>
      </c>
      <c r="V275" s="160">
        <f t="shared" si="150"/>
        <v>9.3374273916473922E-3</v>
      </c>
      <c r="W275" s="98" t="str">
        <f t="shared" ref="W275:W338" si="176">IMSUB(COMPLEX(1,0),IMDIV(COMPLEX(0,2*PI()*O275),COMPLEX(wz_rhp,0)))</f>
        <v>1-0.131917628056189i</v>
      </c>
      <c r="X275" s="160">
        <f t="shared" si="151"/>
        <v>1.0086636013022237</v>
      </c>
      <c r="Y275" s="160">
        <f t="shared" si="152"/>
        <v>-0.13116029837019763</v>
      </c>
      <c r="Z275" s="98" t="str">
        <f t="shared" ref="Z275:Z338" si="177">IF(Dc_Mode_Loop="CCM",IMSUM(COMPLEX(1,0),IMDIV(COMPLEX(0,2*PI()*O275),COMPLEX(Q*(wsl/2),0)),IMDIV(IMPOWER(COMPLEX(0,2*PI()*O275),2),IMPOWER(COMPLEX(wsl/2,0),2))),COMPLEX(1,0))</f>
        <v>0.999832996988781+0.0394308436046252i</v>
      </c>
      <c r="AA275" s="160">
        <f t="shared" si="153"/>
        <v>1.0006102204629634</v>
      </c>
      <c r="AB275" s="160">
        <f t="shared" si="154"/>
        <v>3.9417003011712068E-2</v>
      </c>
      <c r="AC275" s="171" t="str">
        <f t="shared" si="155"/>
        <v>-0.0627035193017585-2.45498025054103i</v>
      </c>
      <c r="AD275" s="190">
        <f t="shared" si="156"/>
        <v>7.8037922975596743</v>
      </c>
      <c r="AE275" s="169">
        <f t="shared" si="157"/>
        <v>-91.463093679668418</v>
      </c>
      <c r="AF275" s="98" t="str">
        <f t="shared" ref="AF275:AF338" si="178">COMPLEX(Adc_ea,0)</f>
        <v>-0.0000816326530612245</v>
      </c>
      <c r="AG275" s="98" t="str">
        <f t="shared" ref="AG275:AG338" si="179">COMPLEX(0,2*PI()*O275*wp0_ea)</f>
        <v>0.000548589802752294i</v>
      </c>
      <c r="AH275" s="98">
        <f t="shared" si="158"/>
        <v>5.4858980275229404E-4</v>
      </c>
      <c r="AI275" s="98">
        <f t="shared" si="159"/>
        <v>1.5707963267948966</v>
      </c>
      <c r="AJ275" s="98" t="str">
        <f t="shared" ref="AJ275:AJ338" si="180">IMSUM(COMPLEX(1,0),IMDIV(COMPLEX(0,2*PI()*O275),COMPLEX(wp1_ea,0)))</f>
        <v>1+0.167184542875891i</v>
      </c>
      <c r="AK275" s="98">
        <f t="shared" si="160"/>
        <v>1.013879022061617</v>
      </c>
      <c r="AL275" s="98">
        <f t="shared" si="161"/>
        <v>0.16565251461470018</v>
      </c>
      <c r="AM275" s="98" t="str">
        <f t="shared" ref="AM275:AM338" si="181">IMSUM(COMPLEX(1,0),IMDIV(COMPLEX(0,2*PI()*O275),COMPLEX(wz_ea,0)))</f>
        <v>1+2.61922450505564i</v>
      </c>
      <c r="AN275" s="98">
        <f t="shared" si="162"/>
        <v>2.8036292564966505</v>
      </c>
      <c r="AO275" s="98">
        <f t="shared" si="163"/>
        <v>1.2060840174732672</v>
      </c>
      <c r="AP275" s="168" t="str">
        <f t="shared" si="164"/>
        <v>-0.354953489464311+0.208147276539203i</v>
      </c>
      <c r="AQ275" s="98">
        <f t="shared" si="165"/>
        <v>-7.7129874659112403</v>
      </c>
      <c r="AR275" s="169">
        <f t="shared" si="166"/>
        <v>149.61233398624935</v>
      </c>
      <c r="AS275" s="168" t="str">
        <f t="shared" si="167"/>
        <v>0.533254286085498+0.858352239723423i</v>
      </c>
      <c r="AT275" s="190">
        <f t="shared" si="168"/>
        <v>9.0804831648436127E-2</v>
      </c>
      <c r="AU275" s="169">
        <f t="shared" si="169"/>
        <v>58.149240306580936</v>
      </c>
      <c r="AV275" s="225"/>
      <c r="AX275">
        <f t="shared" si="170"/>
        <v>3715.352290971724</v>
      </c>
      <c r="AY275">
        <f t="shared" si="171"/>
        <v>58.149240306580936</v>
      </c>
    </row>
    <row r="276" spans="14:51" x14ac:dyDescent="0.25">
      <c r="N276" s="170">
        <v>58</v>
      </c>
      <c r="O276" s="199">
        <f t="shared" si="172"/>
        <v>3801.8939632056172</v>
      </c>
      <c r="P276" s="189" t="str">
        <f t="shared" si="173"/>
        <v>18.0065359477124</v>
      </c>
      <c r="Q276" s="160" t="str">
        <f t="shared" si="174"/>
        <v>1+7.49427585539398i</v>
      </c>
      <c r="R276" s="160">
        <f t="shared" ref="R276:R339" si="182">IMABS(Q276)</f>
        <v>7.5606990812186918</v>
      </c>
      <c r="S276" s="160">
        <f t="shared" ref="S276:S339" si="183">IMARGUMENT(Q276)</f>
        <v>1.4381447344060796</v>
      </c>
      <c r="T276" s="160" t="str">
        <f t="shared" si="175"/>
        <v>1+0.00955520171562732i</v>
      </c>
      <c r="U276" s="160">
        <f t="shared" ref="U276:U339" si="184">IMABS(T276)</f>
        <v>1.0000456498979566</v>
      </c>
      <c r="V276" s="160">
        <f t="shared" ref="V276:V339" si="185">IMARGUMENT(T276)</f>
        <v>9.554910928930526E-3</v>
      </c>
      <c r="W276" s="98" t="str">
        <f t="shared" si="176"/>
        <v>1-0.134990384348197i</v>
      </c>
      <c r="X276" s="160">
        <f t="shared" ref="X276:X339" si="186">IMABS(W276)</f>
        <v>1.0090700688586864</v>
      </c>
      <c r="Y276" s="160">
        <f t="shared" ref="Y276:Y339" si="187">IMARGUMENT(W276)</f>
        <v>-0.13417928439715374</v>
      </c>
      <c r="Z276" s="98" t="str">
        <f t="shared" si="177"/>
        <v>0.999825126379343+0.0403493059403314i</v>
      </c>
      <c r="AA276" s="160">
        <f t="shared" ref="AA276:AA339" si="188">IMABS(Z276)</f>
        <v>1.0006389707728434</v>
      </c>
      <c r="AB276" s="160">
        <f t="shared" ref="AB276:AB339" si="189">IMARGUMENT(Z276)</f>
        <v>4.0334475978164544E-2</v>
      </c>
      <c r="AC276" s="171" t="str">
        <f t="shared" ref="AC276:AC339" si="190">(IMDIV(IMPRODUCT(P276,T276,W276),IMPRODUCT(Q276,Z276)))</f>
        <v>-0.0775811995514811-2.40051965765625i</v>
      </c>
      <c r="AD276" s="190">
        <f t="shared" ref="AD276:AD339" si="191">20*LOG(IMABS(AC276))</f>
        <v>7.6106391103286413</v>
      </c>
      <c r="AE276" s="169">
        <f t="shared" ref="AE276:AE339" si="192">(180/PI())*IMARGUMENT(AC276)</f>
        <v>-91.851069477043069</v>
      </c>
      <c r="AF276" s="98" t="str">
        <f t="shared" si="178"/>
        <v>-0.0000816326530612245</v>
      </c>
      <c r="AG276" s="98" t="str">
        <f t="shared" si="179"/>
        <v>0.000561368100793105i</v>
      </c>
      <c r="AH276" s="98">
        <f t="shared" ref="AH276:AH339" si="193">IMABS(AG276)</f>
        <v>5.6136810079310501E-4</v>
      </c>
      <c r="AI276" s="98">
        <f t="shared" ref="AI276:AI339" si="194">IMARGUMENT(AG276)</f>
        <v>1.5707963267948966</v>
      </c>
      <c r="AJ276" s="98" t="str">
        <f t="shared" si="180"/>
        <v>1+0.171078771142561i</v>
      </c>
      <c r="AK276" s="98">
        <f t="shared" ref="AK276:AK339" si="195">IMABS(AJ276)</f>
        <v>1.0145284352523831</v>
      </c>
      <c r="AL276" s="98">
        <f t="shared" ref="AL276:AL339" si="196">IMARGUMENT(AJ276)</f>
        <v>0.16943844026699695</v>
      </c>
      <c r="AM276" s="98" t="str">
        <f t="shared" si="181"/>
        <v>1+2.68023408123346i</v>
      </c>
      <c r="AN276" s="98">
        <f t="shared" ref="AN276:AN339" si="197">IMABS(AM276)</f>
        <v>2.8607087810899885</v>
      </c>
      <c r="AO276" s="98">
        <f t="shared" ref="AO276:AO339" si="198">IMARGUMENT(AM276)</f>
        <v>1.2136909219751153</v>
      </c>
      <c r="AP276" s="168" t="str">
        <f t="shared" ref="AP276:AP339" si="199">IMPRODUCT(AF276,IMDIV(AM276,IMPRODUCT(AG276,AJ276)))</f>
        <v>-0.354499213973505+0.206064624701427i</v>
      </c>
      <c r="AQ276" s="98">
        <f t="shared" ref="AQ276:AQ339" si="200">20*LOG(IMABS(AP276))</f>
        <v>-7.7434878846243524</v>
      </c>
      <c r="AR276" s="169">
        <f t="shared" ref="AR276:AR339" si="201">(180/PI())*IMARGUMENT(AP276)</f>
        <v>149.83125994793738</v>
      </c>
      <c r="AS276" s="168" t="str">
        <f t="shared" ref="AS276:AS339" si="202">IMPRODUCT(AC276,AP276)</f>
        <v>0.522164656603455+0.834995590997625i</v>
      </c>
      <c r="AT276" s="190">
        <f t="shared" ref="AT276:AT339" si="203">20*LOG(IMABS(AS276))</f>
        <v>-0.13284877429571568</v>
      </c>
      <c r="AU276" s="169">
        <f t="shared" ref="AU276:AU339" si="204">(180/PI())*IMARGUMENT(AS276)</f>
        <v>57.980190470894307</v>
      </c>
      <c r="AV276" s="225"/>
      <c r="AX276">
        <f t="shared" ref="AX276:AX339" si="205">SUM((AT277&lt;0)*(AT276&gt;0))*O276</f>
        <v>0</v>
      </c>
      <c r="AY276">
        <f t="shared" ref="AY276:AY339" si="206">IF(AX276&gt;0,AU276,0)</f>
        <v>0</v>
      </c>
    </row>
    <row r="277" spans="14:51" x14ac:dyDescent="0.25">
      <c r="N277" s="170">
        <v>59</v>
      </c>
      <c r="O277" s="199">
        <f t="shared" si="172"/>
        <v>3890.451449942811</v>
      </c>
      <c r="P277" s="189" t="str">
        <f t="shared" si="173"/>
        <v>18.0065359477124</v>
      </c>
      <c r="Q277" s="160" t="str">
        <f t="shared" si="174"/>
        <v>1+7.66883996504351i</v>
      </c>
      <c r="R277" s="160">
        <f t="shared" si="182"/>
        <v>7.7337640518345623</v>
      </c>
      <c r="S277" s="160">
        <f t="shared" si="183"/>
        <v>1.4411301358006949</v>
      </c>
      <c r="T277" s="160" t="str">
        <f t="shared" si="175"/>
        <v>1+0.00977777095543048i</v>
      </c>
      <c r="U277" s="160">
        <f t="shared" si="184"/>
        <v>1.0000478012599481</v>
      </c>
      <c r="V277" s="160">
        <f t="shared" si="185"/>
        <v>9.7774593726755264E-3</v>
      </c>
      <c r="W277" s="98" t="str">
        <f t="shared" si="176"/>
        <v>1-0.138134714328796i</v>
      </c>
      <c r="X277" s="160">
        <f t="shared" si="186"/>
        <v>1.0094955172276388</v>
      </c>
      <c r="Y277" s="160">
        <f t="shared" si="187"/>
        <v>-0.13726604598567879</v>
      </c>
      <c r="Z277" s="98" t="str">
        <f t="shared" si="177"/>
        <v>0.999816884839509+0.0412891620121333i</v>
      </c>
      <c r="AA277" s="160">
        <f t="shared" si="188"/>
        <v>1.0006690752240945</v>
      </c>
      <c r="AB277" s="160">
        <f t="shared" si="189"/>
        <v>4.1273271982715E-2</v>
      </c>
      <c r="AC277" s="171" t="str">
        <f t="shared" si="190"/>
        <v>-0.0918104092590341-2.34715592797383i</v>
      </c>
      <c r="AD277" s="190">
        <f t="shared" si="191"/>
        <v>7.4174785963860916</v>
      </c>
      <c r="AE277" s="169">
        <f t="shared" si="192"/>
        <v>-92.240016750813226</v>
      </c>
      <c r="AF277" s="98" t="str">
        <f t="shared" si="178"/>
        <v>-0.0000816326530612245</v>
      </c>
      <c r="AG277" s="98" t="str">
        <f t="shared" si="179"/>
        <v>0.00057444404363154i</v>
      </c>
      <c r="AH277" s="98">
        <f t="shared" si="193"/>
        <v>5.7444404363154002E-4</v>
      </c>
      <c r="AI277" s="98">
        <f t="shared" si="194"/>
        <v>1.5707963267948966</v>
      </c>
      <c r="AJ277" s="98" t="str">
        <f t="shared" si="180"/>
        <v>1+0.175063707638186i</v>
      </c>
      <c r="AK277" s="98">
        <f t="shared" si="195"/>
        <v>1.015208009095687</v>
      </c>
      <c r="AL277" s="98">
        <f t="shared" si="196"/>
        <v>0.1733074803506808</v>
      </c>
      <c r="AM277" s="98" t="str">
        <f t="shared" si="181"/>
        <v>1+2.74266475299825i</v>
      </c>
      <c r="AN277" s="98">
        <f t="shared" si="197"/>
        <v>2.9192824370620514</v>
      </c>
      <c r="AO277" s="98">
        <f t="shared" si="198"/>
        <v>1.2211666292884304</v>
      </c>
      <c r="AP277" s="168" t="str">
        <f t="shared" si="199"/>
        <v>-0.354024773740863+0.204084121629347i</v>
      </c>
      <c r="AQ277" s="98">
        <f t="shared" si="200"/>
        <v>-7.7732548028366288</v>
      </c>
      <c r="AR277" s="169">
        <f t="shared" si="201"/>
        <v>150.03790675830339</v>
      </c>
      <c r="AS277" s="168" t="str">
        <f t="shared" si="202"/>
        <v>0.51152041525264+0.8122142996054i</v>
      </c>
      <c r="AT277" s="190">
        <f t="shared" si="203"/>
        <v>-0.35577620645053104</v>
      </c>
      <c r="AU277" s="169">
        <f t="shared" si="204"/>
        <v>57.797890007490153</v>
      </c>
      <c r="AV277" s="225"/>
      <c r="AX277">
        <f t="shared" si="205"/>
        <v>0</v>
      </c>
      <c r="AY277">
        <f t="shared" si="206"/>
        <v>0</v>
      </c>
    </row>
    <row r="278" spans="14:51" x14ac:dyDescent="0.25">
      <c r="N278" s="170">
        <v>60</v>
      </c>
      <c r="O278" s="199">
        <f t="shared" si="172"/>
        <v>3981.0717055349769</v>
      </c>
      <c r="P278" s="189" t="str">
        <f t="shared" si="173"/>
        <v>18.0065359477124</v>
      </c>
      <c r="Q278" s="160" t="str">
        <f t="shared" si="174"/>
        <v>1+7.84747019515159i</v>
      </c>
      <c r="R278" s="160">
        <f t="shared" si="182"/>
        <v>7.9109284198374938</v>
      </c>
      <c r="S278" s="160">
        <f t="shared" si="183"/>
        <v>1.4440498288883334</v>
      </c>
      <c r="T278" s="160" t="str">
        <f t="shared" si="175"/>
        <v>1+0.0100055244988183i</v>
      </c>
      <c r="U278" s="160">
        <f t="shared" si="184"/>
        <v>1.0000500540075463</v>
      </c>
      <c r="V278" s="160">
        <f t="shared" si="185"/>
        <v>1.0005190632783699E-2</v>
      </c>
      <c r="W278" s="98" t="str">
        <f t="shared" si="176"/>
        <v>1-0.14135228516336i</v>
      </c>
      <c r="X278" s="160">
        <f t="shared" si="186"/>
        <v>1.0099408242668992</v>
      </c>
      <c r="Y278" s="160">
        <f t="shared" si="187"/>
        <v>-0.14042198436595579</v>
      </c>
      <c r="Z278" s="98" t="str">
        <f t="shared" si="177"/>
        <v>0.999808254887869+0.0422509101441607i</v>
      </c>
      <c r="AA278" s="160">
        <f t="shared" si="188"/>
        <v>1.0007005975564998</v>
      </c>
      <c r="AB278" s="160">
        <f t="shared" si="189"/>
        <v>4.2233884300657047E-2</v>
      </c>
      <c r="AC278" s="171" t="str">
        <f t="shared" si="190"/>
        <v>-0.105418279597076-2.2948721297485i</v>
      </c>
      <c r="AD278" s="190">
        <f t="shared" si="191"/>
        <v>7.2243244752387561</v>
      </c>
      <c r="AE278" s="169">
        <f t="shared" si="192"/>
        <v>-92.630115783300624</v>
      </c>
      <c r="AF278" s="98" t="str">
        <f t="shared" si="178"/>
        <v>-0.0000816326530612245</v>
      </c>
      <c r="AG278" s="98" t="str">
        <f t="shared" si="179"/>
        <v>0.000587824564305575i</v>
      </c>
      <c r="AH278" s="98">
        <f t="shared" si="193"/>
        <v>5.8782456430557495E-4</v>
      </c>
      <c r="AI278" s="98">
        <f t="shared" si="194"/>
        <v>1.5707963267948966</v>
      </c>
      <c r="AJ278" s="98" t="str">
        <f t="shared" si="180"/>
        <v>1+0.179141465228842i</v>
      </c>
      <c r="AK278" s="98">
        <f t="shared" si="195"/>
        <v>1.0159191230429401</v>
      </c>
      <c r="AL278" s="98">
        <f t="shared" si="196"/>
        <v>0.17726122271066391</v>
      </c>
      <c r="AM278" s="98" t="str">
        <f t="shared" si="181"/>
        <v>1+2.80654962191853i</v>
      </c>
      <c r="AN278" s="98">
        <f t="shared" si="197"/>
        <v>2.9793826173036324</v>
      </c>
      <c r="AO278" s="98">
        <f t="shared" si="198"/>
        <v>1.2285117598355586</v>
      </c>
      <c r="AP278" s="168" t="str">
        <f t="shared" si="199"/>
        <v>-0.353529333032964+0.202204239337561i</v>
      </c>
      <c r="AQ278" s="98">
        <f t="shared" si="200"/>
        <v>-7.8023335001095226</v>
      </c>
      <c r="AR278" s="169">
        <f t="shared" si="201"/>
        <v>150.2322189881173</v>
      </c>
      <c r="AS278" s="168" t="str">
        <f t="shared" si="202"/>
        <v>0.501301327448201+0.789988590387724i</v>
      </c>
      <c r="AT278" s="190">
        <f t="shared" si="203"/>
        <v>-0.57800902487076289</v>
      </c>
      <c r="AU278" s="169">
        <f t="shared" si="204"/>
        <v>57.602103204816665</v>
      </c>
      <c r="AV278" s="225"/>
      <c r="AX278">
        <f t="shared" si="205"/>
        <v>0</v>
      </c>
      <c r="AY278">
        <f t="shared" si="206"/>
        <v>0</v>
      </c>
    </row>
    <row r="279" spans="14:51" x14ac:dyDescent="0.25">
      <c r="N279" s="170">
        <v>61</v>
      </c>
      <c r="O279" s="199">
        <f t="shared" si="172"/>
        <v>4073.8027780411317</v>
      </c>
      <c r="P279" s="189" t="str">
        <f t="shared" si="173"/>
        <v>18.0065359477124</v>
      </c>
      <c r="Q279" s="160" t="str">
        <f t="shared" si="174"/>
        <v>1+8.03026125783071i</v>
      </c>
      <c r="R279" s="160">
        <f t="shared" si="182"/>
        <v>8.0922861954466789</v>
      </c>
      <c r="S279" s="160">
        <f t="shared" si="183"/>
        <v>1.4469051625091145</v>
      </c>
      <c r="T279" s="160" t="str">
        <f t="shared" si="175"/>
        <v>1+0.0102385831037342i</v>
      </c>
      <c r="U279" s="160">
        <f t="shared" si="184"/>
        <v>1.0000524129184289</v>
      </c>
      <c r="V279" s="160">
        <f t="shared" si="185"/>
        <v>1.0238225360845392E-2</v>
      </c>
      <c r="W279" s="98" t="str">
        <f t="shared" si="176"/>
        <v>1-0.144644802850538i</v>
      </c>
      <c r="X279" s="160">
        <f t="shared" si="186"/>
        <v>1.0104069076325988</v>
      </c>
      <c r="Y279" s="160">
        <f t="shared" si="187"/>
        <v>-0.1436485212625245</v>
      </c>
      <c r="Z279" s="98" t="str">
        <f t="shared" si="177"/>
        <v>0.999799218219138+0.0432350602680035i</v>
      </c>
      <c r="AA279" s="160">
        <f t="shared" si="188"/>
        <v>1.000733604506203</v>
      </c>
      <c r="AB279" s="160">
        <f t="shared" si="189"/>
        <v>4.3216817454561032E-2</v>
      </c>
      <c r="AC279" s="171" t="str">
        <f t="shared" si="190"/>
        <v>-0.118430883706001-2.24365118729491i</v>
      </c>
      <c r="AD279" s="190">
        <f t="shared" si="191"/>
        <v>7.0311904722536367</v>
      </c>
      <c r="AE279" s="169">
        <f t="shared" si="192"/>
        <v>-93.02154731035408</v>
      </c>
      <c r="AF279" s="98" t="str">
        <f t="shared" si="178"/>
        <v>-0.0000816326530612245</v>
      </c>
      <c r="AG279" s="98" t="str">
        <f t="shared" si="179"/>
        <v>0.000601516757344382i</v>
      </c>
      <c r="AH279" s="98">
        <f t="shared" si="193"/>
        <v>6.0151675734438205E-4</v>
      </c>
      <c r="AI279" s="98">
        <f t="shared" si="194"/>
        <v>1.5707963267948966</v>
      </c>
      <c r="AJ279" s="98" t="str">
        <f t="shared" si="180"/>
        <v>1+0.18331420599558i</v>
      </c>
      <c r="AK279" s="98">
        <f t="shared" si="195"/>
        <v>1.0166632176486912</v>
      </c>
      <c r="AL279" s="98">
        <f t="shared" si="196"/>
        <v>0.18130126898640897</v>
      </c>
      <c r="AM279" s="98" t="str">
        <f t="shared" si="181"/>
        <v>1+2.87192256059743i</v>
      </c>
      <c r="AN279" s="98">
        <f t="shared" si="197"/>
        <v>3.0410424518688486</v>
      </c>
      <c r="AO279" s="98">
        <f t="shared" si="198"/>
        <v>1.2357270369226256</v>
      </c>
      <c r="AP279" s="168" t="str">
        <f t="shared" si="199"/>
        <v>-0.353012027009228+0.200423472554202i</v>
      </c>
      <c r="AQ279" s="98">
        <f t="shared" si="200"/>
        <v>-7.8307689567695418</v>
      </c>
      <c r="AR279" s="169">
        <f t="shared" si="201"/>
        <v>150.41414631258613</v>
      </c>
      <c r="AS279" s="168" t="str">
        <f t="shared" si="202"/>
        <v>0.491487888475554+0.768299524558618i</v>
      </c>
      <c r="AT279" s="190">
        <f t="shared" si="203"/>
        <v>-0.79957848451590163</v>
      </c>
      <c r="AU279" s="169">
        <f t="shared" si="204"/>
        <v>57.392599002232025</v>
      </c>
      <c r="AV279" s="225"/>
      <c r="AX279">
        <f t="shared" si="205"/>
        <v>0</v>
      </c>
      <c r="AY279">
        <f t="shared" si="206"/>
        <v>0</v>
      </c>
    </row>
    <row r="280" spans="14:51" x14ac:dyDescent="0.25">
      <c r="N280" s="170">
        <v>62</v>
      </c>
      <c r="O280" s="199">
        <f t="shared" si="172"/>
        <v>4168.6938347033583</v>
      </c>
      <c r="P280" s="189" t="str">
        <f t="shared" si="173"/>
        <v>18.0065359477124</v>
      </c>
      <c r="Q280" s="160" t="str">
        <f t="shared" si="174"/>
        <v>1+8.21731007132182i</v>
      </c>
      <c r="R280" s="160">
        <f t="shared" si="182"/>
        <v>8.2779336073833676</v>
      </c>
      <c r="S280" s="160">
        <f t="shared" si="183"/>
        <v>1.4496974642646414</v>
      </c>
      <c r="T280" s="160" t="str">
        <f t="shared" si="175"/>
        <v>1+0.0104770703409353i</v>
      </c>
      <c r="U280" s="160">
        <f t="shared" si="184"/>
        <v>1.0000548829953928</v>
      </c>
      <c r="V280" s="160">
        <f t="shared" si="185"/>
        <v>1.047668701365981E-2</v>
      </c>
      <c r="W280" s="98" t="str">
        <f t="shared" si="176"/>
        <v>1-0.148014013126787i</v>
      </c>
      <c r="X280" s="160">
        <f t="shared" si="186"/>
        <v>1.0108947265081052</v>
      </c>
      <c r="Y280" s="160">
        <f t="shared" si="187"/>
        <v>-0.14694709856763274</v>
      </c>
      <c r="Z280" s="98" t="str">
        <f t="shared" si="177"/>
        <v>0.999789755665331+0.0442421341930841i</v>
      </c>
      <c r="AA280" s="160">
        <f t="shared" si="188"/>
        <v>1.00076816594619</v>
      </c>
      <c r="AB280" s="160">
        <f t="shared" si="189"/>
        <v>4.4222587458996578E-2</v>
      </c>
      <c r="AC280" s="171" t="str">
        <f t="shared" si="190"/>
        <v>-0.130873270215864-2.19347591547929i</v>
      </c>
      <c r="AD280" s="190">
        <f t="shared" si="191"/>
        <v>6.8380903414175718</v>
      </c>
      <c r="AE280" s="169">
        <f t="shared" si="192"/>
        <v>-93.414492504186143</v>
      </c>
      <c r="AF280" s="98" t="str">
        <f t="shared" si="178"/>
        <v>-0.0000816326530612245</v>
      </c>
      <c r="AG280" s="98" t="str">
        <f t="shared" si="179"/>
        <v>0.000615527882529949i</v>
      </c>
      <c r="AH280" s="98">
        <f t="shared" si="193"/>
        <v>6.1552788252994901E-4</v>
      </c>
      <c r="AI280" s="98">
        <f t="shared" si="194"/>
        <v>1.5707963267948966</v>
      </c>
      <c r="AJ280" s="98" t="str">
        <f t="shared" si="180"/>
        <v>1+0.187584142380788i</v>
      </c>
      <c r="AK280" s="98">
        <f t="shared" si="195"/>
        <v>1.0174417970934435</v>
      </c>
      <c r="AL280" s="98">
        <f t="shared" si="196"/>
        <v>0.18542923347170909</v>
      </c>
      <c r="AM280" s="98" t="str">
        <f t="shared" si="181"/>
        <v>1+2.93881823063236i</v>
      </c>
      <c r="AN280" s="98">
        <f t="shared" si="197"/>
        <v>3.1042958287987168</v>
      </c>
      <c r="AO280" s="98">
        <f t="shared" si="198"/>
        <v>1.2428132802098701</v>
      </c>
      <c r="AP280" s="168" t="str">
        <f t="shared" si="199"/>
        <v>-0.352471961233475+0.198740336132602i</v>
      </c>
      <c r="AQ280" s="98">
        <f t="shared" si="200"/>
        <v>-7.858605854373085</v>
      </c>
      <c r="AR280" s="169">
        <f t="shared" si="201"/>
        <v>150.58364320256035</v>
      </c>
      <c r="AS280" s="168" t="str">
        <f t="shared" si="202"/>
        <v>0.482061298967145+0.747128960133904i</v>
      </c>
      <c r="AT280" s="190">
        <f t="shared" si="203"/>
        <v>-1.0205155129555119</v>
      </c>
      <c r="AU280" s="169">
        <f t="shared" si="204"/>
        <v>57.169150698374203</v>
      </c>
      <c r="AV280" s="225"/>
      <c r="AX280">
        <f t="shared" si="205"/>
        <v>0</v>
      </c>
      <c r="AY280">
        <f t="shared" si="206"/>
        <v>0</v>
      </c>
    </row>
    <row r="281" spans="14:51" x14ac:dyDescent="0.25">
      <c r="N281" s="170">
        <v>63</v>
      </c>
      <c r="O281" s="199">
        <f t="shared" si="172"/>
        <v>4265.7951880159299</v>
      </c>
      <c r="P281" s="189" t="str">
        <f t="shared" si="173"/>
        <v>18.0065359477124</v>
      </c>
      <c r="Q281" s="160" t="str">
        <f t="shared" si="174"/>
        <v>1+8.40871581138168i</v>
      </c>
      <c r="R281" s="160">
        <f t="shared" si="182"/>
        <v>8.4679691542057629</v>
      </c>
      <c r="S281" s="160">
        <f t="shared" si="183"/>
        <v>1.4524280404055219</v>
      </c>
      <c r="T281" s="160" t="str">
        <f t="shared" si="175"/>
        <v>1+0.0107211126595116i</v>
      </c>
      <c r="U281" s="160">
        <f t="shared" si="184"/>
        <v>1.0000574694769586</v>
      </c>
      <c r="V281" s="160">
        <f t="shared" si="185"/>
        <v>1.0720701918210491E-2</v>
      </c>
      <c r="W281" s="98" t="str">
        <f t="shared" si="176"/>
        <v>1-0.151461702391992i</v>
      </c>
      <c r="X281" s="160">
        <f t="shared" si="186"/>
        <v>1.0114052834010114</v>
      </c>
      <c r="Y281" s="160">
        <f t="shared" si="187"/>
        <v>-0.15031917795698513</v>
      </c>
      <c r="Z281" s="98" t="str">
        <f t="shared" si="177"/>
        <v>0.999779847155102+0.0452726658833277i</v>
      </c>
      <c r="AA281" s="160">
        <f t="shared" si="188"/>
        <v>1.0008043550333214</v>
      </c>
      <c r="AB281" s="160">
        <f t="shared" si="189"/>
        <v>4.5251722069732186E-2</v>
      </c>
      <c r="AC281" s="171" t="str">
        <f t="shared" si="190"/>
        <v>-0.142769496377608-2.14432905169771i</v>
      </c>
      <c r="AD281" s="190">
        <f t="shared" si="191"/>
        <v>6.6450378880541097</v>
      </c>
      <c r="AE281" s="169">
        <f t="shared" si="192"/>
        <v>-93.809132955467604</v>
      </c>
      <c r="AF281" s="98" t="str">
        <f t="shared" si="178"/>
        <v>-0.0000816326530612245</v>
      </c>
      <c r="AG281" s="98" t="str">
        <f t="shared" si="179"/>
        <v>0.000629865368746308i</v>
      </c>
      <c r="AH281" s="98">
        <f t="shared" si="193"/>
        <v>6.2986536874630797E-4</v>
      </c>
      <c r="AI281" s="98">
        <f t="shared" si="194"/>
        <v>1.5707963267948966</v>
      </c>
      <c r="AJ281" s="98" t="str">
        <f t="shared" si="180"/>
        <v>1+0.191953538361256i</v>
      </c>
      <c r="AK281" s="98">
        <f t="shared" si="195"/>
        <v>1.0182564317937826</v>
      </c>
      <c r="AL281" s="98">
        <f t="shared" si="196"/>
        <v>0.18964674186555394</v>
      </c>
      <c r="AM281" s="98" t="str">
        <f t="shared" si="181"/>
        <v>1+3.00727210099302i</v>
      </c>
      <c r="AN281" s="98">
        <f t="shared" si="197"/>
        <v>3.1691774152626695</v>
      </c>
      <c r="AO281" s="98">
        <f t="shared" si="198"/>
        <v>1.2497713993202446</v>
      </c>
      <c r="AP281" s="168" t="str">
        <f t="shared" si="199"/>
        <v>-0.351908211232922+0.197153362389367i</v>
      </c>
      <c r="AQ281" s="98">
        <f t="shared" si="200"/>
        <v>-7.8858885797375509</v>
      </c>
      <c r="AR281" s="169">
        <f t="shared" si="201"/>
        <v>150.740668629906</v>
      </c>
      <c r="AS281" s="168" t="str">
        <f t="shared" si="202"/>
        <v>0.473003440700276+0.726459514620247i</v>
      </c>
      <c r="AT281" s="190">
        <f t="shared" si="203"/>
        <v>-1.240850691683439</v>
      </c>
      <c r="AU281" s="169">
        <f t="shared" si="204"/>
        <v>56.931535674438344</v>
      </c>
      <c r="AV281" s="225"/>
      <c r="AX281">
        <f t="shared" si="205"/>
        <v>0</v>
      </c>
      <c r="AY281">
        <f t="shared" si="206"/>
        <v>0</v>
      </c>
    </row>
    <row r="282" spans="14:51" x14ac:dyDescent="0.25">
      <c r="N282" s="170">
        <v>64</v>
      </c>
      <c r="O282" s="199">
        <f t="shared" si="172"/>
        <v>4365.1583224016631</v>
      </c>
      <c r="P282" s="189" t="str">
        <f t="shared" si="173"/>
        <v>18.0065359477124</v>
      </c>
      <c r="Q282" s="160" t="str">
        <f t="shared" si="174"/>
        <v>1+8.60457996386723i</v>
      </c>
      <c r="R282" s="160">
        <f t="shared" si="182"/>
        <v>8.6624936568280031</v>
      </c>
      <c r="S282" s="160">
        <f t="shared" si="183"/>
        <v>1.4550981757574635</v>
      </c>
      <c r="T282" s="160" t="str">
        <f t="shared" si="175"/>
        <v>1+0.0109708394539307i</v>
      </c>
      <c r="U282" s="160">
        <f t="shared" si="184"/>
        <v>1.0000601778484752</v>
      </c>
      <c r="V282" s="160">
        <f t="shared" si="185"/>
        <v>1.0970399338127447E-2</v>
      </c>
      <c r="W282" s="98" t="str">
        <f t="shared" si="176"/>
        <v>1-0.154989698656639i</v>
      </c>
      <c r="X282" s="160">
        <f t="shared" si="186"/>
        <v>1.011939626010206</v>
      </c>
      <c r="Y282" s="160">
        <f t="shared" si="187"/>
        <v>-0.15376624044379408</v>
      </c>
      <c r="Z282" s="98" t="str">
        <f t="shared" si="177"/>
        <v>0.999769471671173+0.0463272017402771i</v>
      </c>
      <c r="AA282" s="160">
        <f t="shared" si="188"/>
        <v>1.0008422483622186</v>
      </c>
      <c r="AB282" s="160">
        <f t="shared" si="189"/>
        <v>4.63047610374294E-2</v>
      </c>
      <c r="AC282" s="171" t="str">
        <f t="shared" si="190"/>
        <v>-0.154142660733697-2.09619328547654i</v>
      </c>
      <c r="AD282" s="190">
        <f t="shared" si="191"/>
        <v>6.4520469914984444</v>
      </c>
      <c r="AE282" s="169">
        <f t="shared" si="192"/>
        <v>-94.205650654269888</v>
      </c>
      <c r="AF282" s="98" t="str">
        <f t="shared" si="178"/>
        <v>-0.0000816326530612245</v>
      </c>
      <c r="AG282" s="98" t="str">
        <f t="shared" si="179"/>
        <v>0.00064453681791843i</v>
      </c>
      <c r="AH282" s="98">
        <f t="shared" si="193"/>
        <v>6.4453681791842995E-4</v>
      </c>
      <c r="AI282" s="98">
        <f t="shared" si="194"/>
        <v>1.5707963267948966</v>
      </c>
      <c r="AJ282" s="98" t="str">
        <f t="shared" si="180"/>
        <v>1+0.196424710648567i</v>
      </c>
      <c r="AK282" s="98">
        <f t="shared" si="195"/>
        <v>1.0191087611012739</v>
      </c>
      <c r="AL282" s="98">
        <f t="shared" si="196"/>
        <v>0.19395542990805567</v>
      </c>
      <c r="AM282" s="98" t="str">
        <f t="shared" si="181"/>
        <v>1+3.07732046682757i</v>
      </c>
      <c r="AN282" s="98">
        <f t="shared" si="197"/>
        <v>3.2357226790248661</v>
      </c>
      <c r="AO282" s="98">
        <f t="shared" si="198"/>
        <v>1.2566023876029782</v>
      </c>
      <c r="AP282" s="168" t="str">
        <f t="shared" si="199"/>
        <v>-0.35131982211166+0.195661098365984i</v>
      </c>
      <c r="AQ282" s="98">
        <f t="shared" si="200"/>
        <v>-7.9126612323043313</v>
      </c>
      <c r="AR282" s="169">
        <f t="shared" si="201"/>
        <v>150.88518578833592</v>
      </c>
      <c r="AS282" s="168" t="str">
        <f t="shared" si="202"/>
        <v>0.464296852772521+0.706274529861064i</v>
      </c>
      <c r="AT282" s="190">
        <f t="shared" si="203"/>
        <v>-1.4606142408058838</v>
      </c>
      <c r="AU282" s="169">
        <f t="shared" si="204"/>
        <v>56.679535134066036</v>
      </c>
      <c r="AV282" s="225"/>
      <c r="AX282">
        <f t="shared" si="205"/>
        <v>0</v>
      </c>
      <c r="AY282">
        <f t="shared" si="206"/>
        <v>0</v>
      </c>
    </row>
    <row r="283" spans="14:51" x14ac:dyDescent="0.25">
      <c r="N283" s="170">
        <v>65</v>
      </c>
      <c r="O283" s="199">
        <f t="shared" si="172"/>
        <v>4466.8359215096343</v>
      </c>
      <c r="P283" s="189" t="str">
        <f t="shared" si="173"/>
        <v>18.0065359477124</v>
      </c>
      <c r="Q283" s="160" t="str">
        <f t="shared" si="174"/>
        <v>1+8.80500637854472i</v>
      </c>
      <c r="R283" s="160">
        <f t="shared" si="182"/>
        <v>8.8616103122521253</v>
      </c>
      <c r="S283" s="160">
        <f t="shared" si="183"/>
        <v>1.4577091336830499</v>
      </c>
      <c r="T283" s="160" t="str">
        <f t="shared" si="175"/>
        <v>1+0.0112263831326445i</v>
      </c>
      <c r="U283" s="160">
        <f t="shared" si="184"/>
        <v>1.0000630138537476</v>
      </c>
      <c r="V283" s="160">
        <f t="shared" si="185"/>
        <v>1.1225911541669634E-2</v>
      </c>
      <c r="W283" s="98" t="str">
        <f t="shared" si="176"/>
        <v>1-0.158599872511044i</v>
      </c>
      <c r="X283" s="160">
        <f t="shared" si="186"/>
        <v>1.0124988491650346</v>
      </c>
      <c r="Y283" s="160">
        <f t="shared" si="187"/>
        <v>-0.15728978586686784</v>
      </c>
      <c r="Z283" s="98" t="str">
        <f t="shared" si="177"/>
        <v>0.99975860720575+0.0474063008928023i</v>
      </c>
      <c r="AA283" s="160">
        <f t="shared" si="188"/>
        <v>1.000881926126314</v>
      </c>
      <c r="AB283" s="160">
        <f t="shared" si="189"/>
        <v>4.7382256365844866E-2</v>
      </c>
      <c r="AC283" s="171" t="str">
        <f t="shared" si="190"/>
        <v>-0.165014935267605-2.04905128582614i</v>
      </c>
      <c r="AD283" s="190">
        <f t="shared" si="191"/>
        <v>6.2591316277307198</v>
      </c>
      <c r="AE283" s="169">
        <f t="shared" si="192"/>
        <v>-94.604227969443173</v>
      </c>
      <c r="AF283" s="98" t="str">
        <f t="shared" si="178"/>
        <v>-0.0000816326530612245</v>
      </c>
      <c r="AG283" s="98" t="str">
        <f t="shared" si="179"/>
        <v>0.000659550009042866i</v>
      </c>
      <c r="AH283" s="98">
        <f t="shared" si="193"/>
        <v>6.5955000904286602E-4</v>
      </c>
      <c r="AI283" s="98">
        <f t="shared" si="194"/>
        <v>1.5707963267948966</v>
      </c>
      <c r="AJ283" s="98" t="str">
        <f t="shared" si="180"/>
        <v>1+0.201000029917454i</v>
      </c>
      <c r="AK283" s="98">
        <f t="shared" si="195"/>
        <v>1.0200004960914566</v>
      </c>
      <c r="AL283" s="98">
        <f t="shared" si="196"/>
        <v>0.19835694189526357</v>
      </c>
      <c r="AM283" s="98" t="str">
        <f t="shared" si="181"/>
        <v>1+3.14900046870679i</v>
      </c>
      <c r="AN283" s="98">
        <f t="shared" si="197"/>
        <v>3.3039679102430131</v>
      </c>
      <c r="AO283" s="98">
        <f t="shared" si="198"/>
        <v>1.2633073160663322</v>
      </c>
      <c r="AP283" s="168" t="str">
        <f t="shared" si="199"/>
        <v>-0.350705808226287+0.194262103011264i</v>
      </c>
      <c r="AQ283" s="98">
        <f t="shared" si="200"/>
        <v>-7.9389676345950466</v>
      </c>
      <c r="AR283" s="169">
        <f t="shared" si="201"/>
        <v>151.01716183088004</v>
      </c>
      <c r="AS283" s="168" t="str">
        <f t="shared" si="202"/>
        <v>0.455924708204954+0.686558038939416i</v>
      </c>
      <c r="AT283" s="190">
        <f t="shared" si="203"/>
        <v>-1.6798360068643325</v>
      </c>
      <c r="AU283" s="169">
        <f t="shared" si="204"/>
        <v>56.412933861436883</v>
      </c>
      <c r="AV283" s="225"/>
      <c r="AX283">
        <f t="shared" si="205"/>
        <v>0</v>
      </c>
      <c r="AY283">
        <f t="shared" si="206"/>
        <v>0</v>
      </c>
    </row>
    <row r="284" spans="14:51" x14ac:dyDescent="0.25">
      <c r="N284" s="170">
        <v>66</v>
      </c>
      <c r="O284" s="199">
        <f t="shared" ref="O284:O318" si="207">10^(3+(N284/100))</f>
        <v>4570.8818961487532</v>
      </c>
      <c r="P284" s="189" t="str">
        <f t="shared" si="173"/>
        <v>18.0065359477124</v>
      </c>
      <c r="Q284" s="160" t="str">
        <f t="shared" si="174"/>
        <v>1+9.01010132415216i</v>
      </c>
      <c r="R284" s="160">
        <f t="shared" si="182"/>
        <v>9.0654247485425916</v>
      </c>
      <c r="S284" s="160">
        <f t="shared" si="183"/>
        <v>1.4602621560764686</v>
      </c>
      <c r="T284" s="160" t="str">
        <f t="shared" si="175"/>
        <v>1+0.011487879188294i</v>
      </c>
      <c r="U284" s="160">
        <f t="shared" si="184"/>
        <v>1.0000659835072108</v>
      </c>
      <c r="V284" s="160">
        <f t="shared" si="185"/>
        <v>1.1487373871260921E-2</v>
      </c>
      <c r="W284" s="98" t="str">
        <f t="shared" si="176"/>
        <v>1-0.162294138117172i</v>
      </c>
      <c r="X284" s="160">
        <f t="shared" si="186"/>
        <v>1.0130840968385575</v>
      </c>
      <c r="Y284" s="160">
        <f t="shared" si="187"/>
        <v>-0.16089133230828906</v>
      </c>
      <c r="Z284" s="98" t="str">
        <f t="shared" si="177"/>
        <v>0.999747230713848+0.0485105354935575i</v>
      </c>
      <c r="AA284" s="160">
        <f t="shared" si="188"/>
        <v>1.0009234722864078</v>
      </c>
      <c r="AB284" s="160">
        <f t="shared" si="189"/>
        <v>4.8484772574544796E-2</v>
      </c>
      <c r="AC284" s="171" t="str">
        <f t="shared" si="190"/>
        <v>-0.175407596980232-2.00288572647378i</v>
      </c>
      <c r="AD284" s="190">
        <f t="shared" si="191"/>
        <v>6.0663058919658583</v>
      </c>
      <c r="AE284" s="169">
        <f t="shared" si="192"/>
        <v>-95.005047626018268</v>
      </c>
      <c r="AF284" s="98" t="str">
        <f t="shared" si="178"/>
        <v>-0.0000816326530612245</v>
      </c>
      <c r="AG284" s="98" t="str">
        <f t="shared" si="179"/>
        <v>0.000674912902312273i</v>
      </c>
      <c r="AH284" s="98">
        <f t="shared" si="193"/>
        <v>6.7491290231227303E-4</v>
      </c>
      <c r="AI284" s="98">
        <f t="shared" si="194"/>
        <v>1.5707963267948966</v>
      </c>
      <c r="AJ284" s="98" t="str">
        <f t="shared" si="180"/>
        <v>1+0.205681922062752i</v>
      </c>
      <c r="AK284" s="98">
        <f t="shared" si="195"/>
        <v>1.0209334224441022</v>
      </c>
      <c r="AL284" s="98">
        <f t="shared" si="196"/>
        <v>0.2028529290665442</v>
      </c>
      <c r="AM284" s="98" t="str">
        <f t="shared" si="181"/>
        <v>1+3.22235011231647i</v>
      </c>
      <c r="AN284" s="98">
        <f t="shared" si="197"/>
        <v>3.3739502436085163</v>
      </c>
      <c r="AO284" s="98">
        <f t="shared" si="198"/>
        <v>1.2698873274915379</v>
      </c>
      <c r="AP284" s="168" t="str">
        <f t="shared" si="199"/>
        <v>-0.350065152931872+0.192954944282357i</v>
      </c>
      <c r="AQ284" s="98">
        <f t="shared" si="200"/>
        <v>-7.964851345520346</v>
      </c>
      <c r="AR284" s="169">
        <f t="shared" si="201"/>
        <v>151.13656762503288</v>
      </c>
      <c r="AS284" s="168" t="str">
        <f t="shared" si="202"/>
        <v>0.447870791017973+0.667294735041084i</v>
      </c>
      <c r="AT284" s="190">
        <f t="shared" si="203"/>
        <v>-1.8985454535544934</v>
      </c>
      <c r="AU284" s="169">
        <f t="shared" si="204"/>
        <v>56.131519999014607</v>
      </c>
      <c r="AV284" s="225"/>
      <c r="AX284">
        <f t="shared" si="205"/>
        <v>0</v>
      </c>
      <c r="AY284">
        <f t="shared" si="206"/>
        <v>0</v>
      </c>
    </row>
    <row r="285" spans="14:51" x14ac:dyDescent="0.25">
      <c r="N285" s="170">
        <v>67</v>
      </c>
      <c r="O285" s="199">
        <f t="shared" si="207"/>
        <v>4677.3514128719844</v>
      </c>
      <c r="P285" s="189" t="str">
        <f t="shared" si="173"/>
        <v>18.0065359477124</v>
      </c>
      <c r="Q285" s="160" t="str">
        <f t="shared" si="174"/>
        <v>1+9.21997354474444i</v>
      </c>
      <c r="R285" s="160">
        <f t="shared" si="182"/>
        <v>9.2740450810737016</v>
      </c>
      <c r="S285" s="160">
        <f t="shared" si="183"/>
        <v>1.4627584633886141</v>
      </c>
      <c r="T285" s="160" t="str">
        <f t="shared" si="175"/>
        <v>1+0.0117554662695492i</v>
      </c>
      <c r="U285" s="160">
        <f t="shared" si="184"/>
        <v>1.0000690931066785</v>
      </c>
      <c r="V285" s="160">
        <f t="shared" si="185"/>
        <v>1.1754924814613354E-2</v>
      </c>
      <c r="W285" s="98" t="str">
        <f t="shared" si="176"/>
        <v>1-0.166074454223547i</v>
      </c>
      <c r="X285" s="160">
        <f t="shared" si="186"/>
        <v>1.0136965642368769</v>
      </c>
      <c r="Y285" s="160">
        <f t="shared" si="187"/>
        <v>-0.16457241543599263</v>
      </c>
      <c r="Z285" s="98" t="str">
        <f t="shared" si="177"/>
        <v>0.999735318064399+0.0496404910223441i</v>
      </c>
      <c r="AA285" s="160">
        <f t="shared" si="188"/>
        <v>1.0009669747470515</v>
      </c>
      <c r="AB285" s="160">
        <f t="shared" si="189"/>
        <v>4.9612886966134202E-2</v>
      </c>
      <c r="AC285" s="171" t="str">
        <f t="shared" si="190"/>
        <v>-0.18534105884898-1.95767930909699i</v>
      </c>
      <c r="AD285" s="190">
        <f t="shared" si="191"/>
        <v>5.8735840211967725</v>
      </c>
      <c r="AE285" s="169">
        <f t="shared" si="192"/>
        <v>-95.408292680213322</v>
      </c>
      <c r="AF285" s="98" t="str">
        <f t="shared" si="178"/>
        <v>-0.0000816326530612245</v>
      </c>
      <c r="AG285" s="98" t="str">
        <f t="shared" si="179"/>
        <v>0.000690633643336014i</v>
      </c>
      <c r="AH285" s="98">
        <f t="shared" si="193"/>
        <v>6.9063364333601398E-4</v>
      </c>
      <c r="AI285" s="98">
        <f t="shared" si="194"/>
        <v>1.5707963267948966</v>
      </c>
      <c r="AJ285" s="98" t="str">
        <f t="shared" si="180"/>
        <v>1+0.210472869485651i</v>
      </c>
      <c r="AK285" s="98">
        <f t="shared" si="195"/>
        <v>1.021909403415745</v>
      </c>
      <c r="AL285" s="98">
        <f t="shared" si="196"/>
        <v>0.20744504785815657</v>
      </c>
      <c r="AM285" s="98" t="str">
        <f t="shared" si="181"/>
        <v>1+3.29740828860854i</v>
      </c>
      <c r="AN285" s="98">
        <f t="shared" si="197"/>
        <v>3.4457076808377547</v>
      </c>
      <c r="AO285" s="98">
        <f t="shared" si="198"/>
        <v>1.2763436307377489</v>
      </c>
      <c r="AP285" s="168" t="str">
        <f t="shared" si="199"/>
        <v>-0.34939680840708+0.191738196162376i</v>
      </c>
      <c r="AQ285" s="98">
        <f t="shared" si="200"/>
        <v>-7.9903556762989432</v>
      </c>
      <c r="AR285" s="169">
        <f t="shared" si="201"/>
        <v>151.24337752651527</v>
      </c>
      <c r="AS285" s="168" t="str">
        <f t="shared" si="202"/>
        <v>0.440119473819286+0.648469942184538i</v>
      </c>
      <c r="AT285" s="190">
        <f t="shared" si="203"/>
        <v>-2.116771655102164</v>
      </c>
      <c r="AU285" s="169">
        <f t="shared" si="204"/>
        <v>55.835084846301967</v>
      </c>
      <c r="AV285" s="225"/>
      <c r="AX285">
        <f t="shared" si="205"/>
        <v>0</v>
      </c>
      <c r="AY285">
        <f t="shared" si="206"/>
        <v>0</v>
      </c>
    </row>
    <row r="286" spans="14:51" x14ac:dyDescent="0.25">
      <c r="N286" s="170">
        <v>68</v>
      </c>
      <c r="O286" s="199">
        <f t="shared" si="207"/>
        <v>4786.3009232263848</v>
      </c>
      <c r="P286" s="189" t="str">
        <f t="shared" si="173"/>
        <v>18.0065359477124</v>
      </c>
      <c r="Q286" s="160" t="str">
        <f t="shared" si="174"/>
        <v>1+9.43473431735093i</v>
      </c>
      <c r="R286" s="160">
        <f t="shared" si="182"/>
        <v>9.4875819700806439</v>
      </c>
      <c r="S286" s="160">
        <f t="shared" si="183"/>
        <v>1.4651992546801378</v>
      </c>
      <c r="T286" s="160" t="str">
        <f t="shared" si="175"/>
        <v>1+0.0120292862546224i</v>
      </c>
      <c r="U286" s="160">
        <f t="shared" si="184"/>
        <v>1.0000723492466912</v>
      </c>
      <c r="V286" s="160">
        <f t="shared" si="185"/>
        <v>1.2028706077472589E-2</v>
      </c>
      <c r="W286" s="98" t="str">
        <f t="shared" si="176"/>
        <v>1-0.169942825203807i</v>
      </c>
      <c r="X286" s="160">
        <f t="shared" si="186"/>
        <v>1.0143374999664814</v>
      </c>
      <c r="Y286" s="160">
        <f t="shared" si="187"/>
        <v>-0.16833458776639207</v>
      </c>
      <c r="Z286" s="98" t="str">
        <f t="shared" si="177"/>
        <v>0.999722843989079+0.0507967665965405i</v>
      </c>
      <c r="AA286" s="160">
        <f t="shared" si="188"/>
        <v>1.0010125255411519</v>
      </c>
      <c r="AB286" s="160">
        <f t="shared" si="189"/>
        <v>5.0767189897991415E-2</v>
      </c>
      <c r="AC286" s="171" t="str">
        <f t="shared" si="190"/>
        <v>-0.194834900132463-1.91341478467388i</v>
      </c>
      <c r="AD286" s="190">
        <f t="shared" si="191"/>
        <v>5.6809804166872171</v>
      </c>
      <c r="AE286" s="169">
        <f t="shared" si="192"/>
        <v>-95.814146491626076</v>
      </c>
      <c r="AF286" s="98" t="str">
        <f t="shared" si="178"/>
        <v>-0.0000816326530612245</v>
      </c>
      <c r="AG286" s="98" t="str">
        <f t="shared" si="179"/>
        <v>0.000706720567459069i</v>
      </c>
      <c r="AH286" s="98">
        <f t="shared" si="193"/>
        <v>7.0672056745906897E-4</v>
      </c>
      <c r="AI286" s="98">
        <f t="shared" si="194"/>
        <v>1.5707963267948966</v>
      </c>
      <c r="AJ286" s="98" t="str">
        <f t="shared" si="180"/>
        <v>1+0.215375412409888i</v>
      </c>
      <c r="AK286" s="98">
        <f t="shared" si="195"/>
        <v>1.0229303829052734</v>
      </c>
      <c r="AL286" s="98">
        <f t="shared" si="196"/>
        <v>0.21213495801649151</v>
      </c>
      <c r="AM286" s="98" t="str">
        <f t="shared" si="181"/>
        <v>1+3.37421479442159i</v>
      </c>
      <c r="AN286" s="98">
        <f t="shared" si="197"/>
        <v>3.5192791135250316</v>
      </c>
      <c r="AO286" s="98">
        <f t="shared" si="198"/>
        <v>1.2826774952458584</v>
      </c>
      <c r="AP286" s="168" t="str">
        <f t="shared" si="199"/>
        <v>-0.348699695567869+0.190610435593173i</v>
      </c>
      <c r="AQ286" s="98">
        <f t="shared" si="200"/>
        <v>-8.0155237087439613</v>
      </c>
      <c r="AR286" s="169">
        <f t="shared" si="201"/>
        <v>151.33756917246953</v>
      </c>
      <c r="AS286" s="168" t="str">
        <f t="shared" si="202"/>
        <v>0.432655695939292+0.63006958772784i</v>
      </c>
      <c r="AT286" s="190">
        <f t="shared" si="203"/>
        <v>-2.3345432920567468</v>
      </c>
      <c r="AU286" s="169">
        <f t="shared" si="204"/>
        <v>55.523422680843396</v>
      </c>
      <c r="AV286" s="225"/>
      <c r="AX286">
        <f t="shared" si="205"/>
        <v>0</v>
      </c>
      <c r="AY286">
        <f t="shared" si="206"/>
        <v>0</v>
      </c>
    </row>
    <row r="287" spans="14:51" x14ac:dyDescent="0.25">
      <c r="N287" s="170">
        <v>69</v>
      </c>
      <c r="O287" s="199">
        <f t="shared" si="207"/>
        <v>4897.7881936844633</v>
      </c>
      <c r="P287" s="189" t="str">
        <f t="shared" si="173"/>
        <v>18.0065359477124</v>
      </c>
      <c r="Q287" s="160" t="str">
        <f t="shared" si="174"/>
        <v>1+9.65449751097597i</v>
      </c>
      <c r="R287" s="160">
        <f t="shared" si="182"/>
        <v>9.7061486795454144</v>
      </c>
      <c r="S287" s="160">
        <f t="shared" si="183"/>
        <v>1.4675857077001544</v>
      </c>
      <c r="T287" s="160" t="str">
        <f t="shared" si="175"/>
        <v>1+0.0123094843264944i</v>
      </c>
      <c r="U287" s="160">
        <f t="shared" si="184"/>
        <v>1.0000757588324918</v>
      </c>
      <c r="V287" s="160">
        <f t="shared" si="185"/>
        <v>1.230886265802136E-2</v>
      </c>
      <c r="W287" s="98" t="str">
        <f t="shared" si="176"/>
        <v>1-0.173901302119449i</v>
      </c>
      <c r="X287" s="160">
        <f t="shared" si="186"/>
        <v>1.0150082082815093</v>
      </c>
      <c r="Y287" s="160">
        <f t="shared" si="187"/>
        <v>-0.17217941784198132</v>
      </c>
      <c r="Z287" s="98" t="str">
        <f t="shared" si="177"/>
        <v>0.999709782028701+0.051979975288761i</v>
      </c>
      <c r="AA287" s="160">
        <f t="shared" si="188"/>
        <v>1.0010602210231376</v>
      </c>
      <c r="AB287" s="160">
        <f t="shared" si="189"/>
        <v>5.1948285058491875E-2</v>
      </c>
      <c r="AC287" s="171" t="str">
        <f t="shared" si="190"/>
        <v>-0.203907895990161-1.87007497306152i</v>
      </c>
      <c r="AD287" s="190">
        <f t="shared" si="191"/>
        <v>5.4885096664060518</v>
      </c>
      <c r="AE287" s="169">
        <f t="shared" si="192"/>
        <v>-96.222792692187227</v>
      </c>
      <c r="AF287" s="98" t="str">
        <f t="shared" si="178"/>
        <v>-0.0000816326530612245</v>
      </c>
      <c r="AG287" s="98" t="str">
        <f t="shared" si="179"/>
        <v>0.000723182204181543i</v>
      </c>
      <c r="AH287" s="98">
        <f t="shared" si="193"/>
        <v>7.2318220418154304E-4</v>
      </c>
      <c r="AI287" s="98">
        <f t="shared" si="194"/>
        <v>1.5707963267948966</v>
      </c>
      <c r="AJ287" s="98" t="str">
        <f t="shared" si="180"/>
        <v>1+0.220392150228616i</v>
      </c>
      <c r="AK287" s="98">
        <f t="shared" si="195"/>
        <v>1.0239983886131818</v>
      </c>
      <c r="AL287" s="98">
        <f t="shared" si="196"/>
        <v>0.21692432056447603</v>
      </c>
      <c r="AM287" s="98" t="str">
        <f t="shared" si="181"/>
        <v>1+3.45281035358167i</v>
      </c>
      <c r="AN287" s="98">
        <f t="shared" si="197"/>
        <v>3.5947043463685264</v>
      </c>
      <c r="AO287" s="98">
        <f t="shared" si="198"/>
        <v>1.288890245747182</v>
      </c>
      <c r="AP287" s="168" t="str">
        <f t="shared" si="199"/>
        <v>-0.34797270407978+0.189570239322315i</v>
      </c>
      <c r="AQ287" s="98">
        <f t="shared" si="200"/>
        <v>-8.0403983156740804</v>
      </c>
      <c r="AR287" s="169">
        <f t="shared" si="201"/>
        <v>151.41912329480567</v>
      </c>
      <c r="AS287" s="168" t="str">
        <f t="shared" si="202"/>
        <v>0.425464942144859+0.612080176565574i</v>
      </c>
      <c r="AT287" s="190">
        <f t="shared" si="203"/>
        <v>-2.5518886492680313</v>
      </c>
      <c r="AU287" s="169">
        <f t="shared" si="204"/>
        <v>55.196330602618431</v>
      </c>
      <c r="AV287" s="225"/>
      <c r="AX287">
        <f t="shared" si="205"/>
        <v>0</v>
      </c>
      <c r="AY287">
        <f t="shared" si="206"/>
        <v>0</v>
      </c>
    </row>
    <row r="288" spans="14:51" x14ac:dyDescent="0.25">
      <c r="N288" s="170">
        <v>70</v>
      </c>
      <c r="O288" s="199">
        <f t="shared" si="207"/>
        <v>5011.8723362727324</v>
      </c>
      <c r="P288" s="189" t="str">
        <f t="shared" si="173"/>
        <v>18.0065359477124</v>
      </c>
      <c r="Q288" s="160" t="str">
        <f t="shared" si="174"/>
        <v>1+9.87937964697371i</v>
      </c>
      <c r="R288" s="160">
        <f t="shared" si="182"/>
        <v>9.9298611374499277</v>
      </c>
      <c r="S288" s="160">
        <f t="shared" si="183"/>
        <v>1.4699189789884604</v>
      </c>
      <c r="T288" s="160" t="str">
        <f t="shared" si="175"/>
        <v>1+0.0125962090498915i</v>
      </c>
      <c r="U288" s="160">
        <f t="shared" si="184"/>
        <v>1.0000793290946617</v>
      </c>
      <c r="V288" s="160">
        <f t="shared" si="185"/>
        <v>1.2595542922974937E-2</v>
      </c>
      <c r="W288" s="98" t="str">
        <f t="shared" si="176"/>
        <v>1-0.177951983807331i</v>
      </c>
      <c r="X288" s="160">
        <f t="shared" si="186"/>
        <v>1.0157100514127861</v>
      </c>
      <c r="Y288" s="160">
        <f t="shared" si="187"/>
        <v>-0.17610848931865272</v>
      </c>
      <c r="Z288" s="98" t="str">
        <f t="shared" si="177"/>
        <v>0.999696104477095+0.053190744451916i</v>
      </c>
      <c r="AA288" s="160">
        <f t="shared" si="188"/>
        <v>1.0011101620711018</v>
      </c>
      <c r="AB288" s="160">
        <f t="shared" si="189"/>
        <v>5.3156789747699253E-2</v>
      </c>
      <c r="AC288" s="171" t="str">
        <f t="shared" si="190"/>
        <v>-0.212578046392236-1.82764278090913i</v>
      </c>
      <c r="AD288" s="190">
        <f t="shared" si="191"/>
        <v>5.2961865673946811</v>
      </c>
      <c r="AE288" s="169">
        <f t="shared" si="192"/>
        <v>-96.634415151446561</v>
      </c>
      <c r="AF288" s="98" t="str">
        <f t="shared" si="178"/>
        <v>-0.0000816326530612245</v>
      </c>
      <c r="AG288" s="98" t="str">
        <f t="shared" si="179"/>
        <v>0.000740027281681124i</v>
      </c>
      <c r="AH288" s="98">
        <f t="shared" si="193"/>
        <v>7.4002728168112404E-4</v>
      </c>
      <c r="AI288" s="98">
        <f t="shared" si="194"/>
        <v>1.5707963267948966</v>
      </c>
      <c r="AJ288" s="98" t="str">
        <f t="shared" si="180"/>
        <v>1+0.225525742882631i</v>
      </c>
      <c r="AK288" s="98">
        <f t="shared" si="195"/>
        <v>1.0251155352948089</v>
      </c>
      <c r="AL288" s="98">
        <f t="shared" si="196"/>
        <v>0.22181479561455553</v>
      </c>
      <c r="AM288" s="98" t="str">
        <f t="shared" si="181"/>
        <v>1+3.53323663849456i</v>
      </c>
      <c r="AN288" s="98">
        <f t="shared" si="197"/>
        <v>3.6720241207813893</v>
      </c>
      <c r="AO288" s="98">
        <f t="shared" si="198"/>
        <v>1.294983257181332</v>
      </c>
      <c r="AP288" s="168" t="str">
        <f t="shared" si="199"/>
        <v>-0.347214692479469+0.188616180663897i</v>
      </c>
      <c r="AQ288" s="98">
        <f t="shared" si="200"/>
        <v>-8.0650221832076401</v>
      </c>
      <c r="AR288" s="169">
        <f t="shared" si="201"/>
        <v>151.48802355432383</v>
      </c>
      <c r="AS288" s="168" t="str">
        <f t="shared" si="202"/>
        <v>0.41853322195899+0.594488766932189i</v>
      </c>
      <c r="AT288" s="190">
        <f t="shared" si="203"/>
        <v>-2.7688356158129599</v>
      </c>
      <c r="AU288" s="169">
        <f t="shared" si="204"/>
        <v>54.853608402877292</v>
      </c>
      <c r="AV288" s="225"/>
      <c r="AX288">
        <f t="shared" si="205"/>
        <v>0</v>
      </c>
      <c r="AY288">
        <f t="shared" si="206"/>
        <v>0</v>
      </c>
    </row>
    <row r="289" spans="14:51" x14ac:dyDescent="0.25">
      <c r="N289" s="170">
        <v>71</v>
      </c>
      <c r="O289" s="199">
        <f t="shared" si="207"/>
        <v>5128.6138399136489</v>
      </c>
      <c r="P289" s="189" t="str">
        <f t="shared" si="173"/>
        <v>18.0065359477124</v>
      </c>
      <c r="Q289" s="160" t="str">
        <f t="shared" si="174"/>
        <v>1+10.1094999608293i</v>
      </c>
      <c r="R289" s="160">
        <f t="shared" si="182"/>
        <v>10.158837997429018</v>
      </c>
      <c r="S289" s="160">
        <f t="shared" si="183"/>
        <v>1.4722002039992412</v>
      </c>
      <c r="T289" s="160" t="str">
        <f t="shared" si="175"/>
        <v>1+0.0128896124500573i</v>
      </c>
      <c r="U289" s="160">
        <f t="shared" si="184"/>
        <v>1.0000830676044428</v>
      </c>
      <c r="V289" s="160">
        <f t="shared" si="185"/>
        <v>1.2888898685408403E-2</v>
      </c>
      <c r="W289" s="98" t="str">
        <f t="shared" si="176"/>
        <v>1-0.182097017992499i</v>
      </c>
      <c r="X289" s="160">
        <f t="shared" si="186"/>
        <v>1.0164444519804121</v>
      </c>
      <c r="Y289" s="160">
        <f t="shared" si="187"/>
        <v>-0.18012339995726767</v>
      </c>
      <c r="Z289" s="98" t="str">
        <f t="shared" si="177"/>
        <v>0.999681782322342+0.0544297160518419i</v>
      </c>
      <c r="AA289" s="160">
        <f t="shared" si="188"/>
        <v>1.0011624542983313</v>
      </c>
      <c r="AB289" s="160">
        <f t="shared" si="189"/>
        <v>5.4393335162486386E-2</v>
      </c>
      <c r="AC289" s="171" t="str">
        <f t="shared" si="190"/>
        <v>-0.22086260429996-1.78610121800773i</v>
      </c>
      <c r="AD289" s="190">
        <f t="shared" si="191"/>
        <v>5.1040261480555005</v>
      </c>
      <c r="AE289" s="169">
        <f t="shared" si="192"/>
        <v>-97.049197937759061</v>
      </c>
      <c r="AF289" s="98" t="str">
        <f t="shared" si="178"/>
        <v>-0.0000816326530612245</v>
      </c>
      <c r="AG289" s="98" t="str">
        <f t="shared" si="179"/>
        <v>0.000757264731440868i</v>
      </c>
      <c r="AH289" s="98">
        <f t="shared" si="193"/>
        <v>7.5726473144086795E-4</v>
      </c>
      <c r="AI289" s="98">
        <f t="shared" si="194"/>
        <v>1.5707963267948966</v>
      </c>
      <c r="AJ289" s="98" t="str">
        <f t="shared" si="180"/>
        <v>1+0.230778912270706i</v>
      </c>
      <c r="AK289" s="98">
        <f t="shared" si="195"/>
        <v>1.0262840281076435</v>
      </c>
      <c r="AL289" s="98">
        <f t="shared" si="196"/>
        <v>0.22680804002174304</v>
      </c>
      <c r="AM289" s="98" t="str">
        <f t="shared" si="181"/>
        <v>1+3.61553629224108i</v>
      </c>
      <c r="AN289" s="98">
        <f t="shared" si="197"/>
        <v>3.7512801389009027</v>
      </c>
      <c r="AO289" s="98">
        <f t="shared" si="198"/>
        <v>1.3009579498260679</v>
      </c>
      <c r="AP289" s="168" t="str">
        <f t="shared" si="199"/>
        <v>-0.346424488416774+0.187746826173527i</v>
      </c>
      <c r="AQ289" s="98">
        <f t="shared" si="200"/>
        <v>-8.0894378346981526</v>
      </c>
      <c r="AR289" s="169">
        <f t="shared" si="201"/>
        <v>151.54425639614584</v>
      </c>
      <c r="AS289" s="168" t="str">
        <f t="shared" si="202"/>
        <v>0.411847049610632+0.577282947731168i</v>
      </c>
      <c r="AT289" s="190">
        <f t="shared" si="203"/>
        <v>-2.9854116866426517</v>
      </c>
      <c r="AU289" s="169">
        <f t="shared" si="204"/>
        <v>54.495058458386815</v>
      </c>
      <c r="AV289" s="225"/>
      <c r="AX289">
        <f t="shared" si="205"/>
        <v>0</v>
      </c>
      <c r="AY289">
        <f t="shared" si="206"/>
        <v>0</v>
      </c>
    </row>
    <row r="290" spans="14:51" x14ac:dyDescent="0.25">
      <c r="N290" s="170">
        <v>72</v>
      </c>
      <c r="O290" s="199">
        <f t="shared" si="207"/>
        <v>5248.0746024977261</v>
      </c>
      <c r="P290" s="189" t="str">
        <f t="shared" si="173"/>
        <v>18.0065359477124</v>
      </c>
      <c r="Q290" s="160" t="str">
        <f t="shared" si="174"/>
        <v>1+10.3449804653792i</v>
      </c>
      <c r="R290" s="160">
        <f t="shared" si="182"/>
        <v>10.393200701856827</v>
      </c>
      <c r="S290" s="160">
        <f t="shared" si="183"/>
        <v>1.4744304972443734</v>
      </c>
      <c r="T290" s="160" t="str">
        <f t="shared" si="175"/>
        <v>1+0.0131898500933584i</v>
      </c>
      <c r="U290" s="160">
        <f t="shared" si="184"/>
        <v>1.0000869822897833</v>
      </c>
      <c r="V290" s="160">
        <f t="shared" si="185"/>
        <v>1.3189085284350302E-2</v>
      </c>
      <c r="W290" s="98" t="str">
        <f t="shared" si="176"/>
        <v>1-0.186338602426947i</v>
      </c>
      <c r="X290" s="160">
        <f t="shared" si="186"/>
        <v>1.0172128954916113</v>
      </c>
      <c r="Y290" s="160">
        <f t="shared" si="187"/>
        <v>-0.18422576051385589</v>
      </c>
      <c r="Z290" s="98" t="str">
        <f t="shared" si="177"/>
        <v>0.999666785185229+0.0556975470076812i</v>
      </c>
      <c r="AA290" s="160">
        <f t="shared" si="188"/>
        <v>1.0012172082746298</v>
      </c>
      <c r="AB290" s="160">
        <f t="shared" si="189"/>
        <v>5.5658566686046886E-2</v>
      </c>
      <c r="AC290" s="171" t="str">
        <f t="shared" si="190"/>
        <v>-0.228778103102021-1.74543341217302i</v>
      </c>
      <c r="AD290" s="190">
        <f t="shared" si="191"/>
        <v>4.9120436903456168</v>
      </c>
      <c r="AE290" s="169">
        <f t="shared" si="192"/>
        <v>-97.467325274936314</v>
      </c>
      <c r="AF290" s="98" t="str">
        <f t="shared" si="178"/>
        <v>-0.0000816326530612245</v>
      </c>
      <c r="AG290" s="98" t="str">
        <f t="shared" si="179"/>
        <v>0.000774903692984807i</v>
      </c>
      <c r="AH290" s="98">
        <f t="shared" si="193"/>
        <v>7.7490369298480698E-4</v>
      </c>
      <c r="AI290" s="98">
        <f t="shared" si="194"/>
        <v>1.5707963267948966</v>
      </c>
      <c r="AJ290" s="98" t="str">
        <f t="shared" si="180"/>
        <v>1+0.236154443692789i</v>
      </c>
      <c r="AK290" s="98">
        <f t="shared" si="195"/>
        <v>1.0275061660524722</v>
      </c>
      <c r="AL290" s="98">
        <f t="shared" si="196"/>
        <v>0.23190570487028317</v>
      </c>
      <c r="AM290" s="98" t="str">
        <f t="shared" si="181"/>
        <v>1+3.69975295118704i</v>
      </c>
      <c r="AN290" s="98">
        <f t="shared" si="197"/>
        <v>3.8325150880090755</v>
      </c>
      <c r="AO290" s="98">
        <f t="shared" si="198"/>
        <v>1.306815784640504</v>
      </c>
      <c r="AP290" s="168" t="str">
        <f t="shared" si="199"/>
        <v>-0.34560088902918+0.186960732238583i</v>
      </c>
      <c r="AQ290" s="98">
        <f t="shared" si="200"/>
        <v>-8.1136876560717468</v>
      </c>
      <c r="AR290" s="169">
        <f t="shared" si="201"/>
        <v>151.58781092690427</v>
      </c>
      <c r="AS290" s="168" t="str">
        <f t="shared" si="202"/>
        <v>0.405393424636024+0.560450817312123i</v>
      </c>
      <c r="AT290" s="190">
        <f t="shared" si="203"/>
        <v>-3.2016439657261326</v>
      </c>
      <c r="AU290" s="169">
        <f t="shared" si="204"/>
        <v>54.120485651967975</v>
      </c>
      <c r="AV290" s="225"/>
      <c r="AX290">
        <f t="shared" si="205"/>
        <v>0</v>
      </c>
      <c r="AY290">
        <f t="shared" si="206"/>
        <v>0</v>
      </c>
    </row>
    <row r="291" spans="14:51" x14ac:dyDescent="0.25">
      <c r="N291" s="170">
        <v>73</v>
      </c>
      <c r="O291" s="199">
        <f t="shared" si="207"/>
        <v>5370.3179637025269</v>
      </c>
      <c r="P291" s="189" t="str">
        <f t="shared" si="173"/>
        <v>18.0065359477124</v>
      </c>
      <c r="Q291" s="160" t="str">
        <f t="shared" si="174"/>
        <v>1+10.5859460155038i</v>
      </c>
      <c r="R291" s="160">
        <f t="shared" si="182"/>
        <v>10.633073546400437</v>
      </c>
      <c r="S291" s="160">
        <f t="shared" si="183"/>
        <v>1.4766109524545383</v>
      </c>
      <c r="T291" s="160" t="str">
        <f t="shared" si="175"/>
        <v>1+0.0134970811697673i</v>
      </c>
      <c r="U291" s="160">
        <f t="shared" si="184"/>
        <v>1.0000910814521362</v>
      </c>
      <c r="V291" s="160">
        <f t="shared" si="185"/>
        <v>1.349626166618121E-2</v>
      </c>
      <c r="W291" s="98" t="str">
        <f t="shared" si="176"/>
        <v>1-0.190678986054884i</v>
      </c>
      <c r="X291" s="160">
        <f t="shared" si="186"/>
        <v>1.0180169329254394</v>
      </c>
      <c r="Y291" s="160">
        <f t="shared" si="187"/>
        <v>-0.18841719352259795</v>
      </c>
      <c r="Z291" s="98" t="str">
        <f t="shared" si="177"/>
        <v>0.99965108125482+0.0569949095401879i</v>
      </c>
      <c r="AA291" s="160">
        <f t="shared" si="188"/>
        <v>1.0012745397579152</v>
      </c>
      <c r="AB291" s="160">
        <f t="shared" si="189"/>
        <v>5.6953144181735138E-2</v>
      </c>
      <c r="AC291" s="171" t="str">
        <f t="shared" si="190"/>
        <v>-0.236340383296132-1.70562262275413i</v>
      </c>
      <c r="AD291" s="190">
        <f t="shared" si="191"/>
        <v>4.7202547518590574</v>
      </c>
      <c r="AE291" s="169">
        <f t="shared" si="192"/>
        <v>-97.888981493919331</v>
      </c>
      <c r="AF291" s="98" t="str">
        <f t="shared" si="178"/>
        <v>-0.0000816326530612245</v>
      </c>
      <c r="AG291" s="98" t="str">
        <f t="shared" si="179"/>
        <v>0.00079295351872383i</v>
      </c>
      <c r="AH291" s="98">
        <f t="shared" si="193"/>
        <v>7.9295351872383005E-4</v>
      </c>
      <c r="AI291" s="98">
        <f t="shared" si="194"/>
        <v>1.5707963267948966</v>
      </c>
      <c r="AJ291" s="98" t="str">
        <f t="shared" si="180"/>
        <v>1+0.241655187326791i</v>
      </c>
      <c r="AK291" s="98">
        <f t="shared" si="195"/>
        <v>1.0287843455078165</v>
      </c>
      <c r="AL291" s="98">
        <f t="shared" si="196"/>
        <v>0.23710943278755389</v>
      </c>
      <c r="AM291" s="98" t="str">
        <f t="shared" si="181"/>
        <v>1+3.78593126811973i</v>
      </c>
      <c r="AN291" s="98">
        <f t="shared" si="197"/>
        <v>3.9157726653786571</v>
      </c>
      <c r="AO291" s="98">
        <f t="shared" si="198"/>
        <v>1.3125582588217963</v>
      </c>
      <c r="AP291" s="168" t="str">
        <f t="shared" si="199"/>
        <v>-0.344742661461167+0.186256441585687i</v>
      </c>
      <c r="AQ291" s="98">
        <f t="shared" si="200"/>
        <v>-8.1378139223280943</v>
      </c>
      <c r="AR291" s="169">
        <f t="shared" si="201"/>
        <v>151.61867881406124</v>
      </c>
      <c r="AS291" s="168" t="str">
        <f t="shared" si="202"/>
        <v>0.399159813150492+0.5439809636209i</v>
      </c>
      <c r="AT291" s="190">
        <f t="shared" si="203"/>
        <v>-3.4175591704690338</v>
      </c>
      <c r="AU291" s="169">
        <f t="shared" si="204"/>
        <v>53.729697320141874</v>
      </c>
      <c r="AV291" s="225"/>
      <c r="AX291">
        <f t="shared" si="205"/>
        <v>0</v>
      </c>
      <c r="AY291">
        <f t="shared" si="206"/>
        <v>0</v>
      </c>
    </row>
    <row r="292" spans="14:51" x14ac:dyDescent="0.25">
      <c r="N292" s="170">
        <v>74</v>
      </c>
      <c r="O292" s="199">
        <f t="shared" si="207"/>
        <v>5495.4087385762541</v>
      </c>
      <c r="P292" s="189" t="str">
        <f t="shared" si="173"/>
        <v>18.0065359477124</v>
      </c>
      <c r="Q292" s="160" t="str">
        <f t="shared" si="174"/>
        <v>1+10.8325243743274i</v>
      </c>
      <c r="R292" s="160">
        <f t="shared" si="182"/>
        <v>10.878583746076382</v>
      </c>
      <c r="S292" s="160">
        <f t="shared" si="183"/>
        <v>1.4787426427564911</v>
      </c>
      <c r="T292" s="160" t="str">
        <f t="shared" si="175"/>
        <v>1+0.0138114685772674i</v>
      </c>
      <c r="U292" s="160">
        <f t="shared" si="184"/>
        <v>1.0000953737840512</v>
      </c>
      <c r="V292" s="160">
        <f t="shared" si="185"/>
        <v>1.3810590467876891E-2</v>
      </c>
      <c r="W292" s="98" t="str">
        <f t="shared" si="176"/>
        <v>1-0.195120470205163i</v>
      </c>
      <c r="X292" s="160">
        <f t="shared" si="186"/>
        <v>1.0188581834058574</v>
      </c>
      <c r="Y292" s="160">
        <f t="shared" si="187"/>
        <v>-0.19269933196564398</v>
      </c>
      <c r="Z292" s="98" t="str">
        <f t="shared" si="177"/>
        <v>0.999634637220972+0.0583224915281499i</v>
      </c>
      <c r="AA292" s="160">
        <f t="shared" si="188"/>
        <v>1.0013345699365199</v>
      </c>
      <c r="AB292" s="160">
        <f t="shared" si="189"/>
        <v>5.8277742291176313E-2</v>
      </c>
      <c r="AC292" s="171" t="str">
        <f t="shared" si="190"/>
        <v>-0.243564618409328-1.66665225285545i</v>
      </c>
      <c r="AD292" s="190">
        <f t="shared" si="191"/>
        <v>4.5286751877729134</v>
      </c>
      <c r="AE292" s="169">
        <f t="shared" si="192"/>
        <v>-98.314350979032909</v>
      </c>
      <c r="AF292" s="98" t="str">
        <f t="shared" si="178"/>
        <v>-0.0000816326530612245</v>
      </c>
      <c r="AG292" s="98" t="str">
        <f t="shared" si="179"/>
        <v>0.000811423778914463i</v>
      </c>
      <c r="AH292" s="98">
        <f t="shared" si="193"/>
        <v>8.1142377891446301E-4</v>
      </c>
      <c r="AI292" s="98">
        <f t="shared" si="194"/>
        <v>1.5707963267948966</v>
      </c>
      <c r="AJ292" s="98" t="str">
        <f t="shared" si="180"/>
        <v>1+0.247284059739798i</v>
      </c>
      <c r="AK292" s="98">
        <f t="shared" si="195"/>
        <v>1.0301210638567664</v>
      </c>
      <c r="AL292" s="98">
        <f t="shared" si="196"/>
        <v>0.24242085507909297</v>
      </c>
      <c r="AM292" s="98" t="str">
        <f t="shared" si="181"/>
        <v>1+3.87411693592352i</v>
      </c>
      <c r="AN292" s="98">
        <f t="shared" si="197"/>
        <v>4.001097603559483</v>
      </c>
      <c r="AO292" s="98">
        <f t="shared" si="198"/>
        <v>1.3181869015743402</v>
      </c>
      <c r="AP292" s="168" t="str">
        <f t="shared" si="199"/>
        <v>-0.343848543541532+0.185632479708349i</v>
      </c>
      <c r="AQ292" s="98">
        <f t="shared" si="200"/>
        <v>-8.1618588249663677</v>
      </c>
      <c r="AR292" s="169">
        <f t="shared" si="201"/>
        <v>151.63685420765188</v>
      </c>
      <c r="AS292" s="168" t="str">
        <f t="shared" si="202"/>
        <v>0.39313412980736+0.527862445650018i</v>
      </c>
      <c r="AT292" s="190">
        <f t="shared" si="203"/>
        <v>-3.6331836371934561</v>
      </c>
      <c r="AU292" s="169">
        <f t="shared" si="204"/>
        <v>53.322503228618956</v>
      </c>
      <c r="AV292" s="225"/>
      <c r="AX292">
        <f t="shared" si="205"/>
        <v>0</v>
      </c>
      <c r="AY292">
        <f t="shared" si="206"/>
        <v>0</v>
      </c>
    </row>
    <row r="293" spans="14:51" x14ac:dyDescent="0.25">
      <c r="N293" s="170">
        <v>75</v>
      </c>
      <c r="O293" s="199">
        <f t="shared" si="207"/>
        <v>5623.4132519034993</v>
      </c>
      <c r="P293" s="189" t="str">
        <f t="shared" si="173"/>
        <v>18.0065359477124</v>
      </c>
      <c r="Q293" s="160" t="str">
        <f t="shared" si="174"/>
        <v>1+11.0848462809597i</v>
      </c>
      <c r="R293" s="160">
        <f t="shared" si="182"/>
        <v>11.129861502844774</v>
      </c>
      <c r="S293" s="160">
        <f t="shared" si="183"/>
        <v>1.480826620864917</v>
      </c>
      <c r="T293" s="160" t="str">
        <f t="shared" si="175"/>
        <v>1+0.0141331790082236i</v>
      </c>
      <c r="U293" s="160">
        <f t="shared" si="184"/>
        <v>1.0000998683875919</v>
      </c>
      <c r="V293" s="160">
        <f t="shared" si="185"/>
        <v>1.4132238102134048E-2</v>
      </c>
      <c r="W293" s="98" t="str">
        <f t="shared" si="176"/>
        <v>1-0.199665409811469i</v>
      </c>
      <c r="X293" s="160">
        <f t="shared" si="186"/>
        <v>1.0197383369645283</v>
      </c>
      <c r="Y293" s="160">
        <f t="shared" si="187"/>
        <v>-0.19707381782360125</v>
      </c>
      <c r="Z293" s="98" t="str">
        <f t="shared" si="177"/>
        <v>0.999617418203685+0.0596809968731094i</v>
      </c>
      <c r="AA293" s="160">
        <f t="shared" si="188"/>
        <v>1.0013974256827152</v>
      </c>
      <c r="AB293" s="160">
        <f t="shared" si="189"/>
        <v>5.9633050736556004E-2</v>
      </c>
      <c r="AC293" s="171" t="str">
        <f t="shared" si="190"/>
        <v>-0.25046534015362-1.6285058603555i</v>
      </c>
      <c r="AD293" s="190">
        <f t="shared" si="191"/>
        <v>4.3373211726343008</v>
      </c>
      <c r="AE293" s="169">
        <f t="shared" si="192"/>
        <v>-98.743618108369375</v>
      </c>
      <c r="AF293" s="98" t="str">
        <f t="shared" si="178"/>
        <v>-0.0000816326530612245</v>
      </c>
      <c r="AG293" s="98" t="str">
        <f t="shared" si="179"/>
        <v>0.000830324266733138i</v>
      </c>
      <c r="AH293" s="98">
        <f t="shared" si="193"/>
        <v>8.3032426673313798E-4</v>
      </c>
      <c r="AI293" s="98">
        <f t="shared" si="194"/>
        <v>1.5707963267948966</v>
      </c>
      <c r="AJ293" s="98" t="str">
        <f t="shared" si="180"/>
        <v>1+0.253044045434471i</v>
      </c>
      <c r="AK293" s="98">
        <f t="shared" si="195"/>
        <v>1.0315189232049224</v>
      </c>
      <c r="AL293" s="98">
        <f t="shared" si="196"/>
        <v>0.24784158867879139</v>
      </c>
      <c r="AM293" s="98" t="str">
        <f t="shared" si="181"/>
        <v>1+3.96435671180672i</v>
      </c>
      <c r="AN293" s="98">
        <f t="shared" si="197"/>
        <v>4.0885356961199433</v>
      </c>
      <c r="AO293" s="98">
        <f t="shared" si="198"/>
        <v>1.3237032700894666</v>
      </c>
      <c r="AP293" s="168" t="str">
        <f t="shared" si="199"/>
        <v>-0.342917244632238+0.185087351218733i</v>
      </c>
      <c r="AQ293" s="98">
        <f t="shared" si="200"/>
        <v>-8.1858645001012427</v>
      </c>
      <c r="AR293" s="169">
        <f t="shared" si="201"/>
        <v>151.64233368468004</v>
      </c>
      <c r="AS293" s="168" t="str">
        <f t="shared" si="202"/>
        <v>0.387304720458739+0.512084776119428i</v>
      </c>
      <c r="AT293" s="190">
        <f t="shared" si="203"/>
        <v>-3.8485433274669374</v>
      </c>
      <c r="AU293" s="169">
        <f t="shared" si="204"/>
        <v>52.898715576310671</v>
      </c>
      <c r="AV293" s="225"/>
      <c r="AX293">
        <f t="shared" si="205"/>
        <v>0</v>
      </c>
      <c r="AY293">
        <f t="shared" si="206"/>
        <v>0</v>
      </c>
    </row>
    <row r="294" spans="14:51" x14ac:dyDescent="0.25">
      <c r="N294" s="170">
        <v>76</v>
      </c>
      <c r="O294" s="199">
        <f t="shared" si="207"/>
        <v>5754.399373371567</v>
      </c>
      <c r="P294" s="189" t="str">
        <f t="shared" si="173"/>
        <v>18.0065359477124</v>
      </c>
      <c r="Q294" s="160" t="str">
        <f t="shared" si="174"/>
        <v>1+11.3430455198154i</v>
      </c>
      <c r="R294" s="160">
        <f t="shared" si="182"/>
        <v>11.387040074778177</v>
      </c>
      <c r="S294" s="160">
        <f t="shared" si="183"/>
        <v>1.482863919287422</v>
      </c>
      <c r="T294" s="160" t="str">
        <f t="shared" si="175"/>
        <v>1+0.0144623830377646i</v>
      </c>
      <c r="U294" s="160">
        <f t="shared" si="184"/>
        <v>1.0001045747936217</v>
      </c>
      <c r="V294" s="160">
        <f t="shared" si="185"/>
        <v>1.4461374844418824E-2</v>
      </c>
      <c r="W294" s="98" t="str">
        <f t="shared" si="176"/>
        <v>1-0.20431621466094i</v>
      </c>
      <c r="X294" s="160">
        <f t="shared" si="186"/>
        <v>1.0206591573945609</v>
      </c>
      <c r="Y294" s="160">
        <f t="shared" si="187"/>
        <v>-0.20154230050044877</v>
      </c>
      <c r="Z294" s="98" t="str">
        <f t="shared" si="177"/>
        <v>0.999599387679114+0.0610711458725823i</v>
      </c>
      <c r="AA294" s="160">
        <f t="shared" si="188"/>
        <v>1.0014632398179428</v>
      </c>
      <c r="AB294" s="160">
        <f t="shared" si="189"/>
        <v>6.1019774627003864E-2</v>
      </c>
      <c r="AC294" s="171" t="str">
        <f t="shared" si="190"/>
        <v>-0.257056462816794-1.59116716780135i</v>
      </c>
      <c r="AD294" s="190">
        <f t="shared" si="191"/>
        <v>4.1462092219551367</v>
      </c>
      <c r="AE294" s="169">
        <f t="shared" si="192"/>
        <v>-99.176967187855283</v>
      </c>
      <c r="AF294" s="98" t="str">
        <f t="shared" si="178"/>
        <v>-0.0000816326530612245</v>
      </c>
      <c r="AG294" s="98" t="str">
        <f t="shared" si="179"/>
        <v>0.000849665003468674i</v>
      </c>
      <c r="AH294" s="98">
        <f t="shared" si="193"/>
        <v>8.4966500346867401E-4</v>
      </c>
      <c r="AI294" s="98">
        <f t="shared" si="194"/>
        <v>1.5707963267948966</v>
      </c>
      <c r="AJ294" s="98" t="str">
        <f t="shared" si="180"/>
        <v>1+0.258938198431466i</v>
      </c>
      <c r="AK294" s="98">
        <f t="shared" si="195"/>
        <v>1.0329806341877534</v>
      </c>
      <c r="AL294" s="98">
        <f t="shared" si="196"/>
        <v>0.25337323290865638</v>
      </c>
      <c r="AM294" s="98" t="str">
        <f t="shared" si="181"/>
        <v>1+4.05669844209298i</v>
      </c>
      <c r="AN294" s="98">
        <f t="shared" si="197"/>
        <v>4.1781338238595955</v>
      </c>
      <c r="AO294" s="98">
        <f t="shared" si="198"/>
        <v>1.3291089457328118</v>
      </c>
      <c r="AP294" s="168" t="str">
        <f t="shared" si="199"/>
        <v>-0.341947446662942+0.184619536128764i</v>
      </c>
      <c r="AQ294" s="98">
        <f t="shared" si="200"/>
        <v>-8.2098730570317731</v>
      </c>
      <c r="AR294" s="169">
        <f t="shared" si="201"/>
        <v>151.63511621632119</v>
      </c>
      <c r="AS294" s="168" t="str">
        <f t="shared" si="202"/>
        <v>0.381660345531215+0.496637905319439i</v>
      </c>
      <c r="AT294" s="190">
        <f t="shared" si="203"/>
        <v>-4.0636638350766372</v>
      </c>
      <c r="AU294" s="169">
        <f t="shared" si="204"/>
        <v>52.458149028465861</v>
      </c>
      <c r="AV294" s="225"/>
      <c r="AX294">
        <f t="shared" si="205"/>
        <v>0</v>
      </c>
      <c r="AY294">
        <f t="shared" si="206"/>
        <v>0</v>
      </c>
    </row>
    <row r="295" spans="14:51" x14ac:dyDescent="0.25">
      <c r="N295" s="170">
        <v>77</v>
      </c>
      <c r="O295" s="199">
        <f t="shared" si="207"/>
        <v>5888.4365535558973</v>
      </c>
      <c r="P295" s="189" t="str">
        <f t="shared" si="173"/>
        <v>18.0065359477124</v>
      </c>
      <c r="Q295" s="160" t="str">
        <f t="shared" si="174"/>
        <v>1+11.6072589915487i</v>
      </c>
      <c r="R295" s="160">
        <f t="shared" si="182"/>
        <v>11.650255846842512</v>
      </c>
      <c r="S295" s="160">
        <f t="shared" si="183"/>
        <v>1.4848555505412988</v>
      </c>
      <c r="T295" s="160" t="str">
        <f t="shared" si="175"/>
        <v>1+0.0147992552142246i</v>
      </c>
      <c r="U295" s="160">
        <f t="shared" si="184"/>
        <v>1.0001095029819964</v>
      </c>
      <c r="V295" s="160">
        <f t="shared" si="185"/>
        <v>1.4798174921979421E-2</v>
      </c>
      <c r="W295" s="98" t="str">
        <f t="shared" si="176"/>
        <v>1-0.209075350671871i</v>
      </c>
      <c r="X295" s="160">
        <f t="shared" si="186"/>
        <v>1.0216224851962519</v>
      </c>
      <c r="Y295" s="160">
        <f t="shared" si="187"/>
        <v>-0.20610643511648857</v>
      </c>
      <c r="Z295" s="98" t="str">
        <f t="shared" si="177"/>
        <v>0.999580507402099+0.0624936756019693i</v>
      </c>
      <c r="AA295" s="160">
        <f t="shared" si="188"/>
        <v>1.0015321513902995</v>
      </c>
      <c r="AB295" s="160">
        <f t="shared" si="189"/>
        <v>6.2438634768955101E-2</v>
      </c>
      <c r="AC295" s="171" t="str">
        <f t="shared" si="190"/>
        <v>-0.263351306890767-1.55462007125378i</v>
      </c>
      <c r="AD295" s="190">
        <f t="shared" si="191"/>
        <v>3.9553562135808167</v>
      </c>
      <c r="AE295" s="169">
        <f t="shared" si="192"/>
        <v>-99.614582378546601</v>
      </c>
      <c r="AF295" s="98" t="str">
        <f t="shared" si="178"/>
        <v>-0.0000816326530612245</v>
      </c>
      <c r="AG295" s="98" t="str">
        <f t="shared" si="179"/>
        <v>0.000869456243835698i</v>
      </c>
      <c r="AH295" s="98">
        <f t="shared" si="193"/>
        <v>8.6945624383569795E-4</v>
      </c>
      <c r="AI295" s="98">
        <f t="shared" si="194"/>
        <v>1.5707963267948966</v>
      </c>
      <c r="AJ295" s="98" t="str">
        <f t="shared" si="180"/>
        <v>1+0.264969643888723i</v>
      </c>
      <c r="AK295" s="98">
        <f t="shared" si="195"/>
        <v>1.0345090198652289</v>
      </c>
      <c r="AL295" s="98">
        <f t="shared" si="196"/>
        <v>0.2590173660429318</v>
      </c>
      <c r="AM295" s="98" t="str">
        <f t="shared" si="181"/>
        <v>1+4.15119108759001i</v>
      </c>
      <c r="AN295" s="98">
        <f t="shared" si="197"/>
        <v>4.2699399815087249</v>
      </c>
      <c r="AO295" s="98">
        <f t="shared" si="198"/>
        <v>1.3344055304357225</v>
      </c>
      <c r="AP295" s="168" t="str">
        <f t="shared" si="199"/>
        <v>-0.340937805365692+0.184227486066995i</v>
      </c>
      <c r="AQ295" s="98">
        <f t="shared" si="200"/>
        <v>-8.2339266070295931</v>
      </c>
      <c r="AR295" s="169">
        <f t="shared" si="201"/>
        <v>151.61520315802773</v>
      </c>
      <c r="AS295" s="168" t="str">
        <f t="shared" si="202"/>
        <v>0.376190164127902+0.481512206049776i</v>
      </c>
      <c r="AT295" s="190">
        <f t="shared" si="203"/>
        <v>-4.2785703934487689</v>
      </c>
      <c r="AU295" s="169">
        <f t="shared" si="204"/>
        <v>52.000620779481089</v>
      </c>
      <c r="AV295" s="225"/>
      <c r="AX295">
        <f t="shared" si="205"/>
        <v>0</v>
      </c>
      <c r="AY295">
        <f t="shared" si="206"/>
        <v>0</v>
      </c>
    </row>
    <row r="296" spans="14:51" x14ac:dyDescent="0.25">
      <c r="N296" s="170">
        <v>78</v>
      </c>
      <c r="O296" s="199">
        <f t="shared" si="207"/>
        <v>6025.595860743585</v>
      </c>
      <c r="P296" s="189" t="str">
        <f t="shared" si="173"/>
        <v>18.0065359477124</v>
      </c>
      <c r="Q296" s="160" t="str">
        <f t="shared" si="174"/>
        <v>1+11.8776267856396i</v>
      </c>
      <c r="R296" s="160">
        <f t="shared" si="182"/>
        <v>11.91964840332731</v>
      </c>
      <c r="S296" s="160">
        <f t="shared" si="183"/>
        <v>1.4868025073807891</v>
      </c>
      <c r="T296" s="160" t="str">
        <f t="shared" si="175"/>
        <v>1+0.0151439741516905i</v>
      </c>
      <c r="U296" s="160">
        <f t="shared" si="184"/>
        <v>1.0001146634027056</v>
      </c>
      <c r="V296" s="160">
        <f t="shared" si="185"/>
        <v>1.51428166048621E-2</v>
      </c>
      <c r="W296" s="98" t="str">
        <f t="shared" si="176"/>
        <v>1-0.213945341201167i</v>
      </c>
      <c r="X296" s="160">
        <f t="shared" si="186"/>
        <v>1.02263024061568</v>
      </c>
      <c r="Y296" s="160">
        <f t="shared" si="187"/>
        <v>-0.21076788066285332</v>
      </c>
      <c r="Z296" s="98" t="str">
        <f t="shared" si="177"/>
        <v>0.999560737325042+0.0639493403053619i</v>
      </c>
      <c r="AA296" s="160">
        <f t="shared" si="188"/>
        <v>1.0016043059648219</v>
      </c>
      <c r="AB296" s="160">
        <f t="shared" si="189"/>
        <v>6.3890367980364432E-2</v>
      </c>
      <c r="AC296" s="171" t="str">
        <f t="shared" si="190"/>
        <v>-0.269362621942284-1.51884864815403i</v>
      </c>
      <c r="AD296" s="190">
        <f t="shared" si="191"/>
        <v>3.7647794087922533</v>
      </c>
      <c r="AE296" s="169">
        <f t="shared" si="192"/>
        <v>-100.05664761669956</v>
      </c>
      <c r="AF296" s="98" t="str">
        <f t="shared" si="178"/>
        <v>-0.0000816326530612245</v>
      </c>
      <c r="AG296" s="98" t="str">
        <f t="shared" si="179"/>
        <v>0.000889708481411816i</v>
      </c>
      <c r="AH296" s="98">
        <f t="shared" si="193"/>
        <v>8.8970848141181602E-4</v>
      </c>
      <c r="AI296" s="98">
        <f t="shared" si="194"/>
        <v>1.5707963267948966</v>
      </c>
      <c r="AJ296" s="98" t="str">
        <f t="shared" si="180"/>
        <v>1+0.271141579758457i</v>
      </c>
      <c r="AK296" s="98">
        <f t="shared" si="195"/>
        <v>1.0361070197011077</v>
      </c>
      <c r="AL296" s="98">
        <f t="shared" si="196"/>
        <v>0.26477554167180489</v>
      </c>
      <c r="AM296" s="98" t="str">
        <f t="shared" si="181"/>
        <v>1+4.24788474954918i</v>
      </c>
      <c r="AN296" s="98">
        <f t="shared" si="197"/>
        <v>4.3640033049314368</v>
      </c>
      <c r="AO296" s="98">
        <f t="shared" si="198"/>
        <v>1.3395946432864394</v>
      </c>
      <c r="AP296" s="168" t="str">
        <f t="shared" si="199"/>
        <v>-0.33988695172473+0.183909620439145i</v>
      </c>
      <c r="AQ296" s="98">
        <f t="shared" si="200"/>
        <v>-8.2580672921106544</v>
      </c>
      <c r="AR296" s="169">
        <f t="shared" si="201"/>
        <v>151.58259826256136</v>
      </c>
      <c r="AS296" s="168" t="str">
        <f t="shared" si="202"/>
        <v>0.37088371886706+0.466698459590402i</v>
      </c>
      <c r="AT296" s="190">
        <f t="shared" si="203"/>
        <v>-4.4932878833183985</v>
      </c>
      <c r="AU296" s="169">
        <f t="shared" si="204"/>
        <v>51.525950645861798</v>
      </c>
      <c r="AV296" s="225"/>
      <c r="AX296">
        <f t="shared" si="205"/>
        <v>0</v>
      </c>
      <c r="AY296">
        <f t="shared" si="206"/>
        <v>0</v>
      </c>
    </row>
    <row r="297" spans="14:51" x14ac:dyDescent="0.25">
      <c r="N297" s="170">
        <v>79</v>
      </c>
      <c r="O297" s="199">
        <f t="shared" si="207"/>
        <v>6165.9500186148289</v>
      </c>
      <c r="P297" s="189" t="str">
        <f t="shared" si="173"/>
        <v>18.0065359477124</v>
      </c>
      <c r="Q297" s="160" t="str">
        <f t="shared" si="174"/>
        <v>1+12.1542922546712i</v>
      </c>
      <c r="R297" s="160">
        <f t="shared" si="182"/>
        <v>12.195360601965007</v>
      </c>
      <c r="S297" s="160">
        <f t="shared" si="183"/>
        <v>1.4887057630336658</v>
      </c>
      <c r="T297" s="160" t="str">
        <f t="shared" si="175"/>
        <v>1+0.0154967226247058i</v>
      </c>
      <c r="U297" s="160">
        <f t="shared" si="184"/>
        <v>1.0001200669980115</v>
      </c>
      <c r="V297" s="160">
        <f t="shared" si="185"/>
        <v>1.549548229897452E-2</v>
      </c>
      <c r="W297" s="98" t="str">
        <f t="shared" si="176"/>
        <v>1-0.218928768382269i</v>
      </c>
      <c r="X297" s="160">
        <f t="shared" si="186"/>
        <v>1.0236844267768155</v>
      </c>
      <c r="Y297" s="160">
        <f t="shared" si="187"/>
        <v>-0.2155282980110732</v>
      </c>
      <c r="Z297" s="98" t="str">
        <f t="shared" si="177"/>
        <v>0.999540035512958+0.0654389117954541i</v>
      </c>
      <c r="AA297" s="160">
        <f t="shared" si="188"/>
        <v>1.0016798559271411</v>
      </c>
      <c r="AB297" s="160">
        <f t="shared" si="189"/>
        <v>6.5375727408631901E-2</v>
      </c>
      <c r="AC297" s="171" t="str">
        <f t="shared" si="190"/>
        <v>-0.275102608732873-1.48383716427929i</v>
      </c>
      <c r="AD297" s="190">
        <f t="shared" si="191"/>
        <v>3.5744964730960005</v>
      </c>
      <c r="AE297" s="169">
        <f t="shared" si="192"/>
        <v>-100.50334652616569</v>
      </c>
      <c r="AF297" s="98" t="str">
        <f t="shared" si="178"/>
        <v>-0.0000816326530612245</v>
      </c>
      <c r="AG297" s="98" t="str">
        <f t="shared" si="179"/>
        <v>0.000910432454201463i</v>
      </c>
      <c r="AH297" s="98">
        <f t="shared" si="193"/>
        <v>9.1043245420146298E-4</v>
      </c>
      <c r="AI297" s="98">
        <f t="shared" si="194"/>
        <v>1.5707963267948966</v>
      </c>
      <c r="AJ297" s="98" t="str">
        <f t="shared" si="180"/>
        <v>1+0.277457278482763i</v>
      </c>
      <c r="AK297" s="98">
        <f t="shared" si="195"/>
        <v>1.0377776936237653</v>
      </c>
      <c r="AL297" s="98">
        <f t="shared" si="196"/>
        <v>0.2706492848605489</v>
      </c>
      <c r="AM297" s="98" t="str">
        <f t="shared" si="181"/>
        <v>1+4.34683069622997i</v>
      </c>
      <c r="AN297" s="98">
        <f t="shared" si="197"/>
        <v>4.46037409884946</v>
      </c>
      <c r="AO297" s="98">
        <f t="shared" si="198"/>
        <v>1.3446779173162537</v>
      </c>
      <c r="AP297" s="168" t="str">
        <f t="shared" si="199"/>
        <v>-0.338793493656582+0.183664322541686i</v>
      </c>
      <c r="AQ297" s="98">
        <f t="shared" si="200"/>
        <v>-8.2823373135561837</v>
      </c>
      <c r="AR297" s="169">
        <f t="shared" si="201"/>
        <v>151.53730771591933</v>
      </c>
      <c r="AS297" s="168" t="str">
        <f t="shared" si="202"/>
        <v>0.365730921466182+0.452187842641283i</v>
      </c>
      <c r="AT297" s="190">
        <f t="shared" si="203"/>
        <v>-4.7078408404601797</v>
      </c>
      <c r="AU297" s="169">
        <f t="shared" si="204"/>
        <v>51.033961189753661</v>
      </c>
      <c r="AV297" s="225"/>
      <c r="AX297">
        <f t="shared" si="205"/>
        <v>0</v>
      </c>
      <c r="AY297">
        <f t="shared" si="206"/>
        <v>0</v>
      </c>
    </row>
    <row r="298" spans="14:51" x14ac:dyDescent="0.25">
      <c r="N298" s="170">
        <v>80</v>
      </c>
      <c r="O298" s="199">
        <f t="shared" si="207"/>
        <v>6309.5734448019384</v>
      </c>
      <c r="P298" s="189" t="str">
        <f t="shared" si="173"/>
        <v>18.0065359477124</v>
      </c>
      <c r="Q298" s="160" t="str">
        <f t="shared" si="174"/>
        <v>1+12.4374020903373i</v>
      </c>
      <c r="R298" s="160">
        <f t="shared" si="182"/>
        <v>12.477538649778916</v>
      </c>
      <c r="S298" s="160">
        <f t="shared" si="183"/>
        <v>1.4905662714460288</v>
      </c>
      <c r="T298" s="160" t="str">
        <f t="shared" si="175"/>
        <v>1+0.01585768766518i</v>
      </c>
      <c r="U298" s="160">
        <f t="shared" si="184"/>
        <v>1.000125725225627</v>
      </c>
      <c r="V298" s="160">
        <f t="shared" si="185"/>
        <v>1.5856358641237356E-2</v>
      </c>
      <c r="W298" s="98" t="str">
        <f t="shared" si="176"/>
        <v>1-0.224028274494232i</v>
      </c>
      <c r="X298" s="160">
        <f t="shared" si="186"/>
        <v>1.0247871329075433</v>
      </c>
      <c r="Y298" s="160">
        <f t="shared" si="187"/>
        <v>-0.22038934777111924</v>
      </c>
      <c r="Z298" s="98" t="str">
        <f t="shared" si="177"/>
        <v>0.999518358054529+0.0669631798627665i</v>
      </c>
      <c r="AA298" s="160">
        <f t="shared" si="188"/>
        <v>1.0017589608011277</v>
      </c>
      <c r="AB298" s="160">
        <f t="shared" si="189"/>
        <v>6.6895482852070712E-2</v>
      </c>
      <c r="AC298" s="171" t="str">
        <f t="shared" si="190"/>
        <v>-0.280582940596668-1.44957007985012i</v>
      </c>
      <c r="AD298" s="190">
        <f t="shared" si="191"/>
        <v>3.384525496649855</v>
      </c>
      <c r="AE298" s="169">
        <f t="shared" si="192"/>
        <v>-100.95486232265966</v>
      </c>
      <c r="AF298" s="98" t="str">
        <f t="shared" si="178"/>
        <v>-0.0000816326530612245</v>
      </c>
      <c r="AG298" s="98" t="str">
        <f t="shared" si="179"/>
        <v>0.000931639150329326i</v>
      </c>
      <c r="AH298" s="98">
        <f t="shared" si="193"/>
        <v>9.3163915032932598E-4</v>
      </c>
      <c r="AI298" s="98">
        <f t="shared" si="194"/>
        <v>1.5707963267948966</v>
      </c>
      <c r="AJ298" s="98" t="str">
        <f t="shared" si="180"/>
        <v>1+0.283920088728701i</v>
      </c>
      <c r="AK298" s="98">
        <f t="shared" si="195"/>
        <v>1.03952422616489</v>
      </c>
      <c r="AL298" s="98">
        <f t="shared" si="196"/>
        <v>0.27664008810055435</v>
      </c>
      <c r="AM298" s="98" t="str">
        <f t="shared" si="181"/>
        <v>1+4.44808139008299i</v>
      </c>
      <c r="AN298" s="98">
        <f t="shared" si="197"/>
        <v>4.5591038651036051</v>
      </c>
      <c r="AO298" s="98">
        <f t="shared" si="198"/>
        <v>1.3496569964753369</v>
      </c>
      <c r="AP298" s="168" t="str">
        <f t="shared" si="199"/>
        <v>-0.337656017935776+0.183489935639541i</v>
      </c>
      <c r="AQ298" s="98">
        <f t="shared" si="200"/>
        <v>-8.3067789599480406</v>
      </c>
      <c r="AR298" s="169">
        <f t="shared" si="201"/>
        <v>151.47934019605083</v>
      </c>
      <c r="AS298" s="168" t="str">
        <f t="shared" si="202"/>
        <v>0.360722039079284+0.437971915169401i</v>
      </c>
      <c r="AT298" s="190">
        <f t="shared" si="203"/>
        <v>-4.9222534632981851</v>
      </c>
      <c r="AU298" s="169">
        <f t="shared" si="204"/>
        <v>50.524477873391184</v>
      </c>
      <c r="AV298" s="225"/>
      <c r="AX298">
        <f t="shared" si="205"/>
        <v>0</v>
      </c>
      <c r="AY298">
        <f t="shared" si="206"/>
        <v>0</v>
      </c>
    </row>
    <row r="299" spans="14:51" x14ac:dyDescent="0.25">
      <c r="N299" s="170">
        <v>81</v>
      </c>
      <c r="O299" s="199">
        <f t="shared" si="207"/>
        <v>6456.5422903465615</v>
      </c>
      <c r="P299" s="189" t="str">
        <f t="shared" si="173"/>
        <v>18.0065359477124</v>
      </c>
      <c r="Q299" s="160" t="str">
        <f t="shared" si="174"/>
        <v>1+12.7271064012201i</v>
      </c>
      <c r="R299" s="160">
        <f t="shared" si="182"/>
        <v>12.766332180700049</v>
      </c>
      <c r="S299" s="160">
        <f t="shared" si="183"/>
        <v>1.4923849675342851</v>
      </c>
      <c r="T299" s="160" t="str">
        <f t="shared" si="175"/>
        <v>1+0.0162270606615557i</v>
      </c>
      <c r="U299" s="160">
        <f t="shared" si="184"/>
        <v>1.0001316500829847</v>
      </c>
      <c r="V299" s="160">
        <f t="shared" si="185"/>
        <v>1.622563659686807E-2</v>
      </c>
      <c r="W299" s="98" t="str">
        <f t="shared" si="176"/>
        <v>1-0.229246563362697i</v>
      </c>
      <c r="X299" s="160">
        <f t="shared" si="186"/>
        <v>1.0259405376597648</v>
      </c>
      <c r="Y299" s="160">
        <f t="shared" si="187"/>
        <v>-0.22535268799139713</v>
      </c>
      <c r="Z299" s="98" t="str">
        <f t="shared" si="177"/>
        <v>0.999495658968958+0.0685229526944048i</v>
      </c>
      <c r="AA299" s="160">
        <f t="shared" si="188"/>
        <v>1.0018417875811285</v>
      </c>
      <c r="AB299" s="160">
        <f t="shared" si="189"/>
        <v>6.8450421084739005E-2</v>
      </c>
      <c r="AC299" s="171" t="str">
        <f t="shared" si="190"/>
        <v>-0.285814784086359-1.4160320548498i</v>
      </c>
      <c r="AD299" s="190">
        <f t="shared" si="191"/>
        <v>3.1948850142670882</v>
      </c>
      <c r="AE299" s="169">
        <f t="shared" si="192"/>
        <v>-101.41137770945375</v>
      </c>
      <c r="AF299" s="98" t="str">
        <f t="shared" si="178"/>
        <v>-0.0000816326530612245</v>
      </c>
      <c r="AG299" s="98" t="str">
        <f t="shared" si="179"/>
        <v>0.000953339813866395i</v>
      </c>
      <c r="AH299" s="98">
        <f t="shared" si="193"/>
        <v>9.5333981386639495E-4</v>
      </c>
      <c r="AI299" s="98">
        <f t="shared" si="194"/>
        <v>1.5707963267948966</v>
      </c>
      <c r="AJ299" s="98" t="str">
        <f t="shared" si="180"/>
        <v>1+0.29053343716381i</v>
      </c>
      <c r="AK299" s="98">
        <f t="shared" si="195"/>
        <v>1.0413499306718264</v>
      </c>
      <c r="AL299" s="98">
        <f t="shared" si="196"/>
        <v>0.28274940704953472</v>
      </c>
      <c r="AM299" s="98" t="str">
        <f t="shared" si="181"/>
        <v>1+4.55169051556637i</v>
      </c>
      <c r="AN299" s="98">
        <f t="shared" si="197"/>
        <v>4.6602453314709571</v>
      </c>
      <c r="AO299" s="98">
        <f t="shared" si="198"/>
        <v>1.3545335327926067</v>
      </c>
      <c r="AP299" s="168" t="str">
        <f t="shared" si="199"/>
        <v>-0.336473092381629+0.18338475902073i</v>
      </c>
      <c r="AQ299" s="98">
        <f t="shared" si="200"/>
        <v>-8.3314346344821377</v>
      </c>
      <c r="AR299" s="169">
        <f t="shared" si="201"/>
        <v>151.40870695419662</v>
      </c>
      <c r="AS299" s="168" t="str">
        <f t="shared" si="202"/>
        <v>0.355847681394185+0.424042609102586i</v>
      </c>
      <c r="AT299" s="190">
        <f t="shared" si="203"/>
        <v>-5.1365496202150425</v>
      </c>
      <c r="AU299" s="169">
        <f t="shared" si="204"/>
        <v>49.997329244742865</v>
      </c>
      <c r="AV299" s="225"/>
      <c r="AX299">
        <f t="shared" si="205"/>
        <v>0</v>
      </c>
      <c r="AY299">
        <f t="shared" si="206"/>
        <v>0</v>
      </c>
    </row>
    <row r="300" spans="14:51" x14ac:dyDescent="0.25">
      <c r="N300" s="170">
        <v>82</v>
      </c>
      <c r="O300" s="199">
        <f t="shared" si="207"/>
        <v>6606.9344800759654</v>
      </c>
      <c r="P300" s="189" t="str">
        <f t="shared" si="173"/>
        <v>18.0065359477124</v>
      </c>
      <c r="Q300" s="160" t="str">
        <f t="shared" si="174"/>
        <v>1+13.0235587923801i</v>
      </c>
      <c r="R300" s="160">
        <f t="shared" si="182"/>
        <v>13.061894334995253</v>
      </c>
      <c r="S300" s="160">
        <f t="shared" si="183"/>
        <v>1.4941627674433633</v>
      </c>
      <c r="T300" s="160" t="str">
        <f t="shared" si="175"/>
        <v>1+0.0166050374602846i</v>
      </c>
      <c r="U300" s="160">
        <f t="shared" si="184"/>
        <v>1.0001378541326478</v>
      </c>
      <c r="V300" s="160">
        <f t="shared" si="185"/>
        <v>1.6603511558839056E-2</v>
      </c>
      <c r="W300" s="98" t="str">
        <f t="shared" si="176"/>
        <v>1-0.234586401793494i</v>
      </c>
      <c r="X300" s="160">
        <f t="shared" si="186"/>
        <v>1.0271469125234318</v>
      </c>
      <c r="Y300" s="160">
        <f t="shared" si="187"/>
        <v>-0.23041997169420114</v>
      </c>
      <c r="Z300" s="98" t="str">
        <f t="shared" si="177"/>
        <v>0.999471890108443+0.0701190573025699i</v>
      </c>
      <c r="AA300" s="160">
        <f t="shared" si="188"/>
        <v>1.0019285110794804</v>
      </c>
      <c r="AB300" s="160">
        <f t="shared" si="189"/>
        <v>7.0041346184422537E-2</v>
      </c>
      <c r="AC300" s="171" t="str">
        <f t="shared" si="190"/>
        <v>-0.290808818898821-1.38320795361201i</v>
      </c>
      <c r="AD300" s="190">
        <f t="shared" si="191"/>
        <v>3.0055940249347151</v>
      </c>
      <c r="AE300" s="169">
        <f t="shared" si="192"/>
        <v>-101.87307476405749</v>
      </c>
      <c r="AF300" s="98" t="str">
        <f t="shared" si="178"/>
        <v>-0.0000816326530612245</v>
      </c>
      <c r="AG300" s="98" t="str">
        <f t="shared" si="179"/>
        <v>0.00097554595079172i</v>
      </c>
      <c r="AH300" s="98">
        <f t="shared" si="193"/>
        <v>9.7554595079171996E-4</v>
      </c>
      <c r="AI300" s="98">
        <f t="shared" si="194"/>
        <v>1.5707963267948966</v>
      </c>
      <c r="AJ300" s="98" t="str">
        <f t="shared" si="180"/>
        <v>1+0.297300830272967i</v>
      </c>
      <c r="AK300" s="98">
        <f t="shared" si="195"/>
        <v>1.0432582535887247</v>
      </c>
      <c r="AL300" s="98">
        <f t="shared" si="196"/>
        <v>0.28897865605902562</v>
      </c>
      <c r="AM300" s="98" t="str">
        <f t="shared" si="181"/>
        <v>1+4.65771300760983i</v>
      </c>
      <c r="AN300" s="98">
        <f t="shared" si="197"/>
        <v>4.7638524810554124</v>
      </c>
      <c r="AO300" s="98">
        <f t="shared" si="198"/>
        <v>1.3593091837136504</v>
      </c>
      <c r="AP300" s="168" t="str">
        <f t="shared" si="199"/>
        <v>-0.335243268321409+0.183347044042633i</v>
      </c>
      <c r="AQ300" s="98">
        <f t="shared" si="200"/>
        <v>-8.3563468813241553</v>
      </c>
      <c r="AR300" s="169">
        <f t="shared" si="201"/>
        <v>151.32542191862055</v>
      </c>
      <c r="AS300" s="168" t="str">
        <f t="shared" si="202"/>
        <v>0.351098788495351+0.41039221781043i</v>
      </c>
      <c r="AT300" s="190">
        <f t="shared" si="203"/>
        <v>-5.3507528563894402</v>
      </c>
      <c r="AU300" s="169">
        <f t="shared" si="204"/>
        <v>49.45234715456305</v>
      </c>
      <c r="AV300" s="225"/>
      <c r="AX300">
        <f t="shared" si="205"/>
        <v>0</v>
      </c>
      <c r="AY300">
        <f t="shared" si="206"/>
        <v>0</v>
      </c>
    </row>
    <row r="301" spans="14:51" x14ac:dyDescent="0.25">
      <c r="N301" s="170">
        <v>83</v>
      </c>
      <c r="O301" s="199">
        <f t="shared" si="207"/>
        <v>6760.8297539198229</v>
      </c>
      <c r="P301" s="189" t="str">
        <f t="shared" si="173"/>
        <v>18.0065359477124</v>
      </c>
      <c r="Q301" s="160" t="str">
        <f t="shared" si="174"/>
        <v>1+13.3269164467989i</v>
      </c>
      <c r="R301" s="160">
        <f t="shared" si="182"/>
        <v>13.364381840547622</v>
      </c>
      <c r="S301" s="160">
        <f t="shared" si="183"/>
        <v>1.495900568810268</v>
      </c>
      <c r="T301" s="160" t="str">
        <f t="shared" si="175"/>
        <v>1+0.0169918184696686i</v>
      </c>
      <c r="U301" s="160">
        <f t="shared" si="184"/>
        <v>1.0001443505289154</v>
      </c>
      <c r="V301" s="160">
        <f t="shared" si="185"/>
        <v>1.6990183449556766E-2</v>
      </c>
      <c r="W301" s="98" t="str">
        <f t="shared" si="176"/>
        <v>1-0.240050621039639i</v>
      </c>
      <c r="X301" s="160">
        <f t="shared" si="186"/>
        <v>1.0284086253340723</v>
      </c>
      <c r="Y301" s="160">
        <f t="shared" si="187"/>
        <v>-0.2355928442402507</v>
      </c>
      <c r="Z301" s="98" t="str">
        <f t="shared" si="177"/>
        <v>0.999447001056042+0.0717523399630525i</v>
      </c>
      <c r="AA301" s="160">
        <f t="shared" si="188"/>
        <v>1.0020193142899441</v>
      </c>
      <c r="AB301" s="160">
        <f t="shared" si="189"/>
        <v>7.1669079863545412E-2</v>
      </c>
      <c r="AC301" s="171" t="str">
        <f t="shared" si="190"/>
        <v>-0.295575257093171-1.35108284873022i</v>
      </c>
      <c r="AD301" s="190">
        <f t="shared" si="191"/>
        <v>2.8166720107756364</v>
      </c>
      <c r="AE301" s="169">
        <f t="shared" si="192"/>
        <v>-102.34013481545144</v>
      </c>
      <c r="AF301" s="98" t="str">
        <f t="shared" si="178"/>
        <v>-0.0000816326530612245</v>
      </c>
      <c r="AG301" s="98" t="str">
        <f t="shared" si="179"/>
        <v>0.000998269335093033i</v>
      </c>
      <c r="AH301" s="98">
        <f t="shared" si="193"/>
        <v>9.9826933509303294E-4</v>
      </c>
      <c r="AI301" s="98">
        <f t="shared" si="194"/>
        <v>1.5707963267948966</v>
      </c>
      <c r="AJ301" s="98" t="str">
        <f t="shared" si="180"/>
        <v>1+0.304225856217577i</v>
      </c>
      <c r="AK301" s="98">
        <f t="shared" si="195"/>
        <v>1.0452527788010506</v>
      </c>
      <c r="AL301" s="98">
        <f t="shared" si="196"/>
        <v>0.29532920348835584</v>
      </c>
      <c r="AM301" s="98" t="str">
        <f t="shared" si="181"/>
        <v>1+4.76620508074205i</v>
      </c>
      <c r="AN301" s="98">
        <f t="shared" si="197"/>
        <v>4.8699805822704594</v>
      </c>
      <c r="AO301" s="98">
        <f t="shared" si="198"/>
        <v>1.3639856096105401</v>
      </c>
      <c r="AP301" s="168" t="str">
        <f t="shared" si="199"/>
        <v>-0.33396508334496+0.183374990186633i</v>
      </c>
      <c r="AQ301" s="98">
        <f t="shared" si="200"/>
        <v>-8.3815584107690402</v>
      </c>
      <c r="AR301" s="169">
        <f t="shared" si="201"/>
        <v>151.22950182041959</v>
      </c>
      <c r="AS301" s="168" t="str">
        <f t="shared" si="202"/>
        <v>0.346466619497061+0.397013386313262i</v>
      </c>
      <c r="AT301" s="190">
        <f t="shared" si="203"/>
        <v>-5.5648863999934051</v>
      </c>
      <c r="AU301" s="169">
        <f t="shared" si="204"/>
        <v>48.889367004968165</v>
      </c>
      <c r="AV301" s="225"/>
      <c r="AX301">
        <f t="shared" si="205"/>
        <v>0</v>
      </c>
      <c r="AY301">
        <f t="shared" si="206"/>
        <v>0</v>
      </c>
    </row>
    <row r="302" spans="14:51" x14ac:dyDescent="0.25">
      <c r="N302" s="170">
        <v>84</v>
      </c>
      <c r="O302" s="199">
        <f t="shared" si="207"/>
        <v>6918.3097091893687</v>
      </c>
      <c r="P302" s="189" t="str">
        <f t="shared" si="173"/>
        <v>18.0065359477124</v>
      </c>
      <c r="Q302" s="160" t="str">
        <f t="shared" si="174"/>
        <v>1+13.6373402087205i</v>
      </c>
      <c r="R302" s="160">
        <f t="shared" si="182"/>
        <v>13.673955096035122</v>
      </c>
      <c r="S302" s="160">
        <f t="shared" si="183"/>
        <v>1.4975992510321665</v>
      </c>
      <c r="T302" s="160" t="str">
        <f t="shared" si="175"/>
        <v>1+0.0173876087661186i</v>
      </c>
      <c r="U302" s="160">
        <f t="shared" si="184"/>
        <v>1.0001511530456801</v>
      </c>
      <c r="V302" s="160">
        <f t="shared" si="185"/>
        <v>1.7385856824804119E-2</v>
      </c>
      <c r="W302" s="98" t="str">
        <f t="shared" si="176"/>
        <v>1-0.245642118302506i</v>
      </c>
      <c r="X302" s="160">
        <f t="shared" si="186"/>
        <v>1.0297281438730042</v>
      </c>
      <c r="Y302" s="160">
        <f t="shared" si="187"/>
        <v>-0.24087294051609229</v>
      </c>
      <c r="Z302" s="98" t="str">
        <f t="shared" si="177"/>
        <v>0.99942093901874+0.0734236666639378i</v>
      </c>
      <c r="AA302" s="160">
        <f t="shared" si="188"/>
        <v>1.0021143887678079</v>
      </c>
      <c r="AB302" s="160">
        <f t="shared" si="189"/>
        <v>7.3334461802743264E-2</v>
      </c>
      <c r="AC302" s="171" t="str">
        <f t="shared" si="190"/>
        <v>-0.300123861614876-1.3196420243386i</v>
      </c>
      <c r="AD302" s="190">
        <f t="shared" si="191"/>
        <v>2.6281389553742507</v>
      </c>
      <c r="AE302" s="169">
        <f t="shared" si="192"/>
        <v>-102.81273831145457</v>
      </c>
      <c r="AF302" s="98" t="str">
        <f t="shared" si="178"/>
        <v>-0.0000816326530612245</v>
      </c>
      <c r="AG302" s="98" t="str">
        <f t="shared" si="179"/>
        <v>0.00102152201500947i</v>
      </c>
      <c r="AH302" s="98">
        <f t="shared" si="193"/>
        <v>1.02152201500947E-3</v>
      </c>
      <c r="AI302" s="98">
        <f t="shared" si="194"/>
        <v>1.5707963267948966</v>
      </c>
      <c r="AJ302" s="98" t="str">
        <f t="shared" si="180"/>
        <v>1+0.311312186738058i</v>
      </c>
      <c r="AK302" s="98">
        <f t="shared" si="195"/>
        <v>1.0473372320373373</v>
      </c>
      <c r="AL302" s="98">
        <f t="shared" si="196"/>
        <v>0.3018023668053626</v>
      </c>
      <c r="AM302" s="98" t="str">
        <f t="shared" si="181"/>
        <v>1+4.87722425889627i</v>
      </c>
      <c r="AN302" s="98">
        <f t="shared" si="197"/>
        <v>4.9786862194324186</v>
      </c>
      <c r="AO302" s="98">
        <f t="shared" si="198"/>
        <v>1.3685644714571554</v>
      </c>
      <c r="AP302" s="168" t="str">
        <f t="shared" si="199"/>
        <v>-0.332637064365419+0.183466741139873i</v>
      </c>
      <c r="AQ302" s="98">
        <f t="shared" si="200"/>
        <v>-8.4071121229663426</v>
      </c>
      <c r="AR302" s="169">
        <f t="shared" si="201"/>
        <v>151.12096634104086</v>
      </c>
      <c r="AS302" s="168" t="str">
        <f t="shared" si="202"/>
        <v>0.341942741950214+0.383899102160435i</v>
      </c>
      <c r="AT302" s="190">
        <f t="shared" si="203"/>
        <v>-5.7789731675920883</v>
      </c>
      <c r="AU302" s="169">
        <f t="shared" si="204"/>
        <v>48.308228029586225</v>
      </c>
      <c r="AV302" s="225"/>
      <c r="AX302">
        <f t="shared" si="205"/>
        <v>0</v>
      </c>
      <c r="AY302">
        <f t="shared" si="206"/>
        <v>0</v>
      </c>
    </row>
    <row r="303" spans="14:51" x14ac:dyDescent="0.25">
      <c r="N303" s="170">
        <v>85</v>
      </c>
      <c r="O303" s="199">
        <f t="shared" si="207"/>
        <v>7079.4578438413828</v>
      </c>
      <c r="P303" s="189" t="str">
        <f t="shared" si="173"/>
        <v>18.0065359477124</v>
      </c>
      <c r="Q303" s="160" t="str">
        <f t="shared" si="174"/>
        <v>1+13.9549946689322i</v>
      </c>
      <c r="R303" s="160">
        <f t="shared" si="182"/>
        <v>13.990778256048737</v>
      </c>
      <c r="S303" s="160">
        <f t="shared" si="183"/>
        <v>1.499259675538225</v>
      </c>
      <c r="T303" s="160" t="str">
        <f t="shared" si="175"/>
        <v>1+0.0177926182028886i</v>
      </c>
      <c r="U303" s="160">
        <f t="shared" si="184"/>
        <v>1.000158276105594</v>
      </c>
      <c r="V303" s="160">
        <f t="shared" si="185"/>
        <v>1.7790740979992812E-2</v>
      </c>
      <c r="W303" s="98" t="str">
        <f t="shared" si="176"/>
        <v>1-0.251363858267954i</v>
      </c>
      <c r="X303" s="160">
        <f t="shared" si="186"/>
        <v>1.0311080395590717</v>
      </c>
      <c r="Y303" s="160">
        <f t="shared" si="187"/>
        <v>-0.24626188193835422</v>
      </c>
      <c r="Z303" s="98" t="str">
        <f t="shared" si="177"/>
        <v>0.99939364871546+0.0751339235647656i</v>
      </c>
      <c r="AA303" s="160">
        <f t="shared" si="188"/>
        <v>1.0022139350273653</v>
      </c>
      <c r="AB303" s="160">
        <f t="shared" si="189"/>
        <v>7.5038349986824515E-2</v>
      </c>
      <c r="AC303" s="171" t="str">
        <f t="shared" si="190"/>
        <v>-0.304463964140379-1.28887097881207i</v>
      </c>
      <c r="AD303" s="190">
        <f t="shared" si="191"/>
        <v>2.440015361382085</v>
      </c>
      <c r="AE303" s="169">
        <f t="shared" si="192"/>
        <v>-103.29106467581667</v>
      </c>
      <c r="AF303" s="98" t="str">
        <f t="shared" si="178"/>
        <v>-0.0000816326530612245</v>
      </c>
      <c r="AG303" s="98" t="str">
        <f t="shared" si="179"/>
        <v>0.0010453163194197i</v>
      </c>
      <c r="AH303" s="98">
        <f t="shared" si="193"/>
        <v>1.0453163194197E-3</v>
      </c>
      <c r="AI303" s="98">
        <f t="shared" si="194"/>
        <v>1.5707963267948966</v>
      </c>
      <c r="AJ303" s="98" t="str">
        <f t="shared" si="180"/>
        <v>1+0.318563579100653i</v>
      </c>
      <c r="AK303" s="98">
        <f t="shared" si="195"/>
        <v>1.0495154853214022</v>
      </c>
      <c r="AL303" s="98">
        <f t="shared" si="196"/>
        <v>0.30839940747544115</v>
      </c>
      <c r="AM303" s="98" t="str">
        <f t="shared" si="181"/>
        <v>1+4.99082940591024i</v>
      </c>
      <c r="AN303" s="98">
        <f t="shared" si="197"/>
        <v>5.090027323983473</v>
      </c>
      <c r="AO303" s="98">
        <f t="shared" si="198"/>
        <v>1.3730474286635583</v>
      </c>
      <c r="AP303" s="168" t="str">
        <f t="shared" si="199"/>
        <v>-0.33125773100002+0.183620380925207i</v>
      </c>
      <c r="AQ303" s="98">
        <f t="shared" si="200"/>
        <v>-8.4330511299705453</v>
      </c>
      <c r="AR303" s="169">
        <f t="shared" si="201"/>
        <v>150.9998382810337</v>
      </c>
      <c r="AS303" s="168" t="str">
        <f t="shared" si="202"/>
        <v>0.33751902202533+0.371042686919606i</v>
      </c>
      <c r="AT303" s="190">
        <f t="shared" si="203"/>
        <v>-5.9930357685884612</v>
      </c>
      <c r="AU303" s="169">
        <f t="shared" si="204"/>
        <v>47.708773605217026</v>
      </c>
      <c r="AV303" s="225"/>
      <c r="AX303">
        <f t="shared" si="205"/>
        <v>0</v>
      </c>
      <c r="AY303">
        <f t="shared" si="206"/>
        <v>0</v>
      </c>
    </row>
    <row r="304" spans="14:51" x14ac:dyDescent="0.25">
      <c r="N304" s="170">
        <v>86</v>
      </c>
      <c r="O304" s="199">
        <f t="shared" si="207"/>
        <v>7244.3596007499036</v>
      </c>
      <c r="P304" s="189" t="str">
        <f t="shared" si="173"/>
        <v>18.0065359477124</v>
      </c>
      <c r="Q304" s="160" t="str">
        <f t="shared" si="174"/>
        <v>1+14.2800482520336i</v>
      </c>
      <c r="R304" s="160">
        <f t="shared" si="182"/>
        <v>14.315019318198907</v>
      </c>
      <c r="S304" s="160">
        <f t="shared" si="183"/>
        <v>1.5008826860645117</v>
      </c>
      <c r="T304" s="160" t="str">
        <f t="shared" si="175"/>
        <v>1+0.0182070615213429i</v>
      </c>
      <c r="U304" s="160">
        <f t="shared" si="184"/>
        <v>1.0001657348106072</v>
      </c>
      <c r="V304" s="160">
        <f t="shared" si="185"/>
        <v>1.8205050058771478E-2</v>
      </c>
      <c r="W304" s="98" t="str">
        <f t="shared" si="176"/>
        <v>1-0.25721887467825i</v>
      </c>
      <c r="X304" s="160">
        <f t="shared" si="186"/>
        <v>1.0325509912303339</v>
      </c>
      <c r="Y304" s="160">
        <f t="shared" si="187"/>
        <v>-0.25176127326917175</v>
      </c>
      <c r="Z304" s="98" t="str">
        <f t="shared" si="177"/>
        <v>0.999365072259811+0.0768840174663825i</v>
      </c>
      <c r="AA304" s="160">
        <f t="shared" si="188"/>
        <v>1.0023181629575653</v>
      </c>
      <c r="AB304" s="160">
        <f t="shared" si="189"/>
        <v>7.6781621042797663E-2</v>
      </c>
      <c r="AC304" s="171" t="str">
        <f t="shared" si="190"/>
        <v>-0.308604482257388-1.25875542692958i</v>
      </c>
      <c r="AD304" s="190">
        <f t="shared" si="191"/>
        <v>2.2523222673076986</v>
      </c>
      <c r="AE304" s="169">
        <f t="shared" si="192"/>
        <v>-103.77529215465154</v>
      </c>
      <c r="AF304" s="98" t="str">
        <f t="shared" si="178"/>
        <v>-0.0000816326530612245</v>
      </c>
      <c r="AG304" s="98" t="str">
        <f t="shared" si="179"/>
        <v>0.00106966486437889i</v>
      </c>
      <c r="AH304" s="98">
        <f t="shared" si="193"/>
        <v>1.06966486437889E-3</v>
      </c>
      <c r="AI304" s="98">
        <f t="shared" si="194"/>
        <v>1.5707963267948966</v>
      </c>
      <c r="AJ304" s="98" t="str">
        <f t="shared" si="180"/>
        <v>1+0.325983878089574i</v>
      </c>
      <c r="AK304" s="98">
        <f t="shared" si="195"/>
        <v>1.0517915614675364</v>
      </c>
      <c r="AL304" s="98">
        <f t="shared" si="196"/>
        <v>0.31512152564188722</v>
      </c>
      <c r="AM304" s="98" t="str">
        <f t="shared" si="181"/>
        <v>1+5.10708075673668i</v>
      </c>
      <c r="AN304" s="98">
        <f t="shared" si="197"/>
        <v>5.2040632063638599</v>
      </c>
      <c r="AO304" s="98">
        <f t="shared" si="198"/>
        <v>1.37743613706288</v>
      </c>
      <c r="AP304" s="168" t="str">
        <f t="shared" si="199"/>
        <v>-0.329825599284105+0.183833930102543i</v>
      </c>
      <c r="AQ304" s="98">
        <f t="shared" si="200"/>
        <v>-8.4594187758758643</v>
      </c>
      <c r="AR304" s="169">
        <f t="shared" si="201"/>
        <v>150.86614374950287</v>
      </c>
      <c r="AS304" s="168" t="str">
        <f t="shared" si="202"/>
        <v>0.333187615472673+0.358437788218532i</v>
      </c>
      <c r="AT304" s="190">
        <f t="shared" si="203"/>
        <v>-6.2070965085681618</v>
      </c>
      <c r="AU304" s="169">
        <f t="shared" si="204"/>
        <v>47.090851594851337</v>
      </c>
      <c r="AV304" s="225"/>
      <c r="AX304">
        <f t="shared" si="205"/>
        <v>0</v>
      </c>
      <c r="AY304">
        <f t="shared" si="206"/>
        <v>0</v>
      </c>
    </row>
    <row r="305" spans="14:51" x14ac:dyDescent="0.25">
      <c r="N305" s="170">
        <v>87</v>
      </c>
      <c r="O305" s="199">
        <f t="shared" si="207"/>
        <v>7413.1024130091773</v>
      </c>
      <c r="P305" s="189" t="str">
        <f t="shared" si="173"/>
        <v>18.0065359477124</v>
      </c>
      <c r="Q305" s="160" t="str">
        <f t="shared" si="174"/>
        <v>1+14.612673305737i</v>
      </c>
      <c r="R305" s="160">
        <f t="shared" si="182"/>
        <v>14.646850212253783</v>
      </c>
      <c r="S305" s="160">
        <f t="shared" si="183"/>
        <v>1.5024691089312954</v>
      </c>
      <c r="T305" s="160" t="str">
        <f t="shared" si="175"/>
        <v>1+0.0186311584648147i</v>
      </c>
      <c r="U305" s="160">
        <f t="shared" si="184"/>
        <v>1.0001735449739415</v>
      </c>
      <c r="V305" s="160">
        <f t="shared" si="185"/>
        <v>1.8629003164035405E-2</v>
      </c>
      <c r="W305" s="98" t="str">
        <f t="shared" si="176"/>
        <v>1-0.263210271940595i</v>
      </c>
      <c r="X305" s="160">
        <f t="shared" si="186"/>
        <v>1.0340597890136922</v>
      </c>
      <c r="Y305" s="160">
        <f t="shared" si="187"/>
        <v>-0.25737269923741524</v>
      </c>
      <c r="Z305" s="98" t="str">
        <f t="shared" si="177"/>
        <v>0.999335149037299+0.0786748762917403i</v>
      </c>
      <c r="AA305" s="160">
        <f t="shared" si="188"/>
        <v>1.0024272922566111</v>
      </c>
      <c r="AB305" s="160">
        <f t="shared" si="189"/>
        <v>7.8565170579625199E-2</v>
      </c>
      <c r="AC305" s="171" t="str">
        <f t="shared" si="190"/>
        <v>-0.312553935996425-1.2292813015427i</v>
      </c>
      <c r="AD305" s="190">
        <f t="shared" si="191"/>
        <v>2.0650812633908715</v>
      </c>
      <c r="AE305" s="169">
        <f t="shared" si="192"/>
        <v>-104.26559765184143</v>
      </c>
      <c r="AF305" s="98" t="str">
        <f t="shared" si="178"/>
        <v>-0.0000816326530612245</v>
      </c>
      <c r="AG305" s="98" t="str">
        <f t="shared" si="179"/>
        <v>0.00109458055980786i</v>
      </c>
      <c r="AH305" s="98">
        <f t="shared" si="193"/>
        <v>1.09458055980786E-3</v>
      </c>
      <c r="AI305" s="98">
        <f t="shared" si="194"/>
        <v>1.5707963267948966</v>
      </c>
      <c r="AJ305" s="98" t="str">
        <f t="shared" si="180"/>
        <v>1+0.333577018045564i</v>
      </c>
      <c r="AK305" s="98">
        <f t="shared" si="195"/>
        <v>1.0541696386104897</v>
      </c>
      <c r="AL305" s="98">
        <f t="shared" si="196"/>
        <v>0.3219698546021017</v>
      </c>
      <c r="AM305" s="98" t="str">
        <f t="shared" si="181"/>
        <v>1+5.22603994938053i</v>
      </c>
      <c r="AN305" s="98">
        <f t="shared" si="197"/>
        <v>5.3208545885525993</v>
      </c>
      <c r="AO305" s="98">
        <f t="shared" si="198"/>
        <v>1.3817322470441584</v>
      </c>
      <c r="AP305" s="168" t="str">
        <f t="shared" si="199"/>
        <v>-0.328339185730324+0.184105342067261i</v>
      </c>
      <c r="AQ305" s="98">
        <f t="shared" si="200"/>
        <v>-8.4862586547927918</v>
      </c>
      <c r="AR305" s="169">
        <f t="shared" si="201"/>
        <v>150.71991237361675</v>
      </c>
      <c r="AS305" s="168" t="str">
        <f t="shared" si="202"/>
        <v>0.328940959359281+0.346078372280952i</v>
      </c>
      <c r="AT305" s="190">
        <f t="shared" si="203"/>
        <v>-6.421177391401919</v>
      </c>
      <c r="AU305" s="169">
        <f t="shared" si="204"/>
        <v>46.454314721775248</v>
      </c>
      <c r="AV305" s="225"/>
      <c r="AX305">
        <f t="shared" si="205"/>
        <v>0</v>
      </c>
      <c r="AY305">
        <f t="shared" si="206"/>
        <v>0</v>
      </c>
    </row>
    <row r="306" spans="14:51" x14ac:dyDescent="0.25">
      <c r="N306" s="170">
        <v>88</v>
      </c>
      <c r="O306" s="199">
        <f t="shared" si="207"/>
        <v>7585.7757502918394</v>
      </c>
      <c r="P306" s="189" t="str">
        <f t="shared" si="173"/>
        <v>18.0065359477124</v>
      </c>
      <c r="Q306" s="160" t="str">
        <f t="shared" si="174"/>
        <v>1+14.9530461922488i</v>
      </c>
      <c r="R306" s="160">
        <f t="shared" si="182"/>
        <v>14.986446891359085</v>
      </c>
      <c r="S306" s="160">
        <f t="shared" si="183"/>
        <v>1.5040197533221522</v>
      </c>
      <c r="T306" s="160" t="str">
        <f t="shared" si="175"/>
        <v>1+0.0190651338951172i</v>
      </c>
      <c r="U306" s="160">
        <f t="shared" si="184"/>
        <v>1.000181723153567</v>
      </c>
      <c r="V306" s="160">
        <f t="shared" si="185"/>
        <v>1.9062824471385315E-2</v>
      </c>
      <c r="W306" s="98" t="str">
        <f t="shared" si="176"/>
        <v>1-0.269341226773123i</v>
      </c>
      <c r="X306" s="160">
        <f t="shared" si="186"/>
        <v>1.0356373382799844</v>
      </c>
      <c r="Y306" s="160">
        <f t="shared" si="187"/>
        <v>-0.26309772096084444</v>
      </c>
      <c r="Z306" s="98" t="str">
        <f t="shared" si="177"/>
        <v>0.999303815576757+0.0805074495778931i</v>
      </c>
      <c r="AA306" s="160">
        <f t="shared" si="188"/>
        <v>1.0025415528863639</v>
      </c>
      <c r="AB306" s="160">
        <f t="shared" si="189"/>
        <v>8.0389913529321969E-2</v>
      </c>
      <c r="AC306" s="171" t="str">
        <f t="shared" si="190"/>
        <v>-0.316320463729659-1.20043475478852i</v>
      </c>
      <c r="AD306" s="190">
        <f t="shared" si="191"/>
        <v>1.8783145064491447</v>
      </c>
      <c r="AE306" s="169">
        <f t="shared" si="192"/>
        <v>-104.76215655307618</v>
      </c>
      <c r="AF306" s="98" t="str">
        <f t="shared" si="178"/>
        <v>-0.0000816326530612245</v>
      </c>
      <c r="AG306" s="98" t="str">
        <f t="shared" si="179"/>
        <v>0.00112007661633813i</v>
      </c>
      <c r="AH306" s="98">
        <f t="shared" si="193"/>
        <v>1.1200766163381301E-3</v>
      </c>
      <c r="AI306" s="98">
        <f t="shared" si="194"/>
        <v>1.5707963267948966</v>
      </c>
      <c r="AJ306" s="98" t="str">
        <f t="shared" si="180"/>
        <v>1+0.341347024951937i</v>
      </c>
      <c r="AK306" s="98">
        <f t="shared" si="195"/>
        <v>1.0566540547613199</v>
      </c>
      <c r="AL306" s="98">
        <f t="shared" si="196"/>
        <v>0.32894545508589018</v>
      </c>
      <c r="AM306" s="98" t="str">
        <f t="shared" si="181"/>
        <v>1+5.34777005758036i</v>
      </c>
      <c r="AN306" s="98">
        <f t="shared" si="197"/>
        <v>5.4404636372971966</v>
      </c>
      <c r="AO306" s="98">
        <f t="shared" si="198"/>
        <v>1.385937401824608</v>
      </c>
      <c r="AP306" s="168" t="str">
        <f t="shared" si="199"/>
        <v>-0.3267970117436+0.184432499473647i</v>
      </c>
      <c r="AQ306" s="98">
        <f t="shared" si="200"/>
        <v>-8.5136146264241717</v>
      </c>
      <c r="AR306" s="169">
        <f t="shared" si="201"/>
        <v>150.56117752744518</v>
      </c>
      <c r="AS306" s="168" t="str">
        <f t="shared" si="202"/>
        <v>0.324771764580884+0.333958716897725i</v>
      </c>
      <c r="AT306" s="190">
        <f t="shared" si="203"/>
        <v>-6.6353001199750263</v>
      </c>
      <c r="AU306" s="169">
        <f t="shared" si="204"/>
        <v>45.799020974368929</v>
      </c>
      <c r="AV306" s="225"/>
      <c r="AX306">
        <f t="shared" si="205"/>
        <v>0</v>
      </c>
      <c r="AY306">
        <f t="shared" si="206"/>
        <v>0</v>
      </c>
    </row>
    <row r="307" spans="14:51" x14ac:dyDescent="0.25">
      <c r="N307" s="170">
        <v>89</v>
      </c>
      <c r="O307" s="199">
        <f t="shared" si="207"/>
        <v>7762.4711662869322</v>
      </c>
      <c r="P307" s="189" t="str">
        <f t="shared" si="173"/>
        <v>18.0065359477124</v>
      </c>
      <c r="Q307" s="160" t="str">
        <f t="shared" si="174"/>
        <v>1+15.3013473817786i</v>
      </c>
      <c r="R307" s="160">
        <f t="shared" si="182"/>
        <v>15.333989425386429</v>
      </c>
      <c r="S307" s="160">
        <f t="shared" si="183"/>
        <v>1.5055354115643143</v>
      </c>
      <c r="T307" s="160" t="str">
        <f t="shared" si="175"/>
        <v>1+0.0195092179117677i</v>
      </c>
      <c r="U307" s="160">
        <f t="shared" si="184"/>
        <v>1.0001902866872527</v>
      </c>
      <c r="V307" s="160">
        <f t="shared" si="185"/>
        <v>1.9506743345081276E-2</v>
      </c>
      <c r="W307" s="98" t="str">
        <f t="shared" si="176"/>
        <v>1-0.275614989889238i</v>
      </c>
      <c r="X307" s="160">
        <f t="shared" si="186"/>
        <v>1.037286663681571</v>
      </c>
      <c r="Y307" s="160">
        <f t="shared" si="187"/>
        <v>-0.26893787216482595</v>
      </c>
      <c r="Z307" s="98" t="str">
        <f t="shared" si="177"/>
        <v>0.999271005415713+0.0823827089794542i</v>
      </c>
      <c r="AA307" s="160">
        <f t="shared" si="188"/>
        <v>1.0026611855474028</v>
      </c>
      <c r="AB307" s="160">
        <f t="shared" si="189"/>
        <v>8.2256784488982188E-2</v>
      </c>
      <c r="AC307" s="171" t="str">
        <f t="shared" si="190"/>
        <v>-0.319911837453347-1.17220215888393i</v>
      </c>
      <c r="AD307" s="190">
        <f t="shared" si="191"/>
        <v>1.6920447335791122</v>
      </c>
      <c r="AE307" s="169">
        <f t="shared" si="192"/>
        <v>-105.2651425382178</v>
      </c>
      <c r="AF307" s="98" t="str">
        <f t="shared" si="178"/>
        <v>-0.0000816326530612245</v>
      </c>
      <c r="AG307" s="98" t="str">
        <f t="shared" si="179"/>
        <v>0.00114616655231635i</v>
      </c>
      <c r="AH307" s="98">
        <f t="shared" si="193"/>
        <v>1.1461665523163501E-3</v>
      </c>
      <c r="AI307" s="98">
        <f t="shared" si="194"/>
        <v>1.5707963267948966</v>
      </c>
      <c r="AJ307" s="98" t="str">
        <f t="shared" si="180"/>
        <v>1+0.349298018569201i</v>
      </c>
      <c r="AK307" s="98">
        <f t="shared" si="195"/>
        <v>1.0592493123794653</v>
      </c>
      <c r="AL307" s="98">
        <f t="shared" si="196"/>
        <v>0.33604930934396721</v>
      </c>
      <c r="AM307" s="98" t="str">
        <f t="shared" si="181"/>
        <v>1+5.47233562425083i</v>
      </c>
      <c r="AN307" s="98">
        <f t="shared" si="197"/>
        <v>5.5629539980521789</v>
      </c>
      <c r="AO307" s="98">
        <f t="shared" si="198"/>
        <v>1.3900532358548248</v>
      </c>
      <c r="AP307" s="168" t="str">
        <f t="shared" si="199"/>
        <v>-0.325197608400725+0.184813210813745i</v>
      </c>
      <c r="AQ307" s="98">
        <f t="shared" si="200"/>
        <v>-8.5415308289978213</v>
      </c>
      <c r="AR307" s="169">
        <f t="shared" si="201"/>
        <v>150.38997657928914</v>
      </c>
      <c r="AS307" s="168" t="str">
        <f t="shared" si="202"/>
        <v>0.320673009145053+0.322073404774143i</v>
      </c>
      <c r="AT307" s="190">
        <f t="shared" si="203"/>
        <v>-6.8494860954187029</v>
      </c>
      <c r="AU307" s="169">
        <f t="shared" si="204"/>
        <v>45.124834041071317</v>
      </c>
      <c r="AV307" s="225"/>
      <c r="AX307">
        <f t="shared" si="205"/>
        <v>0</v>
      </c>
      <c r="AY307">
        <f t="shared" si="206"/>
        <v>0</v>
      </c>
    </row>
    <row r="308" spans="14:51" x14ac:dyDescent="0.25">
      <c r="N308" s="170">
        <v>90</v>
      </c>
      <c r="O308" s="199">
        <f t="shared" si="207"/>
        <v>7943.2823472428154</v>
      </c>
      <c r="P308" s="189" t="str">
        <f t="shared" si="173"/>
        <v>18.0065359477124</v>
      </c>
      <c r="Q308" s="160" t="str">
        <f t="shared" si="174"/>
        <v>1+15.6577615482274i</v>
      </c>
      <c r="R308" s="160">
        <f t="shared" si="182"/>
        <v>15.689662096461749</v>
      </c>
      <c r="S308" s="160">
        <f t="shared" si="183"/>
        <v>1.5070168594097588</v>
      </c>
      <c r="T308" s="160" t="str">
        <f t="shared" si="175"/>
        <v>1+0.01996364597399i</v>
      </c>
      <c r="U308" s="160">
        <f t="shared" si="184"/>
        <v>1.000199253729263</v>
      </c>
      <c r="V308" s="160">
        <f t="shared" si="185"/>
        <v>1.9960994456541422E-2</v>
      </c>
      <c r="W308" s="98" t="str">
        <f t="shared" si="176"/>
        <v>1-0.282034887721188i</v>
      </c>
      <c r="X308" s="160">
        <f t="shared" si="186"/>
        <v>1.0390109132689143</v>
      </c>
      <c r="Y308" s="160">
        <f t="shared" si="187"/>
        <v>-0.27489465519390105</v>
      </c>
      <c r="Z308" s="98" t="str">
        <f t="shared" si="177"/>
        <v>0.999236648959419+0.0843016487837801i</v>
      </c>
      <c r="AA308" s="160">
        <f t="shared" si="188"/>
        <v>1.0027864421756574</v>
      </c>
      <c r="AB308" s="160">
        <f t="shared" si="189"/>
        <v>8.4166738063280511E-2</v>
      </c>
      <c r="AC308" s="171" t="str">
        <f t="shared" si="190"/>
        <v>-0.323335477470377-1.14457010653591i</v>
      </c>
      <c r="AD308" s="190">
        <f t="shared" si="191"/>
        <v>1.5062952745848737</v>
      </c>
      <c r="AE308" s="169">
        <f t="shared" si="192"/>
        <v>-105.77472738171906</v>
      </c>
      <c r="AF308" s="98" t="str">
        <f t="shared" si="178"/>
        <v>-0.0000816326530612245</v>
      </c>
      <c r="AG308" s="98" t="str">
        <f t="shared" si="179"/>
        <v>0.00117286420097191i</v>
      </c>
      <c r="AH308" s="98">
        <f t="shared" si="193"/>
        <v>1.1728642009719099E-3</v>
      </c>
      <c r="AI308" s="98">
        <f t="shared" si="194"/>
        <v>1.5707963267948966</v>
      </c>
      <c r="AJ308" s="98" t="str">
        <f t="shared" si="180"/>
        <v>1+0.357434214619415i</v>
      </c>
      <c r="AK308" s="98">
        <f t="shared" si="195"/>
        <v>1.0619600829506719</v>
      </c>
      <c r="AL308" s="98">
        <f t="shared" si="196"/>
        <v>0.34328231505680223</v>
      </c>
      <c r="AM308" s="98" t="str">
        <f t="shared" si="181"/>
        <v>1+5.5998026957042i</v>
      </c>
      <c r="AN308" s="98">
        <f t="shared" si="197"/>
        <v>5.6883908296473464</v>
      </c>
      <c r="AO308" s="98">
        <f t="shared" si="198"/>
        <v>1.3940813733505457</v>
      </c>
      <c r="AP308" s="168" t="str">
        <f t="shared" si="199"/>
        <v>-0.323539521601408+0.185245207184413i</v>
      </c>
      <c r="AQ308" s="98">
        <f t="shared" si="200"/>
        <v>-8.5700516893134964</v>
      </c>
      <c r="AR308" s="169">
        <f t="shared" si="201"/>
        <v>150.20635115655281</v>
      </c>
      <c r="AS308" s="168" t="str">
        <f t="shared" si="202"/>
        <v>0.316637932219859+0.31041731719383i</v>
      </c>
      <c r="AT308" s="190">
        <f t="shared" si="203"/>
        <v>-7.0637564147286174</v>
      </c>
      <c r="AU308" s="169">
        <f t="shared" si="204"/>
        <v>44.431623774833774</v>
      </c>
      <c r="AV308" s="225"/>
      <c r="AX308">
        <f t="shared" si="205"/>
        <v>0</v>
      </c>
      <c r="AY308">
        <f t="shared" si="206"/>
        <v>0</v>
      </c>
    </row>
    <row r="309" spans="14:51" x14ac:dyDescent="0.25">
      <c r="N309" s="170">
        <v>91</v>
      </c>
      <c r="O309" s="199">
        <f t="shared" si="207"/>
        <v>8128.3051616410066</v>
      </c>
      <c r="P309" s="189" t="str">
        <f t="shared" si="173"/>
        <v>18.0065359477124</v>
      </c>
      <c r="Q309" s="160" t="str">
        <f t="shared" si="174"/>
        <v>1+16.0224776671043i</v>
      </c>
      <c r="R309" s="160">
        <f t="shared" si="182"/>
        <v>16.053653496723296</v>
      </c>
      <c r="S309" s="160">
        <f t="shared" si="183"/>
        <v>1.5084648563165639</v>
      </c>
      <c r="T309" s="160" t="str">
        <f t="shared" si="175"/>
        <v>1+0.0204286590255579i</v>
      </c>
      <c r="U309" s="160">
        <f t="shared" si="184"/>
        <v>1.0002086432887802</v>
      </c>
      <c r="V309" s="160">
        <f t="shared" si="185"/>
        <v>2.0425817905431708E-2</v>
      </c>
      <c r="W309" s="98" t="str">
        <f t="shared" si="176"/>
        <v>1-0.288604324183781i</v>
      </c>
      <c r="X309" s="160">
        <f t="shared" si="186"/>
        <v>1.040813362682079</v>
      </c>
      <c r="Y309" s="160">
        <f t="shared" si="187"/>
        <v>-0.28096953681321601</v>
      </c>
      <c r="Z309" s="98" t="str">
        <f t="shared" si="177"/>
        <v>0.999200673333223+0.0862652864381558i</v>
      </c>
      <c r="AA309" s="160">
        <f t="shared" si="188"/>
        <v>1.0029175864615314</v>
      </c>
      <c r="AB309" s="160">
        <f t="shared" si="189"/>
        <v>8.6120749206952854E-2</v>
      </c>
      <c r="AC309" s="171" t="str">
        <f t="shared" si="190"/>
        <v>-0.326598466489554-1.11752541100025i</v>
      </c>
      <c r="AD309" s="190">
        <f t="shared" si="191"/>
        <v>1.3210900629967819</v>
      </c>
      <c r="AE309" s="169">
        <f t="shared" si="192"/>
        <v>-106.29108074086918</v>
      </c>
      <c r="AF309" s="98" t="str">
        <f t="shared" si="178"/>
        <v>-0.0000816326530612245</v>
      </c>
      <c r="AG309" s="98" t="str">
        <f t="shared" si="179"/>
        <v>0.00120018371775153i</v>
      </c>
      <c r="AH309" s="98">
        <f t="shared" si="193"/>
        <v>1.2001837177515299E-3</v>
      </c>
      <c r="AI309" s="98">
        <f t="shared" si="194"/>
        <v>1.5707963267948966</v>
      </c>
      <c r="AJ309" s="98" t="str">
        <f t="shared" si="180"/>
        <v>1+0.365759927021424i</v>
      </c>
      <c r="AK309" s="98">
        <f t="shared" si="195"/>
        <v>1.0647912115596736</v>
      </c>
      <c r="AL309" s="98">
        <f t="shared" si="196"/>
        <v>0.3506452790760724</v>
      </c>
      <c r="AM309" s="98" t="str">
        <f t="shared" si="181"/>
        <v>1+5.730238856669i</v>
      </c>
      <c r="AN309" s="98">
        <f t="shared" si="197"/>
        <v>5.8168408397066571</v>
      </c>
      <c r="AO309" s="98">
        <f t="shared" si="198"/>
        <v>1.3980234269446692</v>
      </c>
      <c r="AP309" s="168" t="str">
        <f t="shared" si="199"/>
        <v>-0.321821317595216+0.185726139277644i</v>
      </c>
      <c r="AQ309" s="98">
        <f t="shared" si="200"/>
        <v>-8.5992219296640702</v>
      </c>
      <c r="AR309" s="169">
        <f t="shared" si="201"/>
        <v>150.01034742709976</v>
      </c>
      <c r="AS309" s="168" t="str">
        <f t="shared" si="202"/>
        <v>0.312660028939984+0.298985627939132i</v>
      </c>
      <c r="AT309" s="190">
        <f t="shared" si="203"/>
        <v>-7.2781318666672865</v>
      </c>
      <c r="AU309" s="169">
        <f t="shared" si="204"/>
        <v>43.719266686230569</v>
      </c>
      <c r="AV309" s="225"/>
      <c r="AX309">
        <f t="shared" si="205"/>
        <v>0</v>
      </c>
      <c r="AY309">
        <f t="shared" si="206"/>
        <v>0</v>
      </c>
    </row>
    <row r="310" spans="14:51" x14ac:dyDescent="0.25">
      <c r="N310" s="170">
        <v>92</v>
      </c>
      <c r="O310" s="199">
        <f t="shared" si="207"/>
        <v>8317.6377110267094</v>
      </c>
      <c r="P310" s="189" t="str">
        <f t="shared" si="173"/>
        <v>18.0065359477124</v>
      </c>
      <c r="Q310" s="160" t="str">
        <f t="shared" si="174"/>
        <v>1+16.3956891157226i</v>
      </c>
      <c r="R310" s="160">
        <f t="shared" si="182"/>
        <v>16.426156628360289</v>
      </c>
      <c r="S310" s="160">
        <f t="shared" si="183"/>
        <v>1.5098801457300917</v>
      </c>
      <c r="T310" s="160" t="str">
        <f t="shared" si="175"/>
        <v>1+0.0209045036225464i</v>
      </c>
      <c r="U310" s="160">
        <f t="shared" si="184"/>
        <v>1.0002184752701306</v>
      </c>
      <c r="V310" s="160">
        <f t="shared" si="185"/>
        <v>2.0901459343395414E-2</v>
      </c>
      <c r="W310" s="98" t="str">
        <f t="shared" si="176"/>
        <v>1-0.295326782479186i</v>
      </c>
      <c r="X310" s="160">
        <f t="shared" si="186"/>
        <v>1.0426974194125103</v>
      </c>
      <c r="Y310" s="160">
        <f t="shared" si="187"/>
        <v>-0.28716394379770022</v>
      </c>
      <c r="Z310" s="98" t="str">
        <f t="shared" si="177"/>
        <v>0.999163002228+0.0882746630892567i</v>
      </c>
      <c r="AA310" s="160">
        <f t="shared" si="188"/>
        <v>1.0030548943925213</v>
      </c>
      <c r="AB310" s="160">
        <f t="shared" si="189"/>
        <v>8.8119813566709684E-2</v>
      </c>
      <c r="AC310" s="171" t="str">
        <f t="shared" si="190"/>
        <v>-0.329707563158288-1.09105510581947i</v>
      </c>
      <c r="AD310" s="190">
        <f t="shared" si="191"/>
        <v>1.136453645537157</v>
      </c>
      <c r="AE310" s="169">
        <f t="shared" si="192"/>
        <v>-106.81436993168347</v>
      </c>
      <c r="AF310" s="98" t="str">
        <f t="shared" si="178"/>
        <v>-0.0000816326530612245</v>
      </c>
      <c r="AG310" s="98" t="str">
        <f t="shared" si="179"/>
        <v>0.0012281395878246i</v>
      </c>
      <c r="AH310" s="98">
        <f t="shared" si="193"/>
        <v>1.2281395878246E-3</v>
      </c>
      <c r="AI310" s="98">
        <f t="shared" si="194"/>
        <v>1.5707963267948966</v>
      </c>
      <c r="AJ310" s="98" t="str">
        <f t="shared" si="180"/>
        <v>1+0.374279570178143i</v>
      </c>
      <c r="AK310" s="98">
        <f t="shared" si="195"/>
        <v>1.0677477214458178</v>
      </c>
      <c r="AL310" s="98">
        <f t="shared" si="196"/>
        <v>0.35813891101328826</v>
      </c>
      <c r="AM310" s="98" t="str">
        <f t="shared" si="181"/>
        <v>1+5.86371326612425i</v>
      </c>
      <c r="AN310" s="98">
        <f t="shared" si="197"/>
        <v>5.9483723208388293</v>
      </c>
      <c r="AO310" s="98">
        <f t="shared" si="198"/>
        <v>1.4018809964533823</v>
      </c>
      <c r="AP310" s="168" t="str">
        <f t="shared" si="199"/>
        <v>-0.320041588886142+0.18625357463154i</v>
      </c>
      <c r="AQ310" s="98">
        <f t="shared" si="200"/>
        <v>-8.6290865713918379</v>
      </c>
      <c r="AR310" s="169">
        <f t="shared" si="201"/>
        <v>149.80201639590047</v>
      </c>
      <c r="AS310" s="168" t="str">
        <f t="shared" si="202"/>
        <v>0.308733045959826+0.287773797407516i</v>
      </c>
      <c r="AT310" s="190">
        <f t="shared" si="203"/>
        <v>-7.4926329258546751</v>
      </c>
      <c r="AU310" s="169">
        <f t="shared" si="204"/>
        <v>42.987646464217029</v>
      </c>
      <c r="AV310" s="225"/>
      <c r="AX310">
        <f t="shared" si="205"/>
        <v>0</v>
      </c>
      <c r="AY310">
        <f t="shared" si="206"/>
        <v>0</v>
      </c>
    </row>
    <row r="311" spans="14:51" x14ac:dyDescent="0.25">
      <c r="N311" s="170">
        <v>93</v>
      </c>
      <c r="O311" s="199">
        <f t="shared" si="207"/>
        <v>8511.3803820237772</v>
      </c>
      <c r="P311" s="189" t="str">
        <f t="shared" si="173"/>
        <v>18.0065359477124</v>
      </c>
      <c r="Q311" s="160" t="str">
        <f t="shared" si="174"/>
        <v>1+16.7775937757328i</v>
      </c>
      <c r="R311" s="160">
        <f t="shared" si="182"/>
        <v>16.807369005989845</v>
      </c>
      <c r="S311" s="160">
        <f t="shared" si="183"/>
        <v>1.5112634553636253</v>
      </c>
      <c r="T311" s="160" t="str">
        <f t="shared" si="175"/>
        <v>1+0.0213914320640594i</v>
      </c>
      <c r="U311" s="160">
        <f t="shared" si="184"/>
        <v>1.0002287705149013</v>
      </c>
      <c r="V311" s="160">
        <f t="shared" si="185"/>
        <v>2.1388170100472167E-2</v>
      </c>
      <c r="W311" s="98" t="str">
        <f t="shared" si="176"/>
        <v>1-0.302205826943774i</v>
      </c>
      <c r="X311" s="160">
        <f t="shared" si="186"/>
        <v>1.0446666271298084</v>
      </c>
      <c r="Y311" s="160">
        <f t="shared" si="187"/>
        <v>-0.29347925830783816</v>
      </c>
      <c r="Z311" s="98" t="str">
        <f t="shared" si="177"/>
        <v>0.999123555738284+0.090330844135181i</v>
      </c>
      <c r="AA311" s="160">
        <f t="shared" si="188"/>
        <v>1.0031986548203133</v>
      </c>
      <c r="AB311" s="160">
        <f t="shared" si="189"/>
        <v>9.0164947822003308E-2</v>
      </c>
      <c r="AC311" s="171" t="str">
        <f t="shared" si="190"/>
        <v>-0.332669215045285-1.06514644426818i</v>
      </c>
      <c r="AD311" s="190">
        <f t="shared" si="191"/>
        <v>0.95241118987642981</v>
      </c>
      <c r="AE311" s="169">
        <f t="shared" si="192"/>
        <v>-107.34475969231521</v>
      </c>
      <c r="AF311" s="98" t="str">
        <f t="shared" si="178"/>
        <v>-0.0000816326530612245</v>
      </c>
      <c r="AG311" s="98" t="str">
        <f t="shared" si="179"/>
        <v>0.00125674663376349i</v>
      </c>
      <c r="AH311" s="98">
        <f t="shared" si="193"/>
        <v>1.25674663376349E-3</v>
      </c>
      <c r="AI311" s="98">
        <f t="shared" si="194"/>
        <v>1.5707963267948966</v>
      </c>
      <c r="AJ311" s="98" t="str">
        <f t="shared" si="180"/>
        <v>1+0.382997661317147i</v>
      </c>
      <c r="AK311" s="98">
        <f t="shared" si="195"/>
        <v>1.0708348185291716</v>
      </c>
      <c r="AL311" s="98">
        <f t="shared" si="196"/>
        <v>0.36576381669265334</v>
      </c>
      <c r="AM311" s="98" t="str">
        <f t="shared" si="181"/>
        <v>1+6.00029669396865i</v>
      </c>
      <c r="AN311" s="98">
        <f t="shared" si="197"/>
        <v>6.083055187621687</v>
      </c>
      <c r="AO311" s="98">
        <f t="shared" si="198"/>
        <v>1.4056556677503949</v>
      </c>
      <c r="AP311" s="168" t="str">
        <f t="shared" si="199"/>
        <v>-0.318198960513333+0.18682499518135i</v>
      </c>
      <c r="AQ311" s="98">
        <f t="shared" si="200"/>
        <v>-8.6596909348473403</v>
      </c>
      <c r="AR311" s="169">
        <f t="shared" si="201"/>
        <v>149.58141421565546</v>
      </c>
      <c r="AS311" s="168" t="str">
        <f t="shared" si="202"/>
        <v>0.304850977740031+0.276777566862789i</v>
      </c>
      <c r="AT311" s="190">
        <f t="shared" si="203"/>
        <v>-7.7072797449709096</v>
      </c>
      <c r="AU311" s="169">
        <f t="shared" si="204"/>
        <v>42.236654523340249</v>
      </c>
      <c r="AV311" s="225"/>
      <c r="AX311">
        <f t="shared" si="205"/>
        <v>0</v>
      </c>
      <c r="AY311">
        <f t="shared" si="206"/>
        <v>0</v>
      </c>
    </row>
    <row r="312" spans="14:51" x14ac:dyDescent="0.25">
      <c r="N312" s="170">
        <v>94</v>
      </c>
      <c r="O312" s="199">
        <f t="shared" si="207"/>
        <v>8709.6358995608189</v>
      </c>
      <c r="P312" s="189" t="str">
        <f t="shared" si="173"/>
        <v>18.0065359477124</v>
      </c>
      <c r="Q312" s="160" t="str">
        <f t="shared" si="174"/>
        <v>1+17.1683941380406i</v>
      </c>
      <c r="R312" s="160">
        <f t="shared" si="182"/>
        <v>17.197492761420396</v>
      </c>
      <c r="S312" s="160">
        <f t="shared" si="183"/>
        <v>1.5126154974780712</v>
      </c>
      <c r="T312" s="160" t="str">
        <f t="shared" si="175"/>
        <v>1+0.0218897025260018i</v>
      </c>
      <c r="U312" s="160">
        <f t="shared" si="184"/>
        <v>1.0002395508460344</v>
      </c>
      <c r="V312" s="160">
        <f t="shared" si="185"/>
        <v>2.1886207314253885E-2</v>
      </c>
      <c r="W312" s="98" t="str">
        <f t="shared" si="176"/>
        <v>1-0.309245104937974i</v>
      </c>
      <c r="X312" s="160">
        <f t="shared" si="186"/>
        <v>1.046724670067587</v>
      </c>
      <c r="Y312" s="160">
        <f t="shared" si="187"/>
        <v>-0.2999168130519837</v>
      </c>
      <c r="Z312" s="98" t="str">
        <f t="shared" si="177"/>
        <v>0.999082250192781+0.0924349197903357i</v>
      </c>
      <c r="AA312" s="160">
        <f t="shared" si="188"/>
        <v>1.0033491700534347</v>
      </c>
      <c r="AB312" s="160">
        <f t="shared" si="189"/>
        <v>9.2257190023998903E-2</v>
      </c>
      <c r="AC312" s="171" t="str">
        <f t="shared" si="190"/>
        <v>-0.335489571089863-1.03978689853319i</v>
      </c>
      <c r="AD312" s="190">
        <f t="shared" si="191"/>
        <v>0.76898849052076712</v>
      </c>
      <c r="AE312" s="169">
        <f t="shared" si="192"/>
        <v>-107.88241193392416</v>
      </c>
      <c r="AF312" s="98" t="str">
        <f t="shared" si="178"/>
        <v>-0.0000816326530612245</v>
      </c>
      <c r="AG312" s="98" t="str">
        <f t="shared" si="179"/>
        <v>0.0012860200234026i</v>
      </c>
      <c r="AH312" s="98">
        <f t="shared" si="193"/>
        <v>1.2860200234026001E-3</v>
      </c>
      <c r="AI312" s="98">
        <f t="shared" si="194"/>
        <v>1.5707963267948966</v>
      </c>
      <c r="AJ312" s="98" t="str">
        <f t="shared" si="180"/>
        <v>1+0.391918822885754i</v>
      </c>
      <c r="AK312" s="98">
        <f t="shared" si="195"/>
        <v>1.0740578958939575</v>
      </c>
      <c r="AL312" s="98">
        <f t="shared" si="196"/>
        <v>0.37352049148769351</v>
      </c>
      <c r="AM312" s="98" t="str">
        <f t="shared" si="181"/>
        <v>1+6.14006155854349i</v>
      </c>
      <c r="AN312" s="98">
        <f t="shared" si="197"/>
        <v>6.2209610144015146</v>
      </c>
      <c r="AO312" s="98">
        <f t="shared" si="198"/>
        <v>1.4093490117434226</v>
      </c>
      <c r="AP312" s="168" t="str">
        <f t="shared" si="199"/>
        <v>-0.316292096703109+0.187437795151993i</v>
      </c>
      <c r="AQ312" s="98">
        <f t="shared" si="200"/>
        <v>-8.6910806355206063</v>
      </c>
      <c r="AR312" s="169">
        <f t="shared" si="201"/>
        <v>149.34860250993458</v>
      </c>
      <c r="AS312" s="168" t="str">
        <f t="shared" si="202"/>
        <v>0.30100806355103+0.265992952759914i</v>
      </c>
      <c r="AT312" s="190">
        <f t="shared" si="203"/>
        <v>-7.9220921449998301</v>
      </c>
      <c r="AU312" s="169">
        <f t="shared" si="204"/>
        <v>41.46619057601044</v>
      </c>
      <c r="AV312" s="225"/>
      <c r="AX312">
        <f t="shared" si="205"/>
        <v>0</v>
      </c>
      <c r="AY312">
        <f t="shared" si="206"/>
        <v>0</v>
      </c>
    </row>
    <row r="313" spans="14:51" x14ac:dyDescent="0.25">
      <c r="N313" s="170">
        <v>95</v>
      </c>
      <c r="O313" s="199">
        <f t="shared" si="207"/>
        <v>8912.5093813374679</v>
      </c>
      <c r="P313" s="189" t="str">
        <f t="shared" si="173"/>
        <v>18.0065359477124</v>
      </c>
      <c r="Q313" s="160" t="str">
        <f t="shared" si="174"/>
        <v>1+17.5682974101709i</v>
      </c>
      <c r="R313" s="160">
        <f t="shared" si="182"/>
        <v>17.596734750862659</v>
      </c>
      <c r="S313" s="160">
        <f t="shared" si="183"/>
        <v>1.5139369691604194</v>
      </c>
      <c r="T313" s="160" t="str">
        <f t="shared" si="175"/>
        <v>1+0.0223995791979679i</v>
      </c>
      <c r="U313" s="160">
        <f t="shared" si="184"/>
        <v>1.0002508391139924</v>
      </c>
      <c r="V313" s="160">
        <f t="shared" si="185"/>
        <v>2.2395834061827602E-2</v>
      </c>
      <c r="W313" s="98" t="str">
        <f t="shared" si="176"/>
        <v>1-0.316448348780155i</v>
      </c>
      <c r="X313" s="160">
        <f t="shared" si="186"/>
        <v>1.0488753774618254</v>
      </c>
      <c r="Y313" s="160">
        <f t="shared" si="187"/>
        <v>-0.30647788623640959</v>
      </c>
      <c r="Z313" s="98" t="str">
        <f t="shared" si="177"/>
        <v>0.999038997976893+0.0945880056634842i</v>
      </c>
      <c r="AA313" s="160">
        <f t="shared" si="188"/>
        <v>1.0035067564765419</v>
      </c>
      <c r="AB313" s="160">
        <f t="shared" si="189"/>
        <v>9.4397599932064993E-2</v>
      </c>
      <c r="AC313" s="171" t="str">
        <f t="shared" si="190"/>
        <v>-0.338174493534267-1.01496415865323i</v>
      </c>
      <c r="AD313" s="190">
        <f t="shared" si="191"/>
        <v>0.58621197265820901</v>
      </c>
      <c r="AE313" s="169">
        <f t="shared" si="192"/>
        <v>-108.42748547900996</v>
      </c>
      <c r="AF313" s="98" t="str">
        <f t="shared" si="178"/>
        <v>-0.0000816326530612245</v>
      </c>
      <c r="AG313" s="98" t="str">
        <f t="shared" si="179"/>
        <v>0.00131597527788062i</v>
      </c>
      <c r="AH313" s="98">
        <f t="shared" si="193"/>
        <v>1.31597527788062E-3</v>
      </c>
      <c r="AI313" s="98">
        <f t="shared" si="194"/>
        <v>1.5707963267948966</v>
      </c>
      <c r="AJ313" s="98" t="str">
        <f t="shared" si="180"/>
        <v>1+0.401047785001914i</v>
      </c>
      <c r="AK313" s="98">
        <f t="shared" si="195"/>
        <v>1.077422538215598</v>
      </c>
      <c r="AL313" s="98">
        <f t="shared" si="196"/>
        <v>0.3814093135639634</v>
      </c>
      <c r="AM313" s="98" t="str">
        <f t="shared" si="181"/>
        <v>1+6.28308196503i</v>
      </c>
      <c r="AN313" s="98">
        <f t="shared" si="197"/>
        <v>6.3621630739305353</v>
      </c>
      <c r="AO313" s="98">
        <f t="shared" si="198"/>
        <v>1.4129625834472692</v>
      </c>
      <c r="AP313" s="168" t="str">
        <f t="shared" si="199"/>
        <v>-0.314319707883419+0.188089279335124i</v>
      </c>
      <c r="AQ313" s="98">
        <f t="shared" si="200"/>
        <v>-8.7233015761243067</v>
      </c>
      <c r="AR313" s="169">
        <f t="shared" si="201"/>
        <v>149.10364870723302</v>
      </c>
      <c r="AS313" s="168" t="str">
        <f t="shared" si="202"/>
        <v>0.29719878517338+0.255416241081643i</v>
      </c>
      <c r="AT313" s="190">
        <f t="shared" si="203"/>
        <v>-8.1370896034660998</v>
      </c>
      <c r="AU313" s="169">
        <f t="shared" si="204"/>
        <v>40.676163228223139</v>
      </c>
      <c r="AV313" s="225"/>
      <c r="AX313">
        <f t="shared" si="205"/>
        <v>0</v>
      </c>
      <c r="AY313">
        <f t="shared" si="206"/>
        <v>0</v>
      </c>
    </row>
    <row r="314" spans="14:51" x14ac:dyDescent="0.25">
      <c r="N314" s="170">
        <v>96</v>
      </c>
      <c r="O314" s="199">
        <f t="shared" si="207"/>
        <v>9120.1083935591087</v>
      </c>
      <c r="P314" s="189" t="str">
        <f t="shared" si="173"/>
        <v>18.0065359477124</v>
      </c>
      <c r="Q314" s="160" t="str">
        <f t="shared" si="174"/>
        <v>1+17.977515626132i</v>
      </c>
      <c r="R314" s="160">
        <f t="shared" si="182"/>
        <v>18.005306664642518</v>
      </c>
      <c r="S314" s="160">
        <f t="shared" si="183"/>
        <v>1.5152285526006477</v>
      </c>
      <c r="T314" s="160" t="str">
        <f t="shared" si="175"/>
        <v>1+0.0229213324233183i</v>
      </c>
      <c r="U314" s="160">
        <f t="shared" si="184"/>
        <v>1.0002626592450907</v>
      </c>
      <c r="V314" s="160">
        <f t="shared" si="185"/>
        <v>2.2917319494554046E-2</v>
      </c>
      <c r="W314" s="98" t="str">
        <f t="shared" si="176"/>
        <v>1-0.323819377725549i</v>
      </c>
      <c r="X314" s="160">
        <f t="shared" si="186"/>
        <v>1.0511227280344393</v>
      </c>
      <c r="Y314" s="160">
        <f t="shared" si="187"/>
        <v>-0.31316369630564156</v>
      </c>
      <c r="Z314" s="98" t="str">
        <f t="shared" si="177"/>
        <v>0.99899370734687+0.0967912433492556i</v>
      </c>
      <c r="AA314" s="160">
        <f t="shared" si="188"/>
        <v>1.0036717451974717</v>
      </c>
      <c r="AB314" s="160">
        <f t="shared" si="189"/>
        <v>9.6587259347027651E-2</v>
      </c>
      <c r="AC314" s="171" t="str">
        <f t="shared" si="190"/>
        <v>-0.340729569355248-0.990666131242043i</v>
      </c>
      <c r="AD314" s="190">
        <f t="shared" si="191"/>
        <v>0.4041086937859133</v>
      </c>
      <c r="AE314" s="169">
        <f t="shared" si="192"/>
        <v>-108.98013578729281</v>
      </c>
      <c r="AF314" s="98" t="str">
        <f t="shared" si="178"/>
        <v>-0.0000816326530612245</v>
      </c>
      <c r="AG314" s="98" t="str">
        <f t="shared" si="179"/>
        <v>0.00134662827986995i</v>
      </c>
      <c r="AH314" s="98">
        <f t="shared" si="193"/>
        <v>1.34662827986995E-3</v>
      </c>
      <c r="AI314" s="98">
        <f t="shared" si="194"/>
        <v>1.5707963267948966</v>
      </c>
      <c r="AJ314" s="98" t="str">
        <f t="shared" si="180"/>
        <v>1+0.410389387962177i</v>
      </c>
      <c r="AK314" s="98">
        <f t="shared" si="195"/>
        <v>1.0809345261170864</v>
      </c>
      <c r="AL314" s="98">
        <f t="shared" si="196"/>
        <v>0.38943053705285302</v>
      </c>
      <c r="AM314" s="98" t="str">
        <f t="shared" si="181"/>
        <v>1+6.42943374474079i</v>
      </c>
      <c r="AN314" s="98">
        <f t="shared" si="197"/>
        <v>6.5067363768644872</v>
      </c>
      <c r="AO314" s="98">
        <f t="shared" si="198"/>
        <v>1.4164979211480071</v>
      </c>
      <c r="AP314" s="168" t="str">
        <f t="shared" si="199"/>
        <v>-0.312280558047683+0.188776661795251i</v>
      </c>
      <c r="AQ314" s="98">
        <f t="shared" si="200"/>
        <v>-8.7563999344151604</v>
      </c>
      <c r="AR314" s="169">
        <f t="shared" si="201"/>
        <v>148.84662638419408</v>
      </c>
      <c r="AS314" s="168" t="str">
        <f t="shared" si="202"/>
        <v>0.293417865271092+0.245043981625387i</v>
      </c>
      <c r="AT314" s="190">
        <f t="shared" si="203"/>
        <v>-8.3522912406292562</v>
      </c>
      <c r="AU314" s="169">
        <f t="shared" si="204"/>
        <v>39.866490596901286</v>
      </c>
      <c r="AV314" s="225"/>
      <c r="AX314">
        <f t="shared" si="205"/>
        <v>0</v>
      </c>
      <c r="AY314">
        <f t="shared" si="206"/>
        <v>0</v>
      </c>
    </row>
    <row r="315" spans="14:51" x14ac:dyDescent="0.25">
      <c r="N315" s="170">
        <v>97</v>
      </c>
      <c r="O315" s="199">
        <f t="shared" si="207"/>
        <v>9332.5430079699217</v>
      </c>
      <c r="P315" s="189" t="str">
        <f t="shared" si="173"/>
        <v>18.0065359477124</v>
      </c>
      <c r="Q315" s="160" t="str">
        <f t="shared" si="174"/>
        <v>1+18.3962657588386i</v>
      </c>
      <c r="R315" s="160">
        <f t="shared" si="182"/>
        <v>18.423425139474407</v>
      </c>
      <c r="S315" s="160">
        <f t="shared" si="183"/>
        <v>1.5164909153668042</v>
      </c>
      <c r="T315" s="160" t="str">
        <f t="shared" si="175"/>
        <v>1+0.0234552388425192i</v>
      </c>
      <c r="U315" s="160">
        <f t="shared" si="184"/>
        <v>1.0002750362920989</v>
      </c>
      <c r="V315" s="160">
        <f t="shared" si="185"/>
        <v>2.3450938975730536E-2</v>
      </c>
      <c r="W315" s="98" t="str">
        <f t="shared" si="176"/>
        <v>1-0.331362099991268i</v>
      </c>
      <c r="X315" s="160">
        <f t="shared" si="186"/>
        <v>1.0534708545140787</v>
      </c>
      <c r="Y315" s="160">
        <f t="shared" si="187"/>
        <v>-0.31997539647715695</v>
      </c>
      <c r="Z315" s="98" t="str">
        <f t="shared" si="177"/>
        <v>0.998946282235214+0.0990458010334342i</v>
      </c>
      <c r="AA315" s="160">
        <f t="shared" si="188"/>
        <v>1.0038444827232504</v>
      </c>
      <c r="AB315" s="160">
        <f t="shared" si="189"/>
        <v>9.8827272440379421E-2</v>
      </c>
      <c r="AC315" s="171" t="str">
        <f t="shared" si="190"/>
        <v>-0.34316012121095-0.966880938016975i</v>
      </c>
      <c r="AD315" s="190">
        <f t="shared" si="191"/>
        <v>0.22270634293259045</v>
      </c>
      <c r="AE315" s="169">
        <f t="shared" si="192"/>
        <v>-109.54051466931016</v>
      </c>
      <c r="AF315" s="98" t="str">
        <f t="shared" si="178"/>
        <v>-0.0000816326530612245</v>
      </c>
      <c r="AG315" s="98" t="str">
        <f t="shared" si="179"/>
        <v>0.00137799528199801i</v>
      </c>
      <c r="AH315" s="98">
        <f t="shared" si="193"/>
        <v>1.3779952819980099E-3</v>
      </c>
      <c r="AI315" s="98">
        <f t="shared" si="194"/>
        <v>1.5707963267948966</v>
      </c>
      <c r="AJ315" s="98" t="str">
        <f t="shared" si="180"/>
        <v>1+0.419948584808082i</v>
      </c>
      <c r="AK315" s="98">
        <f t="shared" si="195"/>
        <v>1.0845998404399251</v>
      </c>
      <c r="AL315" s="98">
        <f t="shared" si="196"/>
        <v>0.39758428518440697</v>
      </c>
      <c r="AM315" s="98" t="str">
        <f t="shared" si="181"/>
        <v>1+6.57919449532665i</v>
      </c>
      <c r="AN315" s="98">
        <f t="shared" si="197"/>
        <v>6.6547577121437325</v>
      </c>
      <c r="AO315" s="98">
        <f t="shared" si="198"/>
        <v>1.4199565456529752</v>
      </c>
      <c r="AP315" s="168" t="str">
        <f t="shared" si="199"/>
        <v>-0.310173472450184+0.189497065050384i</v>
      </c>
      <c r="AQ315" s="98">
        <f t="shared" si="200"/>
        <v>-8.7904221465544783</v>
      </c>
      <c r="AR315" s="169">
        <f t="shared" si="201"/>
        <v>148.57761561609863</v>
      </c>
      <c r="AS315" s="168" t="str">
        <f t="shared" si="202"/>
        <v>0.289660266409805+0.234872982178807i</v>
      </c>
      <c r="AT315" s="190">
        <f t="shared" si="203"/>
        <v>-8.5677158036218977</v>
      </c>
      <c r="AU315" s="169">
        <f t="shared" si="204"/>
        <v>39.037100946788492</v>
      </c>
      <c r="AV315" s="225"/>
      <c r="AX315">
        <f t="shared" si="205"/>
        <v>0</v>
      </c>
      <c r="AY315">
        <f t="shared" si="206"/>
        <v>0</v>
      </c>
    </row>
    <row r="316" spans="14:51" x14ac:dyDescent="0.25">
      <c r="N316" s="170">
        <v>98</v>
      </c>
      <c r="O316" s="199">
        <f t="shared" si="207"/>
        <v>9549.9258602143691</v>
      </c>
      <c r="P316" s="189" t="str">
        <f t="shared" si="173"/>
        <v>18.0065359477124</v>
      </c>
      <c r="Q316" s="160" t="str">
        <f t="shared" si="174"/>
        <v>1+18.824769835154i</v>
      </c>
      <c r="R316" s="160">
        <f t="shared" si="182"/>
        <v>18.851311873355765</v>
      </c>
      <c r="S316" s="160">
        <f t="shared" si="183"/>
        <v>1.5177247106780156</v>
      </c>
      <c r="T316" s="160" t="str">
        <f t="shared" si="175"/>
        <v>1+0.0240015815398213i</v>
      </c>
      <c r="U316" s="160">
        <f t="shared" si="184"/>
        <v>1.000287996487218</v>
      </c>
      <c r="V316" s="160">
        <f t="shared" si="185"/>
        <v>2.3996974221188697E-2</v>
      </c>
      <c r="W316" s="98" t="str">
        <f t="shared" si="176"/>
        <v>1-0.3390805148285i</v>
      </c>
      <c r="X316" s="160">
        <f t="shared" si="186"/>
        <v>1.0559240481854557</v>
      </c>
      <c r="Y316" s="160">
        <f t="shared" si="187"/>
        <v>-0.32691406907619991</v>
      </c>
      <c r="Z316" s="98" t="str">
        <f t="shared" si="177"/>
        <v>0.998896622046904+0.101352874112347i</v>
      </c>
      <c r="AA316" s="160">
        <f t="shared" si="188"/>
        <v>1.0040253316662626</v>
      </c>
      <c r="AB316" s="160">
        <f t="shared" si="189"/>
        <v>0.1011187660785647</v>
      </c>
      <c r="AC316" s="171" t="str">
        <f t="shared" si="190"/>
        <v>-0.34547121791895-0.943596914153828i</v>
      </c>
      <c r="AD316" s="190">
        <f t="shared" si="191"/>
        <v>4.2033237283653782E-2</v>
      </c>
      <c r="AE316" s="169">
        <f t="shared" si="192"/>
        <v>-110.10876998799279</v>
      </c>
      <c r="AF316" s="98" t="str">
        <f t="shared" si="178"/>
        <v>-0.0000816326530612245</v>
      </c>
      <c r="AG316" s="98" t="str">
        <f t="shared" si="179"/>
        <v>0.0014100929154645i</v>
      </c>
      <c r="AH316" s="98">
        <f t="shared" si="193"/>
        <v>1.4100929154644999E-3</v>
      </c>
      <c r="AI316" s="98">
        <f t="shared" si="194"/>
        <v>1.5707963267948966</v>
      </c>
      <c r="AJ316" s="98" t="str">
        <f t="shared" si="180"/>
        <v>1+0.429730443952331i</v>
      </c>
      <c r="AK316" s="98">
        <f t="shared" si="195"/>
        <v>1.0884246664144779</v>
      </c>
      <c r="AL316" s="98">
        <f t="shared" si="196"/>
        <v>0.40587054340997258</v>
      </c>
      <c r="AM316" s="98" t="str">
        <f t="shared" si="181"/>
        <v>1+6.73244362191988i</v>
      </c>
      <c r="AN316" s="98">
        <f t="shared" si="197"/>
        <v>6.8063056882812489</v>
      </c>
      <c r="AO316" s="98">
        <f t="shared" si="198"/>
        <v>1.4233399596214922</v>
      </c>
      <c r="AP316" s="168" t="str">
        <f t="shared" si="199"/>
        <v>-0.307997345610308+0.190247519773442i</v>
      </c>
      <c r="AQ316" s="98">
        <f t="shared" si="200"/>
        <v>-8.8254148858178425</v>
      </c>
      <c r="AR316" s="169">
        <f t="shared" si="201"/>
        <v>148.29670333255996</v>
      </c>
      <c r="AS316" s="168" t="str">
        <f t="shared" si="202"/>
        <v>0.285921190687436+0.224900302523266i</v>
      </c>
      <c r="AT316" s="190">
        <f t="shared" si="203"/>
        <v>-8.7833816485341938</v>
      </c>
      <c r="AU316" s="169">
        <f t="shared" si="204"/>
        <v>38.187933344567178</v>
      </c>
      <c r="AV316" s="225"/>
      <c r="AX316">
        <f t="shared" si="205"/>
        <v>0</v>
      </c>
      <c r="AY316">
        <f t="shared" si="206"/>
        <v>0</v>
      </c>
    </row>
    <row r="317" spans="14:51" x14ac:dyDescent="0.25">
      <c r="N317" s="170">
        <v>99</v>
      </c>
      <c r="O317" s="199">
        <f t="shared" si="207"/>
        <v>9772.3722095581161</v>
      </c>
      <c r="P317" s="189" t="str">
        <f t="shared" si="173"/>
        <v>18.0065359477124</v>
      </c>
      <c r="Q317" s="160" t="str">
        <f t="shared" si="174"/>
        <v>1+19.2632550536112i</v>
      </c>
      <c r="R317" s="160">
        <f t="shared" si="182"/>
        <v>19.289193743142231</v>
      </c>
      <c r="S317" s="160">
        <f t="shared" si="183"/>
        <v>1.5189305776752013</v>
      </c>
      <c r="T317" s="160" t="str">
        <f t="shared" si="175"/>
        <v>1+0.0245606501933543i</v>
      </c>
      <c r="U317" s="160">
        <f t="shared" si="184"/>
        <v>1.0003015672975426</v>
      </c>
      <c r="V317" s="160">
        <f t="shared" si="185"/>
        <v>2.4555713442874019E-2</v>
      </c>
      <c r="W317" s="98" t="str">
        <f t="shared" si="176"/>
        <v>1-0.346978714642954i</v>
      </c>
      <c r="X317" s="160">
        <f t="shared" si="186"/>
        <v>1.0584867634577566</v>
      </c>
      <c r="Y317" s="160">
        <f t="shared" si="187"/>
        <v>-0.33398071967824478</v>
      </c>
      <c r="Z317" s="98" t="str">
        <f t="shared" si="177"/>
        <v>0.998844621446023+0.103713685826678i</v>
      </c>
      <c r="AA317" s="160">
        <f t="shared" si="188"/>
        <v>1.0042146714818521</v>
      </c>
      <c r="AB317" s="160">
        <f t="shared" si="189"/>
        <v>0.10346289014139551</v>
      </c>
      <c r="AC317" s="171" t="str">
        <f t="shared" si="190"/>
        <v>-0.347667684480935-0.920802606487457i</v>
      </c>
      <c r="AD317" s="190">
        <f t="shared" si="191"/>
        <v>-0.13788168398933387</v>
      </c>
      <c r="AE317" s="169">
        <f t="shared" si="192"/>
        <v>-110.68504534858067</v>
      </c>
      <c r="AF317" s="98" t="str">
        <f t="shared" si="178"/>
        <v>-0.0000816326530612245</v>
      </c>
      <c r="AG317" s="98" t="str">
        <f t="shared" si="179"/>
        <v>0.00144293819885956i</v>
      </c>
      <c r="AH317" s="98">
        <f t="shared" si="193"/>
        <v>1.4429381988595601E-3</v>
      </c>
      <c r="AI317" s="98">
        <f t="shared" si="194"/>
        <v>1.5707963267948966</v>
      </c>
      <c r="AJ317" s="98" t="str">
        <f t="shared" si="180"/>
        <v>1+0.439740151866118i</v>
      </c>
      <c r="AK317" s="98">
        <f t="shared" si="195"/>
        <v>1.0924153977142745</v>
      </c>
      <c r="AL317" s="98">
        <f t="shared" si="196"/>
        <v>0.41428915254840132</v>
      </c>
      <c r="AM317" s="98" t="str">
        <f t="shared" si="181"/>
        <v>1+6.88926237923588i</v>
      </c>
      <c r="AN317" s="98">
        <f t="shared" si="197"/>
        <v>6.9614607755811422</v>
      </c>
      <c r="AO317" s="98">
        <f t="shared" si="198"/>
        <v>1.426649646971385</v>
      </c>
      <c r="AP317" s="168" t="str">
        <f t="shared" si="199"/>
        <v>-0.305751149597394+0.191024965060638i</v>
      </c>
      <c r="AQ317" s="98">
        <f t="shared" si="200"/>
        <v>-8.8614250364854197</v>
      </c>
      <c r="AR317" s="169">
        <f t="shared" si="201"/>
        <v>148.00398367621435</v>
      </c>
      <c r="AS317" s="168" t="str">
        <f t="shared" si="202"/>
        <v>0.282196079939921+0.215123248205133i</v>
      </c>
      <c r="AT317" s="190">
        <f t="shared" si="203"/>
        <v>-8.9993067204747543</v>
      </c>
      <c r="AU317" s="169">
        <f t="shared" si="204"/>
        <v>37.31893832763361</v>
      </c>
      <c r="AV317" s="225"/>
      <c r="AX317">
        <f t="shared" si="205"/>
        <v>0</v>
      </c>
      <c r="AY317">
        <f t="shared" si="206"/>
        <v>0</v>
      </c>
    </row>
    <row r="318" spans="14:51" x14ac:dyDescent="0.25">
      <c r="N318" s="170">
        <v>100</v>
      </c>
      <c r="O318" s="199">
        <f t="shared" si="207"/>
        <v>10000</v>
      </c>
      <c r="P318" s="189" t="str">
        <f t="shared" si="173"/>
        <v>18.0065359477124</v>
      </c>
      <c r="Q318" s="160" t="str">
        <f t="shared" si="174"/>
        <v>1+19.7119539048771i</v>
      </c>
      <c r="R318" s="160">
        <f t="shared" si="182"/>
        <v>19.737302924867915</v>
      </c>
      <c r="S318" s="160">
        <f t="shared" si="183"/>
        <v>1.5201091416892918</v>
      </c>
      <c r="T318" s="160" t="str">
        <f t="shared" si="175"/>
        <v>1+0.0251327412287184i</v>
      </c>
      <c r="U318" s="160">
        <f t="shared" si="184"/>
        <v>1.0003157774831255</v>
      </c>
      <c r="V318" s="160">
        <f t="shared" si="185"/>
        <v>2.5127451495457819E-2</v>
      </c>
      <c r="W318" s="98" t="str">
        <f t="shared" si="176"/>
        <v>1-0.355060887164718i</v>
      </c>
      <c r="X318" s="160">
        <f t="shared" si="186"/>
        <v>1.0611636224419854</v>
      </c>
      <c r="Y318" s="160">
        <f t="shared" si="187"/>
        <v>-0.34117627106866538</v>
      </c>
      <c r="Z318" s="98" t="str">
        <f t="shared" si="177"/>
        <v>0.998790170132325+0.106129487910048i</v>
      </c>
      <c r="AA318" s="160">
        <f t="shared" si="188"/>
        <v>1.0044128992386585</v>
      </c>
      <c r="AB318" s="160">
        <f t="shared" si="189"/>
        <v>0.10586081783358123</v>
      </c>
      <c r="AC318" s="171" t="str">
        <f t="shared" si="190"/>
        <v>-0.349754111669332-0.898486771576336i</v>
      </c>
      <c r="AD318" s="190">
        <f t="shared" si="191"/>
        <v>-0.3170088688984346</v>
      </c>
      <c r="AE318" s="169">
        <f t="shared" si="192"/>
        <v>-111.26947977735433</v>
      </c>
      <c r="AF318" s="98" t="str">
        <f t="shared" si="178"/>
        <v>-0.0000816326530612245</v>
      </c>
      <c r="AG318" s="98" t="str">
        <f t="shared" si="179"/>
        <v>0.0014765485471872i</v>
      </c>
      <c r="AH318" s="98">
        <f t="shared" si="193"/>
        <v>1.4765485471871999E-3</v>
      </c>
      <c r="AI318" s="98">
        <f t="shared" si="194"/>
        <v>1.5707963267948966</v>
      </c>
      <c r="AJ318" s="98" t="str">
        <f t="shared" si="180"/>
        <v>1+0.449983015829073i</v>
      </c>
      <c r="AK318" s="98">
        <f t="shared" si="195"/>
        <v>1.0965786403786222</v>
      </c>
      <c r="AL318" s="98">
        <f t="shared" si="196"/>
        <v>0.42283980199250421</v>
      </c>
      <c r="AM318" s="98" t="str">
        <f t="shared" si="181"/>
        <v>1+7.0497339146555i</v>
      </c>
      <c r="AN318" s="98">
        <f t="shared" si="197"/>
        <v>7.1203053493122024</v>
      </c>
      <c r="AO318" s="98">
        <f t="shared" si="198"/>
        <v>1.429887072356643</v>
      </c>
      <c r="AP318" s="168" t="str">
        <f t="shared" si="199"/>
        <v>-0.30343394256244+0.191826249312768i</v>
      </c>
      <c r="AQ318" s="98">
        <f t="shared" si="200"/>
        <v>-8.898499662759118</v>
      </c>
      <c r="AR318" s="169">
        <f t="shared" si="201"/>
        <v>147.69955836203508</v>
      </c>
      <c r="AS318" s="168" t="str">
        <f t="shared" si="202"/>
        <v>0.278480616479876+0.205539364016359i</v>
      </c>
      <c r="AT318" s="190">
        <f t="shared" si="203"/>
        <v>-9.2155085316575445</v>
      </c>
      <c r="AU318" s="169">
        <f t="shared" si="204"/>
        <v>36.4300785846807</v>
      </c>
      <c r="AV318" s="225"/>
      <c r="AX318">
        <f t="shared" si="205"/>
        <v>0</v>
      </c>
      <c r="AY318">
        <f t="shared" si="206"/>
        <v>0</v>
      </c>
    </row>
    <row r="319" spans="14:51" x14ac:dyDescent="0.25">
      <c r="N319" s="170">
        <v>1</v>
      </c>
      <c r="O319" s="199">
        <f>10^(4+(N319/100))</f>
        <v>10232.929922807549</v>
      </c>
      <c r="P319" s="189" t="str">
        <f t="shared" si="173"/>
        <v>18.0065359477124</v>
      </c>
      <c r="Q319" s="160" t="str">
        <f t="shared" si="174"/>
        <v>1+20.171104295022i</v>
      </c>
      <c r="R319" s="160">
        <f t="shared" si="182"/>
        <v>20.195877016872902</v>
      </c>
      <c r="S319" s="160">
        <f t="shared" si="183"/>
        <v>1.5212610145067673</v>
      </c>
      <c r="T319" s="160" t="str">
        <f t="shared" si="175"/>
        <v>1+0.0257181579761531i</v>
      </c>
      <c r="U319" s="160">
        <f t="shared" si="184"/>
        <v>1.0003306571577653</v>
      </c>
      <c r="V319" s="160">
        <f t="shared" si="185"/>
        <v>2.5712490026028951E-2</v>
      </c>
      <c r="W319" s="98" t="str">
        <f t="shared" si="176"/>
        <v>1-0.363331317668644i</v>
      </c>
      <c r="X319" s="160">
        <f t="shared" si="186"/>
        <v>1.0639594195263431</v>
      </c>
      <c r="Y319" s="160">
        <f t="shared" si="187"/>
        <v>-0.34850155703121694</v>
      </c>
      <c r="Z319" s="98" t="str">
        <f t="shared" si="177"/>
        <v>0.998733152607273+0.108601561252697i</v>
      </c>
      <c r="AA319" s="160">
        <f t="shared" si="188"/>
        <v>1.0046204304230457</v>
      </c>
      <c r="AB319" s="160">
        <f t="shared" si="189"/>
        <v>0.10831374598826869</v>
      </c>
      <c r="AC319" s="171" t="str">
        <f t="shared" si="190"/>
        <v>-0.351734865190844-0.876638373648322i</v>
      </c>
      <c r="AD319" s="190">
        <f t="shared" si="191"/>
        <v>-0.49531816501458908</v>
      </c>
      <c r="AE319" s="169">
        <f t="shared" si="192"/>
        <v>-111.8622073897703</v>
      </c>
      <c r="AF319" s="98" t="str">
        <f t="shared" si="178"/>
        <v>-0.0000816326530612245</v>
      </c>
      <c r="AG319" s="98" t="str">
        <f t="shared" si="179"/>
        <v>0.00151094178109899i</v>
      </c>
      <c r="AH319" s="98">
        <f t="shared" si="193"/>
        <v>1.51094178109899E-3</v>
      </c>
      <c r="AI319" s="98">
        <f t="shared" si="194"/>
        <v>1.5707963267948966</v>
      </c>
      <c r="AJ319" s="98" t="str">
        <f t="shared" si="180"/>
        <v>1+0.46046446674325i</v>
      </c>
      <c r="AK319" s="98">
        <f t="shared" si="195"/>
        <v>1.1009212165877926</v>
      </c>
      <c r="AL319" s="98">
        <f t="shared" si="196"/>
        <v>0.43152202301528347</v>
      </c>
      <c r="AM319" s="98" t="str">
        <f t="shared" si="181"/>
        <v>1+7.21394331231094i</v>
      </c>
      <c r="AN319" s="98">
        <f t="shared" si="197"/>
        <v>7.2829237338609936</v>
      </c>
      <c r="AO319" s="98">
        <f t="shared" si="198"/>
        <v>1.4330536807116951</v>
      </c>
      <c r="AP319" s="168" t="str">
        <f t="shared" si="199"/>
        <v>-0.301044877476879+0.192648131774222i</v>
      </c>
      <c r="AQ319" s="98">
        <f t="shared" si="200"/>
        <v>-8.9366859725779939</v>
      </c>
      <c r="AR319" s="169">
        <f t="shared" si="201"/>
        <v>147.38353703474542</v>
      </c>
      <c r="AS319" s="168" t="str">
        <f t="shared" si="202"/>
        <v>0.274770724320666+0.196146427127616i</v>
      </c>
      <c r="AT319" s="190">
        <f t="shared" si="203"/>
        <v>-9.4320041375925712</v>
      </c>
      <c r="AU319" s="169">
        <f t="shared" si="204"/>
        <v>35.521329644975118</v>
      </c>
      <c r="AV319" s="225"/>
      <c r="AX319">
        <f t="shared" si="205"/>
        <v>0</v>
      </c>
      <c r="AY319">
        <f t="shared" si="206"/>
        <v>0</v>
      </c>
    </row>
    <row r="320" spans="14:51" x14ac:dyDescent="0.25">
      <c r="N320" s="170">
        <v>2</v>
      </c>
      <c r="O320" s="199">
        <f t="shared" ref="O320:O383" si="208">10^(4+(N320/100))</f>
        <v>10471.285480509003</v>
      </c>
      <c r="P320" s="189" t="str">
        <f t="shared" si="173"/>
        <v>18.0065359477124</v>
      </c>
      <c r="Q320" s="160" t="str">
        <f t="shared" si="174"/>
        <v>1+20.6409496716603i</v>
      </c>
      <c r="R320" s="160">
        <f t="shared" si="182"/>
        <v>20.66515916580401</v>
      </c>
      <c r="S320" s="160">
        <f t="shared" si="183"/>
        <v>1.5223867946323599</v>
      </c>
      <c r="T320" s="160" t="str">
        <f t="shared" si="175"/>
        <v>1+0.0263172108313668i</v>
      </c>
      <c r="U320" s="160">
        <f t="shared" si="184"/>
        <v>1.000346237852646</v>
      </c>
      <c r="V320" s="160">
        <f t="shared" si="185"/>
        <v>2.6311137626913155E-2</v>
      </c>
      <c r="W320" s="98" t="str">
        <f t="shared" si="176"/>
        <v>1-0.371794391246456i</v>
      </c>
      <c r="X320" s="160">
        <f t="shared" si="186"/>
        <v>1.066879125938043</v>
      </c>
      <c r="Y320" s="160">
        <f t="shared" si="187"/>
        <v>-0.35595731597924601</v>
      </c>
      <c r="Z320" s="98" t="str">
        <f t="shared" si="177"/>
        <v>0.998673447929052+0.111131216580634i</v>
      </c>
      <c r="AA320" s="160">
        <f t="shared" si="188"/>
        <v>1.0048376997790205</v>
      </c>
      <c r="AB320" s="160">
        <f t="shared" si="189"/>
        <v>0.11082289536142613</v>
      </c>
      <c r="AC320" s="171" t="str">
        <f t="shared" si="190"/>
        <v>-0.353614094441537-0.855246582443588i</v>
      </c>
      <c r="AD320" s="190">
        <f t="shared" si="191"/>
        <v>-0.67277883525867443</v>
      </c>
      <c r="AE320" s="169">
        <f t="shared" si="192"/>
        <v>-112.46335704871896</v>
      </c>
      <c r="AF320" s="98" t="str">
        <f t="shared" si="178"/>
        <v>-0.0000816326530612245</v>
      </c>
      <c r="AG320" s="98" t="str">
        <f t="shared" si="179"/>
        <v>0.0015461361363428i</v>
      </c>
      <c r="AH320" s="98">
        <f t="shared" si="193"/>
        <v>1.5461361363427999E-3</v>
      </c>
      <c r="AI320" s="98">
        <f t="shared" si="194"/>
        <v>1.5707963267948966</v>
      </c>
      <c r="AJ320" s="98" t="str">
        <f t="shared" si="180"/>
        <v>1+0.471190062012662i</v>
      </c>
      <c r="AK320" s="98">
        <f t="shared" si="195"/>
        <v>1.1054501682751223</v>
      </c>
      <c r="AL320" s="98">
        <f t="shared" si="196"/>
        <v>0.44033518221829043</v>
      </c>
      <c r="AM320" s="98" t="str">
        <f t="shared" si="181"/>
        <v>1+7.3819776381984i</v>
      </c>
      <c r="AN320" s="98">
        <f t="shared" si="197"/>
        <v>7.4494022478895054</v>
      </c>
      <c r="AO320" s="98">
        <f t="shared" si="198"/>
        <v>1.4361508968580126</v>
      </c>
      <c r="AP320" s="168" t="str">
        <f t="shared" si="199"/>
        <v>-0.29858321103261+0.193487284772825i</v>
      </c>
      <c r="AQ320" s="98">
        <f t="shared" si="200"/>
        <v>-8.9760312762268484</v>
      </c>
      <c r="AR320" s="169">
        <f t="shared" si="201"/>
        <v>147.05603762165995</v>
      </c>
      <c r="AS320" s="168" t="str">
        <f t="shared" si="202"/>
        <v>0.271062570832991+0.186942439819778i</v>
      </c>
      <c r="AT320" s="190">
        <f t="shared" si="203"/>
        <v>-9.6488101114855152</v>
      </c>
      <c r="AU320" s="169">
        <f t="shared" si="204"/>
        <v>34.592680572940971</v>
      </c>
      <c r="AV320" s="225"/>
      <c r="AX320">
        <f t="shared" si="205"/>
        <v>0</v>
      </c>
      <c r="AY320">
        <f t="shared" si="206"/>
        <v>0</v>
      </c>
    </row>
    <row r="321" spans="14:51" x14ac:dyDescent="0.25">
      <c r="N321" s="170">
        <v>3</v>
      </c>
      <c r="O321" s="199">
        <f t="shared" si="208"/>
        <v>10715.193052376071</v>
      </c>
      <c r="P321" s="189" t="str">
        <f t="shared" si="173"/>
        <v>18.0065359477124</v>
      </c>
      <c r="Q321" s="160" t="str">
        <f t="shared" si="174"/>
        <v>1+21.1217391530297i</v>
      </c>
      <c r="R321" s="160">
        <f t="shared" si="182"/>
        <v>21.145398195556112</v>
      </c>
      <c r="S321" s="160">
        <f t="shared" si="183"/>
        <v>1.5234870675487699</v>
      </c>
      <c r="T321" s="160" t="str">
        <f t="shared" si="175"/>
        <v>1+0.0269302174201128i</v>
      </c>
      <c r="U321" s="160">
        <f t="shared" si="184"/>
        <v>1.0003625525829596</v>
      </c>
      <c r="V321" s="160">
        <f t="shared" si="185"/>
        <v>2.6923709991667977E-2</v>
      </c>
      <c r="W321" s="98" t="str">
        <f t="shared" si="176"/>
        <v>1-0.380454595131787i</v>
      </c>
      <c r="X321" s="160">
        <f t="shared" si="186"/>
        <v>1.0699278942792789</v>
      </c>
      <c r="Y321" s="160">
        <f t="shared" si="187"/>
        <v>-0.3635441844459294</v>
      </c>
      <c r="Z321" s="98" t="str">
        <f t="shared" si="177"/>
        <v>0.998610929456034+0.113719795150597i</v>
      </c>
      <c r="AA321" s="160">
        <f t="shared" si="188"/>
        <v>1.0050651621850883</v>
      </c>
      <c r="AB321" s="160">
        <f t="shared" si="189"/>
        <v>0.11338951091578735</v>
      </c>
      <c r="AC321" s="171" t="str">
        <f t="shared" si="190"/>
        <v>-0.355395740867874-0.834300770969987i</v>
      </c>
      <c r="AD321" s="190">
        <f t="shared" si="191"/>
        <v>-0.84935957731692924</v>
      </c>
      <c r="AE321" s="169">
        <f t="shared" si="192"/>
        <v>-113.07305201375438</v>
      </c>
      <c r="AF321" s="98" t="str">
        <f t="shared" si="178"/>
        <v>-0.0000816326530612245</v>
      </c>
      <c r="AG321" s="98" t="str">
        <f t="shared" si="179"/>
        <v>0.00158215027343163i</v>
      </c>
      <c r="AH321" s="98">
        <f t="shared" si="193"/>
        <v>1.58215027343163E-3</v>
      </c>
      <c r="AI321" s="98">
        <f t="shared" si="194"/>
        <v>1.5707963267948966</v>
      </c>
      <c r="AJ321" s="98" t="str">
        <f t="shared" si="180"/>
        <v>1+0.482165488489891i</v>
      </c>
      <c r="AK321" s="98">
        <f t="shared" si="195"/>
        <v>1.1101727605605785</v>
      </c>
      <c r="AL321" s="98">
        <f t="shared" si="196"/>
        <v>0.44927847516710667</v>
      </c>
      <c r="AM321" s="98" t="str">
        <f t="shared" si="181"/>
        <v>1+7.55392598634165i</v>
      </c>
      <c r="AN321" s="98">
        <f t="shared" si="197"/>
        <v>7.6198292505231153</v>
      </c>
      <c r="AO321" s="98">
        <f t="shared" si="198"/>
        <v>1.4391801251689431</v>
      </c>
      <c r="AP321" s="168" t="str">
        <f t="shared" si="199"/>
        <v>-0.296048312651203+0.194340296701138i</v>
      </c>
      <c r="AQ321" s="98">
        <f t="shared" si="200"/>
        <v>-9.0165829396619852</v>
      </c>
      <c r="AR321" s="169">
        <f t="shared" si="201"/>
        <v>146.71718667814159</v>
      </c>
      <c r="AS321" s="168" t="str">
        <f t="shared" si="202"/>
        <v>0.267352568775654+0.177925621762679i</v>
      </c>
      <c r="AT321" s="190">
        <f t="shared" si="203"/>
        <v>-9.8659425169789099</v>
      </c>
      <c r="AU321" s="169">
        <f t="shared" si="204"/>
        <v>33.644134664387167</v>
      </c>
      <c r="AV321" s="225"/>
      <c r="AX321">
        <f t="shared" si="205"/>
        <v>0</v>
      </c>
      <c r="AY321">
        <f t="shared" si="206"/>
        <v>0</v>
      </c>
    </row>
    <row r="322" spans="14:51" x14ac:dyDescent="0.25">
      <c r="N322" s="170">
        <v>4</v>
      </c>
      <c r="O322" s="199">
        <f t="shared" si="208"/>
        <v>10964.781961431856</v>
      </c>
      <c r="P322" s="189" t="str">
        <f t="shared" si="173"/>
        <v>18.0065359477124</v>
      </c>
      <c r="Q322" s="160" t="str">
        <f t="shared" si="174"/>
        <v>1+21.6137276600773i</v>
      </c>
      <c r="R322" s="160">
        <f t="shared" si="182"/>
        <v>21.636848739222412</v>
      </c>
      <c r="S322" s="160">
        <f t="shared" si="183"/>
        <v>1.5245624059732772</v>
      </c>
      <c r="T322" s="160" t="str">
        <f t="shared" si="175"/>
        <v>1+0.0275575027665986i</v>
      </c>
      <c r="U322" s="160">
        <f t="shared" si="184"/>
        <v>1.0003796359176507</v>
      </c>
      <c r="V322" s="160">
        <f t="shared" si="185"/>
        <v>2.7550530074299341E-2</v>
      </c>
      <c r="W322" s="98" t="str">
        <f t="shared" si="176"/>
        <v>1-0.389316521079369i</v>
      </c>
      <c r="X322" s="160">
        <f t="shared" si="186"/>
        <v>1.073111063024393</v>
      </c>
      <c r="Y322" s="160">
        <f t="shared" si="187"/>
        <v>-0.37126269045236621</v>
      </c>
      <c r="Z322" s="98" t="str">
        <f t="shared" si="177"/>
        <v>0.998545464578157+0.116368669461209i</v>
      </c>
      <c r="AA322" s="160">
        <f t="shared" si="188"/>
        <v>1.0053032935695474</v>
      </c>
      <c r="AB322" s="160">
        <f t="shared" si="189"/>
        <v>0.11601486209301466</v>
      </c>
      <c r="AC322" s="171" t="str">
        <f t="shared" si="190"/>
        <v>-0.35708354594764-0.813790513184813i</v>
      </c>
      <c r="AD322" s="190">
        <f t="shared" si="191"/>
        <v>-1.025028546892037</v>
      </c>
      <c r="AE322" s="169">
        <f t="shared" si="192"/>
        <v>-113.69140958228806</v>
      </c>
      <c r="AF322" s="98" t="str">
        <f t="shared" si="178"/>
        <v>-0.0000816326530612245</v>
      </c>
      <c r="AG322" s="98" t="str">
        <f t="shared" si="179"/>
        <v>0.00161900328753767i</v>
      </c>
      <c r="AH322" s="98">
        <f t="shared" si="193"/>
        <v>1.61900328753767E-3</v>
      </c>
      <c r="AI322" s="98">
        <f t="shared" si="194"/>
        <v>1.5707963267948966</v>
      </c>
      <c r="AJ322" s="98" t="str">
        <f t="shared" si="180"/>
        <v>1+0.493396565491332i</v>
      </c>
      <c r="AK322" s="98">
        <f t="shared" si="195"/>
        <v>1.1150964849907126</v>
      </c>
      <c r="AL322" s="98">
        <f t="shared" si="196"/>
        <v>0.45835092026142182</v>
      </c>
      <c r="AM322" s="98" t="str">
        <f t="shared" si="181"/>
        <v>1+7.7298795260309i</v>
      </c>
      <c r="AN322" s="98">
        <f t="shared" si="197"/>
        <v>7.794295188594778</v>
      </c>
      <c r="AO322" s="98">
        <f t="shared" si="198"/>
        <v>1.4421427492888668</v>
      </c>
      <c r="AP322" s="168" t="str">
        <f t="shared" si="199"/>
        <v>-0.293439673543939+0.195203675776561i</v>
      </c>
      <c r="AQ322" s="98">
        <f t="shared" si="200"/>
        <v>-9.0583883325098302</v>
      </c>
      <c r="AR322" s="169">
        <f t="shared" si="201"/>
        <v>146.3671197227284</v>
      </c>
      <c r="AS322" s="168" t="str">
        <f t="shared" si="202"/>
        <v>0.263637378636557+0.169094401793798i</v>
      </c>
      <c r="AT322" s="190">
        <f t="shared" si="203"/>
        <v>-10.083416879401874</v>
      </c>
      <c r="AU322" s="169">
        <f t="shared" si="204"/>
        <v>32.675710140440287</v>
      </c>
      <c r="AV322" s="225"/>
      <c r="AX322">
        <f t="shared" si="205"/>
        <v>0</v>
      </c>
      <c r="AY322">
        <f t="shared" si="206"/>
        <v>0</v>
      </c>
    </row>
    <row r="323" spans="14:51" x14ac:dyDescent="0.25">
      <c r="N323" s="170">
        <v>5</v>
      </c>
      <c r="O323" s="199">
        <f t="shared" si="208"/>
        <v>11220.184543019639</v>
      </c>
      <c r="P323" s="189" t="str">
        <f t="shared" si="173"/>
        <v>18.0065359477124</v>
      </c>
      <c r="Q323" s="160" t="str">
        <f t="shared" si="174"/>
        <v>1+22.1171760516218i</v>
      </c>
      <c r="R323" s="160">
        <f t="shared" si="182"/>
        <v>22.139771374122923</v>
      </c>
      <c r="S323" s="160">
        <f t="shared" si="183"/>
        <v>1.5256133701111263</v>
      </c>
      <c r="T323" s="160" t="str">
        <f t="shared" si="175"/>
        <v>1+0.0281993994658178i</v>
      </c>
      <c r="U323" s="160">
        <f t="shared" si="184"/>
        <v>1.0003975240524303</v>
      </c>
      <c r="V323" s="160">
        <f t="shared" si="185"/>
        <v>2.819192825174574E-2</v>
      </c>
      <c r="W323" s="98" t="str">
        <f t="shared" si="176"/>
        <v>1-0.398384867799641i</v>
      </c>
      <c r="X323" s="160">
        <f t="shared" si="186"/>
        <v>1.0764341609646813</v>
      </c>
      <c r="Y323" s="160">
        <f t="shared" si="187"/>
        <v>-0.37911324677500596</v>
      </c>
      <c r="Z323" s="98" t="str">
        <f t="shared" si="177"/>
        <v>0.998476914435637+0.119079243980691i</v>
      </c>
      <c r="AA323" s="160">
        <f t="shared" si="188"/>
        <v>1.0055525918657477</v>
      </c>
      <c r="AB323" s="160">
        <f t="shared" si="189"/>
        <v>0.11870024307260914</v>
      </c>
      <c r="AC323" s="171" t="str">
        <f t="shared" si="190"/>
        <v>-0.358681058804557-0.793705581616572i</v>
      </c>
      <c r="AD323" s="190">
        <f t="shared" si="191"/>
        <v>-1.1997533849932631</v>
      </c>
      <c r="AE323" s="169">
        <f t="shared" si="192"/>
        <v>-114.31854072388391</v>
      </c>
      <c r="AF323" s="98" t="str">
        <f t="shared" si="178"/>
        <v>-0.0000816326530612245</v>
      </c>
      <c r="AG323" s="98" t="str">
        <f t="shared" si="179"/>
        <v>0.0016567147186168i</v>
      </c>
      <c r="AH323" s="98">
        <f t="shared" si="193"/>
        <v>1.6567147186168001E-3</v>
      </c>
      <c r="AI323" s="98">
        <f t="shared" si="194"/>
        <v>1.5707963267948966</v>
      </c>
      <c r="AJ323" s="98" t="str">
        <f t="shared" si="180"/>
        <v>1+0.504889247882672i</v>
      </c>
      <c r="AK323" s="98">
        <f t="shared" si="195"/>
        <v>1.1202290625704772</v>
      </c>
      <c r="AL323" s="98">
        <f t="shared" si="196"/>
        <v>0.46755135288942506</v>
      </c>
      <c r="AM323" s="98" t="str">
        <f t="shared" si="181"/>
        <v>1+7.90993155016189i</v>
      </c>
      <c r="AN323" s="98">
        <f t="shared" si="197"/>
        <v>7.972892644971866</v>
      </c>
      <c r="AO323" s="98">
        <f t="shared" si="198"/>
        <v>1.4450401319029589</v>
      </c>
      <c r="AP323" s="168" t="str">
        <f t="shared" si="199"/>
        <v>-0.290756915758144+0.196073854613433i</v>
      </c>
      <c r="AQ323" s="98">
        <f t="shared" si="200"/>
        <v>-9.1014947707291896</v>
      </c>
      <c r="AR323" s="169">
        <f t="shared" si="201"/>
        <v>146.00598155887138</v>
      </c>
      <c r="AS323" s="168" t="str">
        <f t="shared" si="202"/>
        <v>0.259913911214636+0.160447409154221i</v>
      </c>
      <c r="AT323" s="190">
        <f t="shared" si="203"/>
        <v>-10.301248155722472</v>
      </c>
      <c r="AU323" s="169">
        <f t="shared" si="204"/>
        <v>31.687440834987452</v>
      </c>
      <c r="AV323" s="225"/>
      <c r="AX323">
        <f t="shared" si="205"/>
        <v>0</v>
      </c>
      <c r="AY323">
        <f t="shared" si="206"/>
        <v>0</v>
      </c>
    </row>
    <row r="324" spans="14:51" x14ac:dyDescent="0.25">
      <c r="N324" s="170">
        <v>6</v>
      </c>
      <c r="O324" s="199">
        <f t="shared" si="208"/>
        <v>11481.536214968832</v>
      </c>
      <c r="P324" s="189" t="str">
        <f t="shared" si="173"/>
        <v>18.0065359477124</v>
      </c>
      <c r="Q324" s="160" t="str">
        <f t="shared" si="174"/>
        <v>1+22.6323512626643i</v>
      </c>
      <c r="R324" s="160">
        <f t="shared" si="182"/>
        <v>22.654432759983692</v>
      </c>
      <c r="S324" s="160">
        <f t="shared" si="183"/>
        <v>1.5266405079055962</v>
      </c>
      <c r="T324" s="160" t="str">
        <f t="shared" si="175"/>
        <v>1+0.028856247859897i</v>
      </c>
      <c r="U324" s="160">
        <f t="shared" si="184"/>
        <v>1.0004162548862108</v>
      </c>
      <c r="V324" s="160">
        <f t="shared" si="185"/>
        <v>2.8848242489675859E-2</v>
      </c>
      <c r="W324" s="98" t="str">
        <f t="shared" si="176"/>
        <v>1-0.407664443450067i</v>
      </c>
      <c r="X324" s="160">
        <f t="shared" si="186"/>
        <v>1.0799029115867096</v>
      </c>
      <c r="Y324" s="160">
        <f t="shared" si="187"/>
        <v>-0.3870961441366485</v>
      </c>
      <c r="Z324" s="98" t="str">
        <f t="shared" si="177"/>
        <v>0.998405133624431+0.121852955891531i</v>
      </c>
      <c r="AA324" s="160">
        <f t="shared" si="188"/>
        <v>1.0058135780089277</v>
      </c>
      <c r="AB324" s="160">
        <f t="shared" si="189"/>
        <v>0.12144697301602174</v>
      </c>
      <c r="AC324" s="171" t="str">
        <f t="shared" si="190"/>
        <v>-0.360191643469892-0.774035944939112i</v>
      </c>
      <c r="AD324" s="190">
        <f t="shared" si="191"/>
        <v>-1.3735012494685517</v>
      </c>
      <c r="AE324" s="169">
        <f t="shared" si="192"/>
        <v>-114.95454970894563</v>
      </c>
      <c r="AF324" s="98" t="str">
        <f t="shared" si="178"/>
        <v>-0.0000816326530612245</v>
      </c>
      <c r="AG324" s="98" t="str">
        <f t="shared" si="179"/>
        <v>0.00169530456176895i</v>
      </c>
      <c r="AH324" s="98">
        <f t="shared" si="193"/>
        <v>1.6953045617689501E-3</v>
      </c>
      <c r="AI324" s="98">
        <f t="shared" si="194"/>
        <v>1.5707963267948966</v>
      </c>
      <c r="AJ324" s="98" t="str">
        <f t="shared" si="180"/>
        <v>1+0.516649629236239i</v>
      </c>
      <c r="AK324" s="98">
        <f t="shared" si="195"/>
        <v>1.1255784465731136</v>
      </c>
      <c r="AL324" s="98">
        <f t="shared" si="196"/>
        <v>0.47687841991817936</v>
      </c>
      <c r="AM324" s="98" t="str">
        <f t="shared" si="181"/>
        <v>1+8.09417752470111i</v>
      </c>
      <c r="AN324" s="98">
        <f t="shared" si="197"/>
        <v>8.1557163879929391</v>
      </c>
      <c r="AO324" s="98">
        <f t="shared" si="198"/>
        <v>1.4478736145540358</v>
      </c>
      <c r="AP324" s="168" t="str">
        <f t="shared" si="199"/>
        <v>-0.287999801139273+0.19694719563532i</v>
      </c>
      <c r="AQ324" s="98">
        <f t="shared" si="200"/>
        <v>-9.1459494539651782</v>
      </c>
      <c r="AR324" s="169">
        <f t="shared" si="201"/>
        <v>145.63392658011841</v>
      </c>
      <c r="AS324" s="168" t="str">
        <f t="shared" si="202"/>
        <v>0.25617933036805+0.151983464144441i</v>
      </c>
      <c r="AT324" s="190">
        <f t="shared" si="203"/>
        <v>-10.51945070343373</v>
      </c>
      <c r="AU324" s="169">
        <f t="shared" si="204"/>
        <v>30.679376871172732</v>
      </c>
      <c r="AV324" s="225"/>
      <c r="AX324">
        <f t="shared" si="205"/>
        <v>0</v>
      </c>
      <c r="AY324">
        <f t="shared" si="206"/>
        <v>0</v>
      </c>
    </row>
    <row r="325" spans="14:51" x14ac:dyDescent="0.25">
      <c r="N325" s="170">
        <v>7</v>
      </c>
      <c r="O325" s="199">
        <f t="shared" si="208"/>
        <v>11748.975549395318</v>
      </c>
      <c r="P325" s="189" t="str">
        <f t="shared" si="173"/>
        <v>18.0065359477124</v>
      </c>
      <c r="Q325" s="160" t="str">
        <f t="shared" si="174"/>
        <v>1+23.1595264459209i</v>
      </c>
      <c r="R325" s="160">
        <f t="shared" si="182"/>
        <v>23.181105780339934</v>
      </c>
      <c r="S325" s="160">
        <f t="shared" si="183"/>
        <v>1.5276443552846648</v>
      </c>
      <c r="T325" s="160" t="str">
        <f t="shared" si="175"/>
        <v>1+0.0295283962185492i</v>
      </c>
      <c r="U325" s="160">
        <f t="shared" si="184"/>
        <v>1.0004358681011192</v>
      </c>
      <c r="V325" s="160">
        <f t="shared" si="185"/>
        <v>2.9519818511641233E-2</v>
      </c>
      <c r="W325" s="98" t="str">
        <f t="shared" si="176"/>
        <v>1-0.417160168184488i</v>
      </c>
      <c r="X325" s="160">
        <f t="shared" si="186"/>
        <v>1.0835232373695132</v>
      </c>
      <c r="Y325" s="160">
        <f t="shared" si="187"/>
        <v>-0.39521154434808764</v>
      </c>
      <c r="Z325" s="98" t="str">
        <f t="shared" si="177"/>
        <v>0.998329969887815+0.1246912758525i</v>
      </c>
      <c r="AA325" s="160">
        <f t="shared" si="188"/>
        <v>1.0060867969762497</v>
      </c>
      <c r="AB325" s="160">
        <f t="shared" si="189"/>
        <v>0.124256396294295</v>
      </c>
      <c r="AC325" s="171" t="str">
        <f t="shared" si="190"/>
        <v>-0.361618485804198-0.754771765510027i</v>
      </c>
      <c r="AD325" s="190">
        <f t="shared" si="191"/>
        <v>-1.5462388509707119</v>
      </c>
      <c r="AE325" s="169">
        <f t="shared" si="192"/>
        <v>-115.59953373324664</v>
      </c>
      <c r="AF325" s="98" t="str">
        <f t="shared" si="178"/>
        <v>-0.0000816326530612245</v>
      </c>
      <c r="AG325" s="98" t="str">
        <f t="shared" si="179"/>
        <v>0.00173479327783976i</v>
      </c>
      <c r="AH325" s="98">
        <f t="shared" si="193"/>
        <v>1.73479327783976E-3</v>
      </c>
      <c r="AI325" s="98">
        <f t="shared" si="194"/>
        <v>1.5707963267948966</v>
      </c>
      <c r="AJ325" s="98" t="str">
        <f t="shared" si="180"/>
        <v>1+0.528683945061894i</v>
      </c>
      <c r="AK325" s="98">
        <f t="shared" si="195"/>
        <v>1.1311528251152485</v>
      </c>
      <c r="AL325" s="98">
        <f t="shared" si="196"/>
        <v>0.48633057457325274</v>
      </c>
      <c r="AM325" s="98" t="str">
        <f t="shared" si="181"/>
        <v>1+8.28271513930304i</v>
      </c>
      <c r="AN325" s="98">
        <f t="shared" si="197"/>
        <v>8.3428634220416047</v>
      </c>
      <c r="AO325" s="98">
        <f t="shared" si="198"/>
        <v>1.4506445175031288</v>
      </c>
      <c r="AP325" s="168" t="str">
        <f t="shared" si="199"/>
        <v>-0.28516824013241+0.197819997349693i</v>
      </c>
      <c r="AQ325" s="98">
        <f t="shared" si="200"/>
        <v>-9.1917993976659513</v>
      </c>
      <c r="AR325" s="169">
        <f t="shared" si="201"/>
        <v>145.25111905550128</v>
      </c>
      <c r="AS325" s="168" t="str">
        <f t="shared" si="202"/>
        <v>0.252431055848947+0.14370156816874i</v>
      </c>
      <c r="AT325" s="190">
        <f t="shared" si="203"/>
        <v>-10.738038248636654</v>
      </c>
      <c r="AU325" s="169">
        <f t="shared" si="204"/>
        <v>29.651585322254622</v>
      </c>
      <c r="AV325" s="225"/>
      <c r="AX325">
        <f t="shared" si="205"/>
        <v>0</v>
      </c>
      <c r="AY325">
        <f t="shared" si="206"/>
        <v>0</v>
      </c>
    </row>
    <row r="326" spans="14:51" x14ac:dyDescent="0.25">
      <c r="N326" s="170">
        <v>8</v>
      </c>
      <c r="O326" s="199">
        <f t="shared" si="208"/>
        <v>12022.644346174151</v>
      </c>
      <c r="P326" s="189" t="str">
        <f t="shared" si="173"/>
        <v>18.0065359477124</v>
      </c>
      <c r="Q326" s="160" t="str">
        <f t="shared" si="174"/>
        <v>1+23.6989811166516i</v>
      </c>
      <c r="R326" s="160">
        <f t="shared" si="182"/>
        <v>23.720069687237622</v>
      </c>
      <c r="S326" s="160">
        <f t="shared" si="183"/>
        <v>1.5286254364041982</v>
      </c>
      <c r="T326" s="160" t="str">
        <f t="shared" si="175"/>
        <v>1+0.0302162009237308i</v>
      </c>
      <c r="U326" s="160">
        <f t="shared" si="184"/>
        <v>1.0004564052462572</v>
      </c>
      <c r="V326" s="160">
        <f t="shared" si="185"/>
        <v>3.0207009971627747E-2</v>
      </c>
      <c r="W326" s="98" t="str">
        <f t="shared" si="176"/>
        <v>1-0.426877076761847i</v>
      </c>
      <c r="X326" s="160">
        <f t="shared" si="186"/>
        <v>1.0873012639856259</v>
      </c>
      <c r="Y326" s="160">
        <f t="shared" si="187"/>
        <v>-0.40345947343035415</v>
      </c>
      <c r="Z326" s="98" t="str">
        <f t="shared" si="177"/>
        <v>0.998251263793426+0.127595708778409i</v>
      </c>
      <c r="AA326" s="160">
        <f t="shared" si="188"/>
        <v>1.0063728188717322</v>
      </c>
      <c r="AB326" s="160">
        <f t="shared" si="189"/>
        <v>0.12712988269744482</v>
      </c>
      <c r="AC326" s="171" t="str">
        <f t="shared" si="190"/>
        <v>-0.362964600091911-0.735903396884547i</v>
      </c>
      <c r="AD326" s="190">
        <f t="shared" si="191"/>
        <v>-1.7179324935400999</v>
      </c>
      <c r="AE326" s="169">
        <f t="shared" si="192"/>
        <v>-116.25358253990696</v>
      </c>
      <c r="AF326" s="98" t="str">
        <f t="shared" si="178"/>
        <v>-0.0000816326530612245</v>
      </c>
      <c r="AG326" s="98" t="str">
        <f t="shared" si="179"/>
        <v>0.00177520180426919i</v>
      </c>
      <c r="AH326" s="98">
        <f t="shared" si="193"/>
        <v>1.77520180426919E-3</v>
      </c>
      <c r="AI326" s="98">
        <f t="shared" si="194"/>
        <v>1.5707963267948966</v>
      </c>
      <c r="AJ326" s="98" t="str">
        <f t="shared" si="180"/>
        <v>1+0.540998576113179i</v>
      </c>
      <c r="AK326" s="98">
        <f t="shared" si="195"/>
        <v>1.1369606234854781</v>
      </c>
      <c r="AL326" s="98">
        <f t="shared" si="196"/>
        <v>0.49590607176208468</v>
      </c>
      <c r="AM326" s="98" t="str">
        <f t="shared" si="181"/>
        <v>1+8.4756443591065i</v>
      </c>
      <c r="AN326" s="98">
        <f t="shared" si="197"/>
        <v>8.5344330392858474</v>
      </c>
      <c r="AO326" s="98">
        <f t="shared" si="198"/>
        <v>1.4533541396306233</v>
      </c>
      <c r="AP326" s="168" t="str">
        <f t="shared" si="199"/>
        <v>-0.28226230034161+0.198688501500381i</v>
      </c>
      <c r="AQ326" s="98">
        <f t="shared" si="200"/>
        <v>-9.2390913600753155</v>
      </c>
      <c r="AR326" s="169">
        <f t="shared" si="201"/>
        <v>144.85773339182248</v>
      </c>
      <c r="AS326" s="168" t="str">
        <f t="shared" si="202"/>
        <v>0.248666766140546+0.13560089314389i</v>
      </c>
      <c r="AT326" s="190">
        <f t="shared" si="203"/>
        <v>-10.957023853615421</v>
      </c>
      <c r="AU326" s="169">
        <f t="shared" si="204"/>
        <v>28.604150851915485</v>
      </c>
      <c r="AV326" s="225"/>
      <c r="AX326">
        <f t="shared" si="205"/>
        <v>0</v>
      </c>
      <c r="AY326">
        <f t="shared" si="206"/>
        <v>0</v>
      </c>
    </row>
    <row r="327" spans="14:51" x14ac:dyDescent="0.25">
      <c r="N327" s="170">
        <v>9</v>
      </c>
      <c r="O327" s="199">
        <f t="shared" si="208"/>
        <v>12302.687708123816</v>
      </c>
      <c r="P327" s="189" t="str">
        <f t="shared" si="173"/>
        <v>18.0065359477124</v>
      </c>
      <c r="Q327" s="160" t="str">
        <f t="shared" si="174"/>
        <v>1+24.2510013008635i</v>
      </c>
      <c r="R327" s="160">
        <f t="shared" si="182"/>
        <v>24.2716102493115</v>
      </c>
      <c r="S327" s="160">
        <f t="shared" si="183"/>
        <v>1.529584263887606</v>
      </c>
      <c r="T327" s="160" t="str">
        <f t="shared" si="175"/>
        <v>1+0.030920026658601i</v>
      </c>
      <c r="U327" s="160">
        <f t="shared" si="184"/>
        <v>1.0004779098253838</v>
      </c>
      <c r="V327" s="160">
        <f t="shared" si="185"/>
        <v>3.0910178630047604E-2</v>
      </c>
      <c r="W327" s="98" t="str">
        <f t="shared" si="176"/>
        <v>1-0.436820321215692i</v>
      </c>
      <c r="X327" s="160">
        <f t="shared" si="186"/>
        <v>1.0912433243905688</v>
      </c>
      <c r="Y327" s="160">
        <f t="shared" si="187"/>
        <v>-0.41183981475047216</v>
      </c>
      <c r="Z327" s="98" t="str">
        <f t="shared" si="177"/>
        <v>0.998168848395087+0.130567794638042i</v>
      </c>
      <c r="AA327" s="160">
        <f t="shared" si="188"/>
        <v>1.0066722400578134</v>
      </c>
      <c r="AB327" s="160">
        <f t="shared" si="189"/>
        <v>0.13006882762370192</v>
      </c>
      <c r="AC327" s="171" t="str">
        <f t="shared" si="190"/>
        <v>-0.364232835321269-0.717421381315266i</v>
      </c>
      <c r="AD327" s="190">
        <f t="shared" si="191"/>
        <v>-1.8885481199751051</v>
      </c>
      <c r="AE327" s="169">
        <f t="shared" si="192"/>
        <v>-116.91677804059185</v>
      </c>
      <c r="AF327" s="98" t="str">
        <f t="shared" si="178"/>
        <v>-0.0000816326530612245</v>
      </c>
      <c r="AG327" s="98" t="str">
        <f t="shared" si="179"/>
        <v>0.00181655156619281i</v>
      </c>
      <c r="AH327" s="98">
        <f t="shared" si="193"/>
        <v>1.8165515661928101E-3</v>
      </c>
      <c r="AI327" s="98">
        <f t="shared" si="194"/>
        <v>1.5707963267948966</v>
      </c>
      <c r="AJ327" s="98" t="str">
        <f t="shared" si="180"/>
        <v>1+0.553600051770482i</v>
      </c>
      <c r="AK327" s="98">
        <f t="shared" si="195"/>
        <v>1.143010506216054</v>
      </c>
      <c r="AL327" s="98">
        <f t="shared" si="196"/>
        <v>0.50560296389630932</v>
      </c>
      <c r="AM327" s="98" t="str">
        <f t="shared" si="181"/>
        <v>1+8.67306747773758i</v>
      </c>
      <c r="AN327" s="98">
        <f t="shared" si="197"/>
        <v>8.7305268726113727</v>
      </c>
      <c r="AO327" s="98">
        <f t="shared" si="198"/>
        <v>1.456003758374957</v>
      </c>
      <c r="AP327" s="168" t="str">
        <f t="shared" si="199"/>
        <v>-0.279282214760707+0.199548901105362i</v>
      </c>
      <c r="AQ327" s="98">
        <f t="shared" si="200"/>
        <v>-9.2878717642628796</v>
      </c>
      <c r="AR327" s="169">
        <f t="shared" si="201"/>
        <v>144.45395436950682</v>
      </c>
      <c r="AS327" s="168" t="str">
        <f t="shared" si="202"/>
        <v>0.244884401208048+0.127680770255564i</v>
      </c>
      <c r="AT327" s="190">
        <f t="shared" si="203"/>
        <v>-11.176419884237983</v>
      </c>
      <c r="AU327" s="169">
        <f t="shared" si="204"/>
        <v>27.537176328915031</v>
      </c>
      <c r="AV327" s="225"/>
      <c r="AX327">
        <f t="shared" si="205"/>
        <v>0</v>
      </c>
      <c r="AY327">
        <f t="shared" si="206"/>
        <v>0</v>
      </c>
    </row>
    <row r="328" spans="14:51" x14ac:dyDescent="0.25">
      <c r="N328" s="170">
        <v>10</v>
      </c>
      <c r="O328" s="199">
        <f t="shared" si="208"/>
        <v>12589.254117941671</v>
      </c>
      <c r="P328" s="189" t="str">
        <f t="shared" si="173"/>
        <v>18.0065359477124</v>
      </c>
      <c r="Q328" s="160" t="str">
        <f t="shared" si="174"/>
        <v>1+24.8158796869651i</v>
      </c>
      <c r="R328" s="160">
        <f t="shared" si="182"/>
        <v>24.83601990331637</v>
      </c>
      <c r="S328" s="160">
        <f t="shared" si="183"/>
        <v>1.530521339061907</v>
      </c>
      <c r="T328" s="160" t="str">
        <f t="shared" si="175"/>
        <v>1+0.0316402466008805i</v>
      </c>
      <c r="U328" s="160">
        <f t="shared" si="184"/>
        <v>1.0005004273886966</v>
      </c>
      <c r="V328" s="160">
        <f t="shared" si="185"/>
        <v>3.1629694533207457E-2</v>
      </c>
      <c r="W328" s="98" t="str">
        <f t="shared" si="176"/>
        <v>1-0.446995173585845i</v>
      </c>
      <c r="X328" s="160">
        <f t="shared" si="186"/>
        <v>1.0953559627851759</v>
      </c>
      <c r="Y328" s="160">
        <f t="shared" si="187"/>
        <v>-0.42035230220653275</v>
      </c>
      <c r="Z328" s="98" t="str">
        <f t="shared" si="177"/>
        <v>0.998082548878686+0.133609109270661i</v>
      </c>
      <c r="AA328" s="160">
        <f t="shared" si="188"/>
        <v>1.0069856843353207</v>
      </c>
      <c r="AB328" s="160">
        <f t="shared" si="189"/>
        <v>0.13307465224656193</v>
      </c>
      <c r="AC328" s="171" t="str">
        <f t="shared" si="190"/>
        <v>-0.365425881161765-0.699316447247912i</v>
      </c>
      <c r="AD328" s="190">
        <f t="shared" si="191"/>
        <v>-2.0580513621413838</v>
      </c>
      <c r="AE328" s="169">
        <f t="shared" si="192"/>
        <v>-117.58919393785889</v>
      </c>
      <c r="AF328" s="98" t="str">
        <f t="shared" si="178"/>
        <v>-0.0000816326530612245</v>
      </c>
      <c r="AG328" s="98" t="str">
        <f t="shared" si="179"/>
        <v>0.00185886448780173i</v>
      </c>
      <c r="AH328" s="98">
        <f t="shared" si="193"/>
        <v>1.85886448780173E-3</v>
      </c>
      <c r="AI328" s="98">
        <f t="shared" si="194"/>
        <v>1.5707963267948966</v>
      </c>
      <c r="AJ328" s="98" t="str">
        <f t="shared" si="180"/>
        <v>1+0.566495053502996i</v>
      </c>
      <c r="AK328" s="98">
        <f t="shared" si="195"/>
        <v>1.1493113788888381</v>
      </c>
      <c r="AL328" s="98">
        <f t="shared" si="196"/>
        <v>0.51541909726846002</v>
      </c>
      <c r="AM328" s="98" t="str">
        <f t="shared" si="181"/>
        <v>1+8.87508917154697i</v>
      </c>
      <c r="AN328" s="98">
        <f t="shared" si="197"/>
        <v>8.9312489497779808</v>
      </c>
      <c r="AO328" s="98">
        <f t="shared" si="198"/>
        <v>1.4585946297060428</v>
      </c>
      <c r="AP328" s="168" t="str">
        <f t="shared" si="199"/>
        <v>-0.276228389585171+0.20039734937881i</v>
      </c>
      <c r="AQ328" s="98">
        <f t="shared" si="200"/>
        <v>-9.3381866154023019</v>
      </c>
      <c r="AR328" s="169">
        <f t="shared" si="201"/>
        <v>144.03997734867775</v>
      </c>
      <c r="AS328" s="168" t="str">
        <f t="shared" si="202"/>
        <v>0.241082165071544+0.11994067805448i</v>
      </c>
      <c r="AT328" s="190">
        <f t="shared" si="203"/>
        <v>-11.396237977543699</v>
      </c>
      <c r="AU328" s="169">
        <f t="shared" si="204"/>
        <v>26.450783410818879</v>
      </c>
      <c r="AV328" s="225"/>
      <c r="AX328">
        <f t="shared" si="205"/>
        <v>0</v>
      </c>
      <c r="AY328">
        <f t="shared" si="206"/>
        <v>0</v>
      </c>
    </row>
    <row r="329" spans="14:51" x14ac:dyDescent="0.25">
      <c r="N329" s="170">
        <v>11</v>
      </c>
      <c r="O329" s="199">
        <f t="shared" si="208"/>
        <v>12882.49551693136</v>
      </c>
      <c r="P329" s="189" t="str">
        <f t="shared" si="173"/>
        <v>18.0065359477124</v>
      </c>
      <c r="Q329" s="160" t="str">
        <f t="shared" si="174"/>
        <v>1+25.3939157809537i</v>
      </c>
      <c r="R329" s="160">
        <f t="shared" si="182"/>
        <v>25.413597909193605</v>
      </c>
      <c r="S329" s="160">
        <f t="shared" si="183"/>
        <v>1.5314371521901693</v>
      </c>
      <c r="T329" s="160" t="str">
        <f t="shared" si="175"/>
        <v>1+0.032377242620716i</v>
      </c>
      <c r="U329" s="160">
        <f t="shared" si="184"/>
        <v>1.0005240056289109</v>
      </c>
      <c r="V329" s="160">
        <f t="shared" si="185"/>
        <v>3.236593619629375E-2</v>
      </c>
      <c r="W329" s="98" t="str">
        <f t="shared" si="176"/>
        <v>1-0.457407028713715i</v>
      </c>
      <c r="X329" s="160">
        <f t="shared" si="186"/>
        <v>1.0996459384350534</v>
      </c>
      <c r="Y329" s="160">
        <f t="shared" si="187"/>
        <v>-0.42899651350083151</v>
      </c>
      <c r="Z329" s="98" t="str">
        <f t="shared" si="177"/>
        <v>0.99799218219138+0.136721265221541i</v>
      </c>
      <c r="AA329" s="160">
        <f t="shared" si="188"/>
        <v>1.0073138041737002</v>
      </c>
      <c r="AB329" s="160">
        <f t="shared" si="189"/>
        <v>0.13614880365750695</v>
      </c>
      <c r="AC329" s="171" t="str">
        <f t="shared" si="190"/>
        <v>-0.366546273651006-0.681579506822353i</v>
      </c>
      <c r="AD329" s="190">
        <f t="shared" si="191"/>
        <v>-2.226407596356184</v>
      </c>
      <c r="AE329" s="169">
        <f t="shared" si="192"/>
        <v>-118.27089535074849</v>
      </c>
      <c r="AF329" s="98" t="str">
        <f t="shared" si="178"/>
        <v>-0.0000816326530612245</v>
      </c>
      <c r="AG329" s="98" t="str">
        <f t="shared" si="179"/>
        <v>0.00190216300396707i</v>
      </c>
      <c r="AH329" s="98">
        <f t="shared" si="193"/>
        <v>1.9021630039670701E-3</v>
      </c>
      <c r="AI329" s="98">
        <f t="shared" si="194"/>
        <v>1.5707963267948966</v>
      </c>
      <c r="AJ329" s="98" t="str">
        <f t="shared" si="180"/>
        <v>1+0.579690418411328i</v>
      </c>
      <c r="AK329" s="98">
        <f t="shared" si="195"/>
        <v>1.1558723896684704</v>
      </c>
      <c r="AL329" s="98">
        <f t="shared" si="196"/>
        <v>0.52535210903815355</v>
      </c>
      <c r="AM329" s="98" t="str">
        <f t="shared" si="181"/>
        <v>1+9.08181655511084i</v>
      </c>
      <c r="AN329" s="98">
        <f t="shared" si="197"/>
        <v>9.1367057488290246</v>
      </c>
      <c r="AO329" s="98">
        <f t="shared" si="198"/>
        <v>1.4611279881307384</v>
      </c>
      <c r="AP329" s="168" t="str">
        <f t="shared" si="199"/>
        <v>-0.273101411511466+0.201229969526838i</v>
      </c>
      <c r="AQ329" s="98">
        <f t="shared" si="200"/>
        <v>-9.3900814135578816</v>
      </c>
      <c r="AR329" s="169">
        <f t="shared" si="201"/>
        <v>143.61600844214945</v>
      </c>
      <c r="AS329" s="168" t="str">
        <f t="shared" si="202"/>
        <v>0.237258528106337+0.112380229893506i</v>
      </c>
      <c r="AT329" s="190">
        <f t="shared" si="203"/>
        <v>-11.616489009914066</v>
      </c>
      <c r="AU329" s="169">
        <f t="shared" si="204"/>
        <v>25.345113091401078</v>
      </c>
      <c r="AV329" s="225"/>
      <c r="AX329">
        <f t="shared" si="205"/>
        <v>0</v>
      </c>
      <c r="AY329">
        <f t="shared" si="206"/>
        <v>0</v>
      </c>
    </row>
    <row r="330" spans="14:51" x14ac:dyDescent="0.25">
      <c r="N330" s="170">
        <v>12</v>
      </c>
      <c r="O330" s="199">
        <f t="shared" si="208"/>
        <v>13182.567385564091</v>
      </c>
      <c r="P330" s="189" t="str">
        <f t="shared" si="173"/>
        <v>18.0065359477124</v>
      </c>
      <c r="Q330" s="160" t="str">
        <f t="shared" si="174"/>
        <v>1+25.9854160652176i</v>
      </c>
      <c r="R330" s="160">
        <f t="shared" si="182"/>
        <v>26.004650508754562</v>
      </c>
      <c r="S330" s="160">
        <f t="shared" si="183"/>
        <v>1.5323321827002916</v>
      </c>
      <c r="T330" s="160" t="str">
        <f t="shared" si="175"/>
        <v>1+0.0331314054831524i</v>
      </c>
      <c r="U330" s="160">
        <f t="shared" si="184"/>
        <v>1.0005486944818274</v>
      </c>
      <c r="V330" s="160">
        <f t="shared" si="185"/>
        <v>3.3119290789907066E-2</v>
      </c>
      <c r="W330" s="98" t="str">
        <f t="shared" si="176"/>
        <v>1-0.468061407102706i</v>
      </c>
      <c r="X330" s="160">
        <f t="shared" si="186"/>
        <v>1.1041202293314643</v>
      </c>
      <c r="Y330" s="160">
        <f t="shared" si="187"/>
        <v>-0.4377718635425874</v>
      </c>
      <c r="Z330" s="98" t="str">
        <f t="shared" si="177"/>
        <v>0.997897556653309+0.139905912596961i</v>
      </c>
      <c r="AA330" s="160">
        <f t="shared" si="188"/>
        <v>1.0076572819933536</v>
      </c>
      <c r="AB330" s="160">
        <f t="shared" si="189"/>
        <v>0.13929275498209062</v>
      </c>
      <c r="AC330" s="171" t="str">
        <f t="shared" si="190"/>
        <v>-0.36759640060263-0.664201653387924i</v>
      </c>
      <c r="AD330" s="190">
        <f t="shared" si="191"/>
        <v>-2.3935820039576137</v>
      </c>
      <c r="AE330" s="169">
        <f t="shared" si="192"/>
        <v>-118.96193844585882</v>
      </c>
      <c r="AF330" s="98" t="str">
        <f t="shared" si="178"/>
        <v>-0.0000816326530612245</v>
      </c>
      <c r="AG330" s="98" t="str">
        <f t="shared" si="179"/>
        <v>0.00194647007213521i</v>
      </c>
      <c r="AH330" s="98">
        <f t="shared" si="193"/>
        <v>1.94647007213521E-3</v>
      </c>
      <c r="AI330" s="98">
        <f t="shared" si="194"/>
        <v>1.5707963267948966</v>
      </c>
      <c r="AJ330" s="98" t="str">
        <f t="shared" si="180"/>
        <v>1+0.59319314285261i</v>
      </c>
      <c r="AK330" s="98">
        <f t="shared" si="195"/>
        <v>1.1627029305576542</v>
      </c>
      <c r="AL330" s="98">
        <f t="shared" si="196"/>
        <v>0.53539942488183923</v>
      </c>
      <c r="AM330" s="98" t="str">
        <f t="shared" si="181"/>
        <v>1+9.29335923802426i</v>
      </c>
      <c r="AN330" s="98">
        <f t="shared" si="197"/>
        <v>9.3470062547839809</v>
      </c>
      <c r="AO330" s="98">
        <f t="shared" si="198"/>
        <v>1.4636050467278372</v>
      </c>
      <c r="AP330" s="168" t="str">
        <f t="shared" si="199"/>
        <v>-0.269902054428123+0.202042865396091i</v>
      </c>
      <c r="AQ330" s="98">
        <f t="shared" si="200"/>
        <v>-9.4436010622939328</v>
      </c>
      <c r="AR330" s="169">
        <f t="shared" si="201"/>
        <v>143.18226465209185</v>
      </c>
      <c r="AS330" s="168" t="str">
        <f t="shared" si="202"/>
        <v>0.233412228974351+0.104999160716912i</v>
      </c>
      <c r="AT330" s="190">
        <f t="shared" si="203"/>
        <v>-11.837183066251535</v>
      </c>
      <c r="AU330" s="169">
        <f t="shared" si="204"/>
        <v>24.220326206232965</v>
      </c>
      <c r="AV330" s="225"/>
      <c r="AX330">
        <f t="shared" si="205"/>
        <v>0</v>
      </c>
      <c r="AY330">
        <f t="shared" si="206"/>
        <v>0</v>
      </c>
    </row>
    <row r="331" spans="14:51" x14ac:dyDescent="0.25">
      <c r="N331" s="170">
        <v>13</v>
      </c>
      <c r="O331" s="199">
        <f t="shared" si="208"/>
        <v>13489.628825916556</v>
      </c>
      <c r="P331" s="189" t="str">
        <f t="shared" si="173"/>
        <v>18.0065359477124</v>
      </c>
      <c r="Q331" s="160" t="str">
        <f t="shared" si="174"/>
        <v>1+26.5906941610369i</v>
      </c>
      <c r="R331" s="160">
        <f t="shared" si="182"/>
        <v>26.609491088064836</v>
      </c>
      <c r="S331" s="160">
        <f t="shared" si="183"/>
        <v>1.5332068994100994</v>
      </c>
      <c r="T331" s="160" t="str">
        <f t="shared" si="175"/>
        <v>1+0.033903135055322i</v>
      </c>
      <c r="U331" s="160">
        <f t="shared" si="184"/>
        <v>1.0005745462316036</v>
      </c>
      <c r="V331" s="160">
        <f t="shared" si="185"/>
        <v>3.3890154330179625E-2</v>
      </c>
      <c r="W331" s="98" t="str">
        <f t="shared" si="176"/>
        <v>1-0.478963957845268i</v>
      </c>
      <c r="X331" s="160">
        <f t="shared" si="186"/>
        <v>1.1087860356781212</v>
      </c>
      <c r="Y331" s="160">
        <f t="shared" si="187"/>
        <v>-0.44667759802451451</v>
      </c>
      <c r="Z331" s="98" t="str">
        <f t="shared" si="177"/>
        <v>0.99779847155102+0.143164739939114i</v>
      </c>
      <c r="AA331" s="160">
        <f t="shared" si="188"/>
        <v>1.008016831502027</v>
      </c>
      <c r="AB331" s="160">
        <f t="shared" si="189"/>
        <v>0.14250800546695175</v>
      </c>
      <c r="AC331" s="171" t="str">
        <f t="shared" si="190"/>
        <v>-0.368578506746706-0.647174159041491i</v>
      </c>
      <c r="AD331" s="190">
        <f t="shared" si="191"/>
        <v>-2.5595396371444981</v>
      </c>
      <c r="AE331" s="169">
        <f t="shared" si="192"/>
        <v>-119.66237007630069</v>
      </c>
      <c r="AF331" s="98" t="str">
        <f t="shared" si="178"/>
        <v>-0.0000816326530612245</v>
      </c>
      <c r="AG331" s="98" t="str">
        <f t="shared" si="179"/>
        <v>0.00199180918450017i</v>
      </c>
      <c r="AH331" s="98">
        <f t="shared" si="193"/>
        <v>1.9918091845001701E-3</v>
      </c>
      <c r="AI331" s="98">
        <f t="shared" si="194"/>
        <v>1.5707963267948966</v>
      </c>
      <c r="AJ331" s="98" t="str">
        <f t="shared" si="180"/>
        <v>1+0.607010386150072i</v>
      </c>
      <c r="AK331" s="98">
        <f t="shared" si="195"/>
        <v>1.1698126383716581</v>
      </c>
      <c r="AL331" s="98">
        <f t="shared" si="196"/>
        <v>0.54555825735860397</v>
      </c>
      <c r="AM331" s="98" t="str">
        <f t="shared" si="181"/>
        <v>1+9.50982938301783i</v>
      </c>
      <c r="AN331" s="98">
        <f t="shared" si="197"/>
        <v>9.5622620176456827</v>
      </c>
      <c r="AO331" s="98">
        <f t="shared" si="198"/>
        <v>1.4660269972102031</v>
      </c>
      <c r="AP331" s="168" t="str">
        <f t="shared" si="199"/>
        <v>-0.266631285401707+0.202832132943491i</v>
      </c>
      <c r="AQ331" s="98">
        <f t="shared" si="200"/>
        <v>-9.4987897734738027</v>
      </c>
      <c r="AR331" s="169">
        <f t="shared" si="201"/>
        <v>142.73897396722182</v>
      </c>
      <c r="AS331" s="168" t="str">
        <f t="shared" si="202"/>
        <v>0.229542276089612+0.0977973132234402i</v>
      </c>
      <c r="AT331" s="190">
        <f t="shared" si="203"/>
        <v>-12.058329410618292</v>
      </c>
      <c r="AU331" s="169">
        <f t="shared" si="204"/>
        <v>23.076603890921124</v>
      </c>
      <c r="AV331" s="225"/>
      <c r="AX331">
        <f t="shared" si="205"/>
        <v>0</v>
      </c>
      <c r="AY331">
        <f t="shared" si="206"/>
        <v>0</v>
      </c>
    </row>
    <row r="332" spans="14:51" x14ac:dyDescent="0.25">
      <c r="N332" s="170">
        <v>14</v>
      </c>
      <c r="O332" s="199">
        <f t="shared" si="208"/>
        <v>13803.842646028841</v>
      </c>
      <c r="P332" s="189" t="str">
        <f t="shared" si="173"/>
        <v>18.0065359477124</v>
      </c>
      <c r="Q332" s="160" t="str">
        <f t="shared" si="174"/>
        <v>1+27.2100709948698i</v>
      </c>
      <c r="R332" s="160">
        <f t="shared" si="182"/>
        <v>27.22844034361599</v>
      </c>
      <c r="S332" s="160">
        <f t="shared" si="183"/>
        <v>1.5340617607487437</v>
      </c>
      <c r="T332" s="160" t="str">
        <f t="shared" si="175"/>
        <v>1+0.034692840518459i</v>
      </c>
      <c r="U332" s="160">
        <f t="shared" si="184"/>
        <v>1.0006016156209419</v>
      </c>
      <c r="V332" s="160">
        <f t="shared" si="185"/>
        <v>3.4678931872504037E-2</v>
      </c>
      <c r="W332" s="98" t="str">
        <f t="shared" si="176"/>
        <v>1-0.490120461618117i</v>
      </c>
      <c r="X332" s="160">
        <f t="shared" si="186"/>
        <v>1.1136507831886782</v>
      </c>
      <c r="Y332" s="160">
        <f t="shared" si="187"/>
        <v>-0.45571278722000397</v>
      </c>
      <c r="Z332" s="98" t="str">
        <f t="shared" si="177"/>
        <v>0.997694716711727+0.146499475121392i</v>
      </c>
      <c r="AA332" s="160">
        <f t="shared" si="188"/>
        <v>1.0083931990872095</v>
      </c>
      <c r="AB332" s="160">
        <f t="shared" si="189"/>
        <v>0.14579608053516049</v>
      </c>
      <c r="AC332" s="171" t="str">
        <f t="shared" si="190"/>
        <v>-0.369494698613769-0.630488472196357i</v>
      </c>
      <c r="AD332" s="190">
        <f t="shared" si="191"/>
        <v>-2.7242454901421103</v>
      </c>
      <c r="AE332" s="169">
        <f t="shared" si="192"/>
        <v>-120.37222743105828</v>
      </c>
      <c r="AF332" s="98" t="str">
        <f t="shared" si="178"/>
        <v>-0.0000816326530612245</v>
      </c>
      <c r="AG332" s="98" t="str">
        <f t="shared" si="179"/>
        <v>0.00203820438045946i</v>
      </c>
      <c r="AH332" s="98">
        <f t="shared" si="193"/>
        <v>2.03820438045946E-3</v>
      </c>
      <c r="AI332" s="98">
        <f t="shared" si="194"/>
        <v>1.5707963267948966</v>
      </c>
      <c r="AJ332" s="98" t="str">
        <f t="shared" si="180"/>
        <v>1+0.621149474389002i</v>
      </c>
      <c r="AK332" s="98">
        <f t="shared" si="195"/>
        <v>1.1772113954314805</v>
      </c>
      <c r="AL332" s="98">
        <f t="shared" si="196"/>
        <v>0.55582560504211109</v>
      </c>
      <c r="AM332" s="98" t="str">
        <f t="shared" si="181"/>
        <v>1+9.73134176542774i</v>
      </c>
      <c r="AN332" s="98">
        <f t="shared" si="197"/>
        <v>9.7825872117532526</v>
      </c>
      <c r="AO332" s="98">
        <f t="shared" si="198"/>
        <v>1.4683950100118099</v>
      </c>
      <c r="AP332" s="168" t="str">
        <f t="shared" si="199"/>
        <v>-0.263290269861147+0.203593872483957i</v>
      </c>
      <c r="AQ332" s="98">
        <f t="shared" si="200"/>
        <v>-9.5556909686686673</v>
      </c>
      <c r="AR332" s="169">
        <f t="shared" si="201"/>
        <v>142.28637541752849</v>
      </c>
      <c r="AS332" s="168" t="str">
        <f t="shared" si="202"/>
        <v>0.225647948521232+0.0907746234358513i</v>
      </c>
      <c r="AT332" s="190">
        <f t="shared" si="203"/>
        <v>-12.279936458810791</v>
      </c>
      <c r="AU332" s="169">
        <f t="shared" si="204"/>
        <v>21.914147986470226</v>
      </c>
      <c r="AV332" s="225"/>
      <c r="AX332">
        <f t="shared" si="205"/>
        <v>0</v>
      </c>
      <c r="AY332">
        <f t="shared" si="206"/>
        <v>0</v>
      </c>
    </row>
    <row r="333" spans="14:51" x14ac:dyDescent="0.25">
      <c r="N333" s="170">
        <v>15</v>
      </c>
      <c r="O333" s="199">
        <f t="shared" si="208"/>
        <v>14125.375446227561</v>
      </c>
      <c r="P333" s="189" t="str">
        <f t="shared" si="173"/>
        <v>18.0065359477124</v>
      </c>
      <c r="Q333" s="160" t="str">
        <f t="shared" si="174"/>
        <v>1+27.8438749685121i</v>
      </c>
      <c r="R333" s="160">
        <f t="shared" si="182"/>
        <v>27.861826452372693</v>
      </c>
      <c r="S333" s="160">
        <f t="shared" si="183"/>
        <v>1.5348972149743902</v>
      </c>
      <c r="T333" s="160" t="str">
        <f t="shared" si="175"/>
        <v>1+0.0355009405848529i</v>
      </c>
      <c r="U333" s="160">
        <f t="shared" si="184"/>
        <v>1.000629959966425</v>
      </c>
      <c r="V333" s="160">
        <f t="shared" si="185"/>
        <v>3.5486037708900742E-2</v>
      </c>
      <c r="W333" s="98" t="str">
        <f t="shared" si="176"/>
        <v>1-0.501536833747228i</v>
      </c>
      <c r="X333" s="160">
        <f t="shared" si="186"/>
        <v>1.1187221261802212</v>
      </c>
      <c r="Y333" s="160">
        <f t="shared" si="187"/>
        <v>-0.46487632005002466</v>
      </c>
      <c r="Z333" s="98" t="str">
        <f t="shared" si="177"/>
        <v>0.997586072057505+0.149911886264529i</v>
      </c>
      <c r="AA333" s="160">
        <f t="shared" si="188"/>
        <v>1.0087871652665448</v>
      </c>
      <c r="AB333" s="160">
        <f t="shared" si="189"/>
        <v>0.14915853180715835</v>
      </c>
      <c r="AC333" s="171" t="str">
        <f t="shared" si="190"/>
        <v>-0.370346949173478-0.614136215189667i</v>
      </c>
      <c r="AD333" s="190">
        <f t="shared" si="191"/>
        <v>-2.8876645757162316</v>
      </c>
      <c r="AE333" s="169">
        <f t="shared" si="192"/>
        <v>-121.09153769741205</v>
      </c>
      <c r="AF333" s="98" t="str">
        <f t="shared" si="178"/>
        <v>-0.0000816326530612245</v>
      </c>
      <c r="AG333" s="98" t="str">
        <f t="shared" si="179"/>
        <v>0.00208568025936011i</v>
      </c>
      <c r="AH333" s="98">
        <f t="shared" si="193"/>
        <v>2.0856802593601101E-3</v>
      </c>
      <c r="AI333" s="98">
        <f t="shared" si="194"/>
        <v>1.5707963267948966</v>
      </c>
      <c r="AJ333" s="98" t="str">
        <f t="shared" si="180"/>
        <v>1+0.635617904301141i</v>
      </c>
      <c r="AK333" s="98">
        <f t="shared" si="195"/>
        <v>1.1849093299776885</v>
      </c>
      <c r="AL333" s="98">
        <f t="shared" si="196"/>
        <v>0.56619825246572586</v>
      </c>
      <c r="AM333" s="98" t="str">
        <f t="shared" si="181"/>
        <v>1+9.95801383405125i</v>
      </c>
      <c r="AN333" s="98">
        <f t="shared" si="197"/>
        <v>10.008098696513544</v>
      </c>
      <c r="AO333" s="98">
        <f t="shared" si="198"/>
        <v>1.4707102343975791</v>
      </c>
      <c r="AP333" s="168" t="str">
        <f t="shared" si="199"/>
        <v>-0.259880375885481+0.204324201661203i</v>
      </c>
      <c r="AQ333" s="98">
        <f t="shared" si="200"/>
        <v>-9.6143471776491154</v>
      </c>
      <c r="AR333" s="169">
        <f t="shared" si="201"/>
        <v>141.82471908370871</v>
      </c>
      <c r="AS333" s="168" t="str">
        <f t="shared" si="202"/>
        <v>0.221728796239106+0.0839311057208443i</v>
      </c>
      <c r="AT333" s="190">
        <f t="shared" si="203"/>
        <v>-12.502011753365348</v>
      </c>
      <c r="AU333" s="169">
        <f t="shared" si="204"/>
        <v>20.733181386296661</v>
      </c>
      <c r="AV333" s="225"/>
      <c r="AX333">
        <f t="shared" si="205"/>
        <v>0</v>
      </c>
      <c r="AY333">
        <f t="shared" si="206"/>
        <v>0</v>
      </c>
    </row>
    <row r="334" spans="14:51" x14ac:dyDescent="0.25">
      <c r="N334" s="170">
        <v>16</v>
      </c>
      <c r="O334" s="199">
        <f t="shared" si="208"/>
        <v>14454.397707459291</v>
      </c>
      <c r="P334" s="189" t="str">
        <f t="shared" si="173"/>
        <v>18.0065359477124</v>
      </c>
      <c r="Q334" s="160" t="str">
        <f t="shared" si="174"/>
        <v>1+28.4924421332199i</v>
      </c>
      <c r="R334" s="160">
        <f t="shared" si="182"/>
        <v>28.50998524578511</v>
      </c>
      <c r="S334" s="160">
        <f t="shared" si="183"/>
        <v>1.5357137003881962</v>
      </c>
      <c r="T334" s="160" t="str">
        <f t="shared" si="175"/>
        <v>1+0.0363278637198554i</v>
      </c>
      <c r="U334" s="160">
        <f t="shared" si="184"/>
        <v>1.0006596392792348</v>
      </c>
      <c r="V334" s="160">
        <f t="shared" si="185"/>
        <v>3.6311895569046848E-2</v>
      </c>
      <c r="W334" s="98" t="str">
        <f t="shared" si="176"/>
        <v>1-0.513219127344216i</v>
      </c>
      <c r="X334" s="160">
        <f t="shared" si="186"/>
        <v>1.1240079504487317</v>
      </c>
      <c r="Y334" s="160">
        <f t="shared" si="187"/>
        <v>-0.47416689847087184</v>
      </c>
      <c r="Z334" s="98" t="str">
        <f t="shared" si="177"/>
        <v>0.997472307138475+0.153403782674082i</v>
      </c>
      <c r="AA334" s="160">
        <f t="shared" si="188"/>
        <v>1.0091995461983072</v>
      </c>
      <c r="AB334" s="160">
        <f t="shared" si="189"/>
        <v>0.15259693708437583</v>
      </c>
      <c r="AC334" s="171" t="str">
        <f t="shared" si="190"/>
        <v>-0.371137102238695-0.598109181935701i</v>
      </c>
      <c r="AD334" s="190">
        <f t="shared" si="191"/>
        <v>-3.0497620070206217</v>
      </c>
      <c r="AE334" s="169">
        <f t="shared" si="192"/>
        <v>-121.8203177391829</v>
      </c>
      <c r="AF334" s="98" t="str">
        <f t="shared" si="178"/>
        <v>-0.0000816326530612245</v>
      </c>
      <c r="AG334" s="98" t="str">
        <f t="shared" si="179"/>
        <v>0.00213426199354151i</v>
      </c>
      <c r="AH334" s="98">
        <f t="shared" si="193"/>
        <v>2.1342619935415101E-3</v>
      </c>
      <c r="AI334" s="98">
        <f t="shared" si="194"/>
        <v>1.5707963267948966</v>
      </c>
      <c r="AJ334" s="98" t="str">
        <f t="shared" si="180"/>
        <v>1+0.650423347239536i</v>
      </c>
      <c r="AK334" s="98">
        <f t="shared" si="195"/>
        <v>1.1929168163096209</v>
      </c>
      <c r="AL334" s="98">
        <f t="shared" si="196"/>
        <v>0.57667277092399161</v>
      </c>
      <c r="AM334" s="98" t="str">
        <f t="shared" si="181"/>
        <v>1+10.1899657734194i</v>
      </c>
      <c r="AN334" s="98">
        <f t="shared" si="197"/>
        <v>10.238916078543609</v>
      </c>
      <c r="AO334" s="98">
        <f t="shared" si="198"/>
        <v>1.4729737985940394</v>
      </c>
      <c r="AP334" s="168" t="str">
        <f t="shared" si="199"/>
        <v>-0.256403177503246+0.20501926907464i</v>
      </c>
      <c r="AQ334" s="98">
        <f t="shared" si="200"/>
        <v>-9.6747999344845717</v>
      </c>
      <c r="AR334" s="169">
        <f t="shared" si="201"/>
        <v>141.35426605873224</v>
      </c>
      <c r="AS334" s="168" t="str">
        <f t="shared" si="202"/>
        <v>0.217784639610637+0.0772668373147236i</v>
      </c>
      <c r="AT334" s="190">
        <f t="shared" si="203"/>
        <v>-12.724561941505186</v>
      </c>
      <c r="AU334" s="169">
        <f t="shared" si="204"/>
        <v>19.533948319549317</v>
      </c>
      <c r="AV334" s="225"/>
      <c r="AX334">
        <f t="shared" si="205"/>
        <v>0</v>
      </c>
      <c r="AY334">
        <f t="shared" si="206"/>
        <v>0</v>
      </c>
    </row>
    <row r="335" spans="14:51" x14ac:dyDescent="0.25">
      <c r="N335" s="170">
        <v>17</v>
      </c>
      <c r="O335" s="199">
        <f t="shared" si="208"/>
        <v>14791.083881682089</v>
      </c>
      <c r="P335" s="189" t="str">
        <f t="shared" si="173"/>
        <v>18.0065359477124</v>
      </c>
      <c r="Q335" s="160" t="str">
        <f t="shared" si="174"/>
        <v>1+29.1561163678888i</v>
      </c>
      <c r="R335" s="160">
        <f t="shared" si="182"/>
        <v>29.173260387859859</v>
      </c>
      <c r="S335" s="160">
        <f t="shared" si="183"/>
        <v>1.5365116455445786</v>
      </c>
      <c r="T335" s="160" t="str">
        <f t="shared" si="175"/>
        <v>1+0.0371740483690583i</v>
      </c>
      <c r="U335" s="160">
        <f t="shared" si="184"/>
        <v>1.0006907163915058</v>
      </c>
      <c r="V335" s="160">
        <f t="shared" si="185"/>
        <v>3.7156938824985185E-2</v>
      </c>
      <c r="W335" s="98" t="str">
        <f t="shared" si="176"/>
        <v>1-0.52517353651578i</v>
      </c>
      <c r="X335" s="160">
        <f t="shared" si="186"/>
        <v>1.1295163759133779</v>
      </c>
      <c r="Y335" s="160">
        <f t="shared" si="187"/>
        <v>-0.48358303223562293</v>
      </c>
      <c r="Z335" s="98" t="str">
        <f t="shared" si="177"/>
        <v>0.997353180643993+0.156977015799748i</v>
      </c>
      <c r="AA335" s="160">
        <f t="shared" si="188"/>
        <v>1.0096311952540313</v>
      </c>
      <c r="AB335" s="160">
        <f t="shared" si="189"/>
        <v>0.15611290029245131</v>
      </c>
      <c r="AC335" s="171" t="str">
        <f t="shared" si="190"/>
        <v>-0.371866876645608-0.582399335631979i</v>
      </c>
      <c r="AD335" s="190">
        <f t="shared" si="191"/>
        <v>-3.2105030847243921</v>
      </c>
      <c r="AE335" s="169">
        <f t="shared" si="192"/>
        <v>-122.5585737936522</v>
      </c>
      <c r="AF335" s="98" t="str">
        <f t="shared" si="178"/>
        <v>-0.0000816326530612245</v>
      </c>
      <c r="AG335" s="98" t="str">
        <f t="shared" si="179"/>
        <v>0.00218397534168217i</v>
      </c>
      <c r="AH335" s="98">
        <f t="shared" si="193"/>
        <v>2.1839753416821699E-3</v>
      </c>
      <c r="AI335" s="98">
        <f t="shared" si="194"/>
        <v>1.5707963267948966</v>
      </c>
      <c r="AJ335" s="98" t="str">
        <f t="shared" si="180"/>
        <v>1+0.665573653246009i</v>
      </c>
      <c r="AK335" s="98">
        <f t="shared" si="195"/>
        <v>1.2012444746575273</v>
      </c>
      <c r="AL335" s="98">
        <f t="shared" si="196"/>
        <v>0.5872455201690896</v>
      </c>
      <c r="AM335" s="98" t="str">
        <f t="shared" si="181"/>
        <v>1+10.4273205675208i</v>
      </c>
      <c r="AN335" s="98">
        <f t="shared" si="197"/>
        <v>10.475161775258762</v>
      </c>
      <c r="AO335" s="98">
        <f t="shared" si="198"/>
        <v>1.4751868099389609</v>
      </c>
      <c r="AP335" s="168" t="str">
        <f t="shared" si="199"/>
        <v>-0.252860456916474+0.205675268483479i</v>
      </c>
      <c r="AQ335" s="98">
        <f t="shared" si="200"/>
        <v>-9.7370896718239148</v>
      </c>
      <c r="AR335" s="169">
        <f t="shared" si="201"/>
        <v>140.87528835921657</v>
      </c>
      <c r="AS335" s="168" t="str">
        <f t="shared" si="202"/>
        <v>0.213815568061418+0.0707819424215549i</v>
      </c>
      <c r="AT335" s="190">
        <f t="shared" si="203"/>
        <v>-12.947592756548293</v>
      </c>
      <c r="AU335" s="169">
        <f t="shared" si="204"/>
        <v>18.316714565564325</v>
      </c>
      <c r="AV335" s="225"/>
      <c r="AX335">
        <f t="shared" si="205"/>
        <v>0</v>
      </c>
      <c r="AY335">
        <f t="shared" si="206"/>
        <v>0</v>
      </c>
    </row>
    <row r="336" spans="14:51" x14ac:dyDescent="0.25">
      <c r="N336" s="170">
        <v>18</v>
      </c>
      <c r="O336" s="199">
        <f t="shared" si="208"/>
        <v>15135.612484362096</v>
      </c>
      <c r="P336" s="189" t="str">
        <f t="shared" si="173"/>
        <v>18.0065359477124</v>
      </c>
      <c r="Q336" s="160" t="str">
        <f t="shared" si="174"/>
        <v>1+29.8352495613828i</v>
      </c>
      <c r="R336" s="160">
        <f t="shared" si="182"/>
        <v>29.852003557382755</v>
      </c>
      <c r="S336" s="160">
        <f t="shared" si="183"/>
        <v>1.5372914694577808</v>
      </c>
      <c r="T336" s="160" t="str">
        <f t="shared" si="175"/>
        <v>1+0.0380399431907631i</v>
      </c>
      <c r="U336" s="160">
        <f t="shared" si="184"/>
        <v>1.0007232570885702</v>
      </c>
      <c r="V336" s="160">
        <f t="shared" si="185"/>
        <v>3.8021610699528946E-2</v>
      </c>
      <c r="W336" s="98" t="str">
        <f t="shared" si="176"/>
        <v>1-0.537406399647898i</v>
      </c>
      <c r="X336" s="160">
        <f t="shared" si="186"/>
        <v>1.1352557590175512</v>
      </c>
      <c r="Y336" s="160">
        <f t="shared" si="187"/>
        <v>-0.49312303408346447</v>
      </c>
      <c r="Z336" s="98" t="str">
        <f t="shared" si="177"/>
        <v>0.997228439890791+0.160633480217027i</v>
      </c>
      <c r="AA336" s="160">
        <f t="shared" si="188"/>
        <v>1.0100830046553873</v>
      </c>
      <c r="AB336" s="160">
        <f t="shared" si="189"/>
        <v>0.15970805138080224</v>
      </c>
      <c r="AC336" s="171" t="str">
        <f t="shared" si="190"/>
        <v>-0.372537870220412-0.566998806525036i</v>
      </c>
      <c r="AD336" s="190">
        <f t="shared" si="191"/>
        <v>-3.3698533893199354</v>
      </c>
      <c r="AE336" s="169">
        <f t="shared" si="192"/>
        <v>-123.30630119006972</v>
      </c>
      <c r="AF336" s="98" t="str">
        <f t="shared" si="178"/>
        <v>-0.0000816326530612245</v>
      </c>
      <c r="AG336" s="98" t="str">
        <f t="shared" si="179"/>
        <v>0.00223484666245733i</v>
      </c>
      <c r="AH336" s="98">
        <f t="shared" si="193"/>
        <v>2.2348466624573298E-3</v>
      </c>
      <c r="AI336" s="98">
        <f t="shared" si="194"/>
        <v>1.5707963267948966</v>
      </c>
      <c r="AJ336" s="98" t="str">
        <f t="shared" si="180"/>
        <v>1+0.681076855213342i</v>
      </c>
      <c r="AK336" s="98">
        <f t="shared" si="195"/>
        <v>1.2099031707980998</v>
      </c>
      <c r="AL336" s="98">
        <f t="shared" si="196"/>
        <v>0.59791265103549318</v>
      </c>
      <c r="AM336" s="98" t="str">
        <f t="shared" si="181"/>
        <v>1+10.6702040650091i</v>
      </c>
      <c r="AN336" s="98">
        <f t="shared" si="197"/>
        <v>10.716961079939439</v>
      </c>
      <c r="AO336" s="98">
        <f t="shared" si="198"/>
        <v>1.4773503550482106</v>
      </c>
      <c r="AP336" s="168" t="str">
        <f t="shared" si="199"/>
        <v>-0.24925420556858+0.206288453497353i</v>
      </c>
      <c r="AQ336" s="98">
        <f t="shared" si="200"/>
        <v>-9.8012556139778937</v>
      </c>
      <c r="AR336" s="169">
        <f t="shared" si="201"/>
        <v>140.38806878460395</v>
      </c>
      <c r="AS336" s="168" t="str">
        <f t="shared" si="202"/>
        <v>0.209821937818894+0.0644765759617644i</v>
      </c>
      <c r="AT336" s="190">
        <f t="shared" si="203"/>
        <v>-13.171109003297834</v>
      </c>
      <c r="AU336" s="169">
        <f t="shared" si="204"/>
        <v>17.081767594534234</v>
      </c>
      <c r="AV336" s="225"/>
      <c r="AX336">
        <f t="shared" si="205"/>
        <v>0</v>
      </c>
      <c r="AY336">
        <f t="shared" si="206"/>
        <v>0</v>
      </c>
    </row>
    <row r="337" spans="14:51" x14ac:dyDescent="0.25">
      <c r="N337" s="170">
        <v>19</v>
      </c>
      <c r="O337" s="199">
        <f t="shared" si="208"/>
        <v>15488.166189124853</v>
      </c>
      <c r="P337" s="189" t="str">
        <f t="shared" si="173"/>
        <v>18.0065359477124</v>
      </c>
      <c r="Q337" s="160" t="str">
        <f t="shared" si="174"/>
        <v>1+30.5302017991106i</v>
      </c>
      <c r="R337" s="160">
        <f t="shared" si="182"/>
        <v>30.546574634390943</v>
      </c>
      <c r="S337" s="160">
        <f t="shared" si="183"/>
        <v>1.5380535818047505</v>
      </c>
      <c r="T337" s="160" t="str">
        <f t="shared" si="175"/>
        <v>1+0.038926007293866i</v>
      </c>
      <c r="U337" s="160">
        <f t="shared" si="184"/>
        <v>1.0007573302473691</v>
      </c>
      <c r="V337" s="160">
        <f t="shared" si="185"/>
        <v>3.8906364478372729E-2</v>
      </c>
      <c r="W337" s="98" t="str">
        <f t="shared" si="176"/>
        <v>1-0.549924202766526i</v>
      </c>
      <c r="X337" s="160">
        <f t="shared" si="186"/>
        <v>1.1412346948758607</v>
      </c>
      <c r="Y337" s="160">
        <f t="shared" si="187"/>
        <v>-0.5027850154119522</v>
      </c>
      <c r="Z337" s="98" t="str">
        <f t="shared" si="177"/>
        <v>0.997097820287009+0.164375114631754i</v>
      </c>
      <c r="AA337" s="160">
        <f t="shared" si="188"/>
        <v>1.0105559071774837</v>
      </c>
      <c r="AB337" s="160">
        <f t="shared" si="189"/>
        <v>0.16338404617511618</v>
      </c>
      <c r="AC337" s="171" t="str">
        <f t="shared" si="190"/>
        <v>-0.373151563542913-0.551899889742139i</v>
      </c>
      <c r="AD337" s="190">
        <f t="shared" si="191"/>
        <v>-3.5277788784693338</v>
      </c>
      <c r="AE337" s="169">
        <f t="shared" si="192"/>
        <v>-124.06348409271267</v>
      </c>
      <c r="AF337" s="98" t="str">
        <f t="shared" si="178"/>
        <v>-0.0000816326530612245</v>
      </c>
      <c r="AG337" s="98" t="str">
        <f t="shared" si="179"/>
        <v>0.00228690292851463i</v>
      </c>
      <c r="AH337" s="98">
        <f t="shared" si="193"/>
        <v>2.2869029285146301E-3</v>
      </c>
      <c r="AI337" s="98">
        <f t="shared" si="194"/>
        <v>1.5707963267948966</v>
      </c>
      <c r="AJ337" s="98" t="str">
        <f t="shared" si="180"/>
        <v>1+0.696941173144427i</v>
      </c>
      <c r="AK337" s="98">
        <f t="shared" si="195"/>
        <v>1.218904015426945</v>
      </c>
      <c r="AL337" s="98">
        <f t="shared" si="196"/>
        <v>0.60867010902002572</v>
      </c>
      <c r="AM337" s="98" t="str">
        <f t="shared" si="181"/>
        <v>1+10.9187450459294i</v>
      </c>
      <c r="AN337" s="98">
        <f t="shared" si="197"/>
        <v>10.964442228312747</v>
      </c>
      <c r="AO337" s="98">
        <f t="shared" si="198"/>
        <v>1.4794654999982122</v>
      </c>
      <c r="AP337" s="168" t="str">
        <f t="shared" si="199"/>
        <v>-0.245586623983503+0.206855152651455i</v>
      </c>
      <c r="AQ337" s="98">
        <f t="shared" si="200"/>
        <v>-9.8673356694652643</v>
      </c>
      <c r="AR337" s="169">
        <f t="shared" si="201"/>
        <v>139.89290072249446</v>
      </c>
      <c r="AS337" s="168" t="str">
        <f t="shared" si="202"/>
        <v>0.205804368665601+0.0583509070598411i</v>
      </c>
      <c r="AT337" s="190">
        <f t="shared" si="203"/>
        <v>-13.395114547934595</v>
      </c>
      <c r="AU337" s="169">
        <f t="shared" si="204"/>
        <v>15.829416629781822</v>
      </c>
      <c r="AV337" s="225"/>
      <c r="AX337">
        <f t="shared" si="205"/>
        <v>0</v>
      </c>
      <c r="AY337">
        <f t="shared" si="206"/>
        <v>0</v>
      </c>
    </row>
    <row r="338" spans="14:51" x14ac:dyDescent="0.25">
      <c r="N338" s="170">
        <v>20</v>
      </c>
      <c r="O338" s="199">
        <f t="shared" si="208"/>
        <v>15848.931924611146</v>
      </c>
      <c r="P338" s="189" t="str">
        <f t="shared" si="173"/>
        <v>18.0065359477124</v>
      </c>
      <c r="Q338" s="160" t="str">
        <f t="shared" si="174"/>
        <v>1+31.241341553947i</v>
      </c>
      <c r="R338" s="160">
        <f t="shared" si="182"/>
        <v>31.257341890992194</v>
      </c>
      <c r="S338" s="160">
        <f t="shared" si="183"/>
        <v>1.5387983831243455</v>
      </c>
      <c r="T338" s="160" t="str">
        <f t="shared" si="175"/>
        <v>1+0.0398327104812825i</v>
      </c>
      <c r="U338" s="160">
        <f t="shared" si="184"/>
        <v>1.0007930079813137</v>
      </c>
      <c r="V338" s="160">
        <f t="shared" si="185"/>
        <v>3.981166372591341E-2</v>
      </c>
      <c r="W338" s="98" t="str">
        <f t="shared" si="176"/>
        <v>1-0.562733582976565i</v>
      </c>
      <c r="X338" s="160">
        <f t="shared" si="186"/>
        <v>1.1474620191577769</v>
      </c>
      <c r="Y338" s="160">
        <f t="shared" si="187"/>
        <v>-0.51256688248762183</v>
      </c>
      <c r="Z338" s="98" t="str">
        <f t="shared" si="177"/>
        <v>0.996961044770952+0.168203902908019i</v>
      </c>
      <c r="AA338" s="160">
        <f t="shared" si="188"/>
        <v>1.0110508779207299</v>
      </c>
      <c r="AB338" s="160">
        <f t="shared" si="189"/>
        <v>0.16714256617913678</v>
      </c>
      <c r="AC338" s="171" t="str">
        <f t="shared" si="190"/>
        <v>-0.373709323517388-0.537095043195282i</v>
      </c>
      <c r="AD338" s="190">
        <f t="shared" si="191"/>
        <v>-3.684245989194463</v>
      </c>
      <c r="AE338" s="169">
        <f t="shared" si="192"/>
        <v>-124.83009527146054</v>
      </c>
      <c r="AF338" s="98" t="str">
        <f t="shared" si="178"/>
        <v>-0.0000816326530612245</v>
      </c>
      <c r="AG338" s="98" t="str">
        <f t="shared" si="179"/>
        <v>0.00234017174077535i</v>
      </c>
      <c r="AH338" s="98">
        <f t="shared" si="193"/>
        <v>2.3401717407753502E-3</v>
      </c>
      <c r="AI338" s="98">
        <f t="shared" si="194"/>
        <v>1.5707963267948966</v>
      </c>
      <c r="AJ338" s="98" t="str">
        <f t="shared" si="180"/>
        <v>1+0.713175018510619i</v>
      </c>
      <c r="AK338" s="98">
        <f t="shared" si="195"/>
        <v>1.2282583633045703</v>
      </c>
      <c r="AL338" s="98">
        <f t="shared" si="196"/>
        <v>0.61951363883771771</v>
      </c>
      <c r="AM338" s="98" t="str">
        <f t="shared" si="181"/>
        <v>1+11.1730752899997i</v>
      </c>
      <c r="AN338" s="98">
        <f t="shared" si="197"/>
        <v>11.217736466685331</v>
      </c>
      <c r="AO338" s="98">
        <f t="shared" si="198"/>
        <v>1.4815332905224905</v>
      </c>
      <c r="AP338" s="168" t="str">
        <f t="shared" si="199"/>
        <v>-0.241860120313118+0.207371784753641i</v>
      </c>
      <c r="AQ338" s="98">
        <f t="shared" si="200"/>
        <v>-9.9353663237211247</v>
      </c>
      <c r="AR338" s="169">
        <f t="shared" si="201"/>
        <v>139.39008789887467</v>
      </c>
      <c r="AS338" s="168" t="str">
        <f t="shared" si="202"/>
        <v>0.201763739637789+0.0524051023699137i</v>
      </c>
      <c r="AT338" s="190">
        <f t="shared" si="203"/>
        <v>-13.619612312915583</v>
      </c>
      <c r="AU338" s="169">
        <f t="shared" si="204"/>
        <v>14.559992627414152</v>
      </c>
      <c r="AV338" s="225"/>
      <c r="AX338">
        <f t="shared" si="205"/>
        <v>0</v>
      </c>
      <c r="AY338">
        <f t="shared" si="206"/>
        <v>0</v>
      </c>
    </row>
    <row r="339" spans="14:51" x14ac:dyDescent="0.25">
      <c r="N339" s="170">
        <v>21</v>
      </c>
      <c r="O339" s="199">
        <f t="shared" si="208"/>
        <v>16218.100973589309</v>
      </c>
      <c r="P339" s="189" t="str">
        <f t="shared" ref="P339:P402" si="209">COMPLEX(Adc,0)</f>
        <v>18.0065359477124</v>
      </c>
      <c r="Q339" s="160" t="str">
        <f t="shared" ref="Q339:Q402" si="210">IMSUM(COMPLEX(1,0),IMDIV(COMPLEX(0,2*PI()*O339),COMPLEX(wp_lf,0)))</f>
        <v>1+31.9690458816035i</v>
      </c>
      <c r="R339" s="160">
        <f t="shared" si="182"/>
        <v>31.984682186635364</v>
      </c>
      <c r="S339" s="160">
        <f t="shared" si="183"/>
        <v>1.5395262650128914</v>
      </c>
      <c r="T339" s="160" t="str">
        <f t="shared" ref="T339:T402" si="211">IMSUM(COMPLEX(1,0),IMDIV(COMPLEX(0,2*PI()*O339),COMPLEX(wz_esr,0)))</f>
        <v>1+0.0407605334990444i</v>
      </c>
      <c r="U339" s="160">
        <f t="shared" si="184"/>
        <v>1.0008303657918891</v>
      </c>
      <c r="V339" s="160">
        <f t="shared" si="185"/>
        <v>4.0737982504784449E-2</v>
      </c>
      <c r="W339" s="98" t="str">
        <f t="shared" ref="W339:W402" si="212">IMSUB(COMPLEX(1,0),IMDIV(COMPLEX(0,2*PI()*O339),COMPLEX(wz_rhp,0)))</f>
        <v>1-0.575841331980958i</v>
      </c>
      <c r="X339" s="160">
        <f t="shared" si="186"/>
        <v>1.1539468097003449</v>
      </c>
      <c r="Y339" s="160">
        <f t="shared" si="187"/>
        <v>-0.52246633325022496</v>
      </c>
      <c r="Z339" s="98" t="str">
        <f t="shared" ref="Z339:Z402" si="213">IF(Dc_Mode_Loop="CCM",IMSUM(COMPLEX(1,0),IMDIV(COMPLEX(0,2*PI()*O339),COMPLEX(Q*(wsl/2),0)),IMDIV(IMPOWER(COMPLEX(0,2*PI()*O339),2),IMPOWER(COMPLEX(wsl/2,0),2))),COMPLEX(1,0))</f>
        <v>0.996817823223416+0.172121875120047i</v>
      </c>
      <c r="AA339" s="160">
        <f t="shared" si="188"/>
        <v>1.0115689361534934</v>
      </c>
      <c r="AB339" s="160">
        <f t="shared" si="189"/>
        <v>0.17098531832196087</v>
      </c>
      <c r="AC339" s="171" t="str">
        <f t="shared" si="190"/>
        <v>-0.374212406760905-0.522576885563232i</v>
      </c>
      <c r="AD339" s="190">
        <f t="shared" si="191"/>
        <v>-3.8392217446687793</v>
      </c>
      <c r="AE339" s="169">
        <f t="shared" si="192"/>
        <v>-125.60609590283852</v>
      </c>
      <c r="AF339" s="98" t="str">
        <f t="shared" ref="AF339:AF402" si="214">COMPLEX(Adc_ea,0)</f>
        <v>-0.0000816326530612245</v>
      </c>
      <c r="AG339" s="98" t="str">
        <f t="shared" ref="AG339:AG402" si="215">COMPLEX(0,2*PI()*O339*wp0_ea)</f>
        <v>0.00239468134306887i</v>
      </c>
      <c r="AH339" s="98">
        <f t="shared" si="193"/>
        <v>2.3946813430688698E-3</v>
      </c>
      <c r="AI339" s="98">
        <f t="shared" si="194"/>
        <v>1.5707963267948966</v>
      </c>
      <c r="AJ339" s="98" t="str">
        <f t="shared" ref="AJ339:AJ402" si="216">IMSUM(COMPLEX(1,0),IMDIV(COMPLEX(0,2*PI()*O339),COMPLEX(wp1_ea,0)))</f>
        <v>1+0.729786998711611i</v>
      </c>
      <c r="AK339" s="98">
        <f t="shared" si="195"/>
        <v>1.2379778121955582</v>
      </c>
      <c r="AL339" s="98">
        <f t="shared" si="196"/>
        <v>0.63043878996647373</v>
      </c>
      <c r="AM339" s="98" t="str">
        <f t="shared" ref="AM339:AM402" si="217">IMSUM(COMPLEX(1,0),IMDIV(COMPLEX(0,2*PI()*O339),COMPLEX(wz_ea,0)))</f>
        <v>1+11.433329646482i</v>
      </c>
      <c r="AN339" s="98">
        <f t="shared" si="197"/>
        <v>11.476978121662697</v>
      </c>
      <c r="AO339" s="98">
        <f t="shared" si="198"/>
        <v>1.4835547522208621</v>
      </c>
      <c r="AP339" s="168" t="str">
        <f t="shared" si="199"/>
        <v>-0.238077307541122+0.207834874381194i</v>
      </c>
      <c r="AQ339" s="98">
        <f t="shared" si="200"/>
        <v>-10.005382532700809</v>
      </c>
      <c r="AR339" s="169">
        <f t="shared" si="201"/>
        <v>138.87994407241854</v>
      </c>
      <c r="AS339" s="168" t="str">
        <f t="shared" si="202"/>
        <v>0.197701183615669+0.0466393093470823i</v>
      </c>
      <c r="AT339" s="190">
        <f t="shared" si="203"/>
        <v>-13.844604277369603</v>
      </c>
      <c r="AU339" s="169">
        <f t="shared" si="204"/>
        <v>13.273848169580033</v>
      </c>
      <c r="AV339" s="225"/>
      <c r="AX339">
        <f t="shared" si="205"/>
        <v>0</v>
      </c>
      <c r="AY339">
        <f t="shared" si="206"/>
        <v>0</v>
      </c>
    </row>
    <row r="340" spans="14:51" x14ac:dyDescent="0.25">
      <c r="N340" s="170">
        <v>22</v>
      </c>
      <c r="O340" s="199">
        <f t="shared" si="208"/>
        <v>16595.869074375616</v>
      </c>
      <c r="P340" s="189" t="str">
        <f t="shared" si="209"/>
        <v>18.0065359477124</v>
      </c>
      <c r="Q340" s="160" t="str">
        <f t="shared" si="210"/>
        <v>1+32.7137006205468i</v>
      </c>
      <c r="R340" s="160">
        <f t="shared" ref="R340:R403" si="218">IMABS(Q340)</f>
        <v>32.728981167930726</v>
      </c>
      <c r="S340" s="160">
        <f t="shared" ref="S340:S403" si="219">IMARGUMENT(Q340)</f>
        <v>1.5402376103161113</v>
      </c>
      <c r="T340" s="160" t="str">
        <f t="shared" si="211"/>
        <v>1+0.0417099682911972i</v>
      </c>
      <c r="U340" s="160">
        <f t="shared" ref="U340:U403" si="220">IMABS(T340)</f>
        <v>1.0008694827273197</v>
      </c>
      <c r="V340" s="160">
        <f t="shared" ref="V340:V403" si="221">IMARGUMENT(T340)</f>
        <v>4.1685805599093427E-2</v>
      </c>
      <c r="W340" s="98" t="str">
        <f t="shared" si="212"/>
        <v>1-0.589254399681732i</v>
      </c>
      <c r="X340" s="160">
        <f t="shared" ref="X340:X403" si="222">IMABS(W340)</f>
        <v>1.160698387844266</v>
      </c>
      <c r="Y340" s="160">
        <f t="shared" ref="Y340:Y403" si="223">IMARGUMENT(W340)</f>
        <v>-0.53248085476500806</v>
      </c>
      <c r="Z340" s="98" t="str">
        <f t="shared" si="213"/>
        <v>0.996667851852294+0.176131108628568i</v>
      </c>
      <c r="AA340" s="160">
        <f t="shared" ref="AA340:AA403" si="224">IMABS(Z340)</f>
        <v>1.0121111472277118</v>
      </c>
      <c r="AB340" s="160">
        <f t="shared" ref="AB340:AB403" si="225">IMARGUMENT(Z340)</f>
        <v>0.17491403464682734</v>
      </c>
      <c r="AC340" s="171" t="str">
        <f t="shared" ref="AC340:AC403" si="226">(IMDIV(IMPRODUCT(P340,T340,W340),IMPRODUCT(Q340,Z340)))</f>
        <v>-0.374661962819407-0.5083381943575i</v>
      </c>
      <c r="AD340" s="190">
        <f t="shared" ref="AD340:AD403" si="227">20*LOG(IMABS(AC340))</f>
        <v>-3.9926738653112928</v>
      </c>
      <c r="AE340" s="169">
        <f t="shared" ref="AE340:AE403" si="228">(180/PI())*IMARGUMENT(AC340)</f>
        <v>-126.39143540441961</v>
      </c>
      <c r="AF340" s="98" t="str">
        <f t="shared" si="214"/>
        <v>-0.0000816326530612245</v>
      </c>
      <c r="AG340" s="98" t="str">
        <f t="shared" si="215"/>
        <v>0.00245046063710783i</v>
      </c>
      <c r="AH340" s="98">
        <f t="shared" ref="AH340:AH403" si="229">IMABS(AG340)</f>
        <v>2.4504606371078298E-3</v>
      </c>
      <c r="AI340" s="98">
        <f t="shared" ref="AI340:AI403" si="230">IMARGUMENT(AG340)</f>
        <v>1.5707963267948966</v>
      </c>
      <c r="AJ340" s="98" t="str">
        <f t="shared" si="216"/>
        <v>1+0.746785921639198i</v>
      </c>
      <c r="AK340" s="98">
        <f t="shared" ref="AK340:AK403" si="231">IMABS(AJ340)</f>
        <v>1.2480742016236479</v>
      </c>
      <c r="AL340" s="98">
        <f t="shared" ref="AL340:AL403" si="232">IMARGUMENT(AJ340)</f>
        <v>0.64144092318557488</v>
      </c>
      <c r="AM340" s="98" t="str">
        <f t="shared" si="217"/>
        <v>1+11.6996461056808i</v>
      </c>
      <c r="AN340" s="98">
        <f t="shared" ref="AN340:AN403" si="233">IMABS(AM340)</f>
        <v>11.742304671493239</v>
      </c>
      <c r="AO340" s="98">
        <f t="shared" ref="AO340:AO403" si="234">IMARGUMENT(AM340)</f>
        <v>1.4855308907799509</v>
      </c>
      <c r="AP340" s="168" t="str">
        <f t="shared" ref="AP340:AP403" si="235">IMPRODUCT(AF340,IMDIV(AM340,IMPRODUCT(AG340,AJ340)))</f>
        <v>-0.234240999304448+0.20824106739664i</v>
      </c>
      <c r="AQ340" s="98">
        <f t="shared" ref="AQ340:AQ403" si="236">20*LOG(IMABS(AP340))</f>
        <v>-10.077417618133293</v>
      </c>
      <c r="AR340" s="169">
        <f t="shared" ref="AR340:AR403" si="237">(180/PI())*IMARGUMENT(AP340)</f>
        <v>138.36279267249213</v>
      </c>
      <c r="AS340" s="168" t="str">
        <f t="shared" ref="AS340:AS403" si="238">IMPRODUCT(AC340,AP340)</f>
        <v>0.19361808076367+0.041053639580486i</v>
      </c>
      <c r="AT340" s="190">
        <f t="shared" ref="AT340:AT403" si="239">20*LOG(IMABS(AS340))</f>
        <v>-14.070091483444598</v>
      </c>
      <c r="AU340" s="169">
        <f t="shared" ref="AU340:AU403" si="240">(180/PI())*IMARGUMENT(AS340)</f>
        <v>11.971357268072559</v>
      </c>
      <c r="AV340" s="225"/>
      <c r="AX340">
        <f t="shared" ref="AX340:AX403" si="241">SUM((AT341&lt;0)*(AT340&gt;0))*O340</f>
        <v>0</v>
      </c>
      <c r="AY340">
        <f t="shared" ref="AY340:AY403" si="242">IF(AX340&gt;0,AU340,0)</f>
        <v>0</v>
      </c>
    </row>
    <row r="341" spans="14:51" x14ac:dyDescent="0.25">
      <c r="N341" s="170">
        <v>23</v>
      </c>
      <c r="O341" s="199">
        <f t="shared" si="208"/>
        <v>16982.436524617482</v>
      </c>
      <c r="P341" s="189" t="str">
        <f t="shared" si="209"/>
        <v>18.0065359477124</v>
      </c>
      <c r="Q341" s="160" t="str">
        <f t="shared" si="210"/>
        <v>1+33.4757005965763i</v>
      </c>
      <c r="R341" s="160">
        <f t="shared" si="218"/>
        <v>33.490633473131247</v>
      </c>
      <c r="S341" s="160">
        <f t="shared" si="219"/>
        <v>1.540932793317459</v>
      </c>
      <c r="T341" s="160" t="str">
        <f t="shared" si="211"/>
        <v>1+0.0426815182606348i</v>
      </c>
      <c r="U341" s="160">
        <f t="shared" si="220"/>
        <v>1.0009104415486096</v>
      </c>
      <c r="V341" s="160">
        <f t="shared" si="221"/>
        <v>4.2655628741351655E-2</v>
      </c>
      <c r="W341" s="98" t="str">
        <f t="shared" si="212"/>
        <v>1-0.602979897864922i</v>
      </c>
      <c r="X341" s="160">
        <f t="shared" si="222"/>
        <v>1.1677263194897989</v>
      </c>
      <c r="Y341" s="160">
        <f t="shared" si="223"/>
        <v>-0.54260772137606494</v>
      </c>
      <c r="Z341" s="98" t="str">
        <f t="shared" si="213"/>
        <v>0.996510812548202+0.180233729182255i</v>
      </c>
      <c r="AA341" s="160">
        <f t="shared" si="224"/>
        <v>1.0126786245697201</v>
      </c>
      <c r="AB341" s="160">
        <f t="shared" si="225"/>
        <v>0.17893047193720391</v>
      </c>
      <c r="AC341" s="171" t="str">
        <f t="shared" si="226"/>
        <v>-0.37505903722166-0.494371904077562i</v>
      </c>
      <c r="AD341" s="190">
        <f t="shared" si="227"/>
        <v>-4.1445708838340902</v>
      </c>
      <c r="AE341" s="169">
        <f t="shared" si="228"/>
        <v>-127.18605130538364</v>
      </c>
      <c r="AF341" s="98" t="str">
        <f t="shared" si="214"/>
        <v>-0.0000816326530612245</v>
      </c>
      <c r="AG341" s="98" t="str">
        <f t="shared" si="215"/>
        <v>0.00250753919781228i</v>
      </c>
      <c r="AH341" s="98">
        <f t="shared" si="229"/>
        <v>2.50753919781228E-3</v>
      </c>
      <c r="AI341" s="98">
        <f t="shared" si="230"/>
        <v>1.5707963267948966</v>
      </c>
      <c r="AJ341" s="98" t="str">
        <f t="shared" si="216"/>
        <v>1+0.76418080034732i</v>
      </c>
      <c r="AK341" s="98">
        <f t="shared" si="231"/>
        <v>1.2585596114683923</v>
      </c>
      <c r="AL341" s="98">
        <f t="shared" si="232"/>
        <v>0.65251521810455615</v>
      </c>
      <c r="AM341" s="98" t="str">
        <f t="shared" si="217"/>
        <v>1+11.9721658721081i</v>
      </c>
      <c r="AN341" s="98">
        <f t="shared" si="233"/>
        <v>12.013856819076457</v>
      </c>
      <c r="AO341" s="98">
        <f t="shared" si="234"/>
        <v>1.4874626922037959</v>
      </c>
      <c r="AP341" s="168" t="str">
        <f t="shared" si="235"/>
        <v>-0.230354204307353+0.208587146344925i</v>
      </c>
      <c r="AQ341" s="98">
        <f t="shared" si="236"/>
        <v>-10.151503165197614</v>
      </c>
      <c r="AR341" s="169">
        <f t="shared" si="237"/>
        <v>137.838966380995</v>
      </c>
      <c r="AS341" s="168" t="str">
        <f t="shared" si="238"/>
        <v>0.189516050792123+0.0356481523107568i</v>
      </c>
      <c r="AT341" s="190">
        <f t="shared" si="239"/>
        <v>-14.296074049031706</v>
      </c>
      <c r="AU341" s="169">
        <f t="shared" si="240"/>
        <v>10.652915075611391</v>
      </c>
      <c r="AV341" s="225"/>
      <c r="AX341">
        <f t="shared" si="241"/>
        <v>0</v>
      </c>
      <c r="AY341">
        <f t="shared" si="242"/>
        <v>0</v>
      </c>
    </row>
    <row r="342" spans="14:51" x14ac:dyDescent="0.25">
      <c r="N342" s="170">
        <v>24</v>
      </c>
      <c r="O342" s="199">
        <f t="shared" si="208"/>
        <v>17378.008287493791</v>
      </c>
      <c r="P342" s="189" t="str">
        <f t="shared" si="209"/>
        <v>18.0065359477124</v>
      </c>
      <c r="Q342" s="160" t="str">
        <f t="shared" si="210"/>
        <v>1+34.255449832165i</v>
      </c>
      <c r="R342" s="160">
        <f t="shared" si="218"/>
        <v>34.270042941379188</v>
      </c>
      <c r="S342" s="160">
        <f t="shared" si="219"/>
        <v>1.5416121799228844</v>
      </c>
      <c r="T342" s="160" t="str">
        <f t="shared" si="211"/>
        <v>1+0.0436756985360104i</v>
      </c>
      <c r="U342" s="160">
        <f t="shared" si="220"/>
        <v>1.0009533289033052</v>
      </c>
      <c r="V342" s="160">
        <f t="shared" si="221"/>
        <v>4.3647958843076685E-2</v>
      </c>
      <c r="W342" s="98" t="str">
        <f t="shared" si="212"/>
        <v>1-0.617025103971336i</v>
      </c>
      <c r="X342" s="160">
        <f t="shared" si="222"/>
        <v>1.175040415871232</v>
      </c>
      <c r="Y342" s="160">
        <f t="shared" si="223"/>
        <v>-0.55284399361162795</v>
      </c>
      <c r="Z342" s="98" t="str">
        <f t="shared" si="213"/>
        <v>0.996346372209722+0.184431912044828i</v>
      </c>
      <c r="AA342" s="160">
        <f t="shared" si="224"/>
        <v>1.0132725317484852</v>
      </c>
      <c r="AB342" s="160">
        <f t="shared" si="225"/>
        <v>0.18303641127579703</v>
      </c>
      <c r="AC342" s="171" t="str">
        <f t="shared" si="226"/>
        <v>-0.375404574381457-0.480671104460694i</v>
      </c>
      <c r="AD342" s="190">
        <f t="shared" si="227"/>
        <v>-4.2948822638352384</v>
      </c>
      <c r="AE342" s="169">
        <f t="shared" si="228"/>
        <v>-127.98986915590238</v>
      </c>
      <c r="AF342" s="98" t="str">
        <f t="shared" si="214"/>
        <v>-0.0000816326530612245</v>
      </c>
      <c r="AG342" s="98" t="str">
        <f t="shared" si="215"/>
        <v>0.00256594728899061i</v>
      </c>
      <c r="AH342" s="98">
        <f t="shared" si="229"/>
        <v>2.5659472889906099E-3</v>
      </c>
      <c r="AI342" s="98">
        <f t="shared" si="230"/>
        <v>1.5707963267948966</v>
      </c>
      <c r="AJ342" s="98" t="str">
        <f t="shared" si="216"/>
        <v>1+0.781980857830907i</v>
      </c>
      <c r="AK342" s="98">
        <f t="shared" si="231"/>
        <v>1.2694463604319646</v>
      </c>
      <c r="AL342" s="98">
        <f t="shared" si="232"/>
        <v>0.66365668167018932</v>
      </c>
      <c r="AM342" s="98" t="str">
        <f t="shared" si="217"/>
        <v>1+12.2510334393509i</v>
      </c>
      <c r="AN342" s="98">
        <f t="shared" si="233"/>
        <v>12.291778566671869</v>
      </c>
      <c r="AO342" s="98">
        <f t="shared" si="234"/>
        <v>1.4893511230533738</v>
      </c>
      <c r="AP342" s="168" t="str">
        <f t="shared" si="235"/>
        <v>-0.226420119318535+0.20887004558897i</v>
      </c>
      <c r="AQ342" s="98">
        <f t="shared" si="236"/>
        <v>-10.227668923406764</v>
      </c>
      <c r="AR342" s="169">
        <f t="shared" si="237"/>
        <v>137.30880665866863</v>
      </c>
      <c r="AS342" s="168" t="str">
        <f t="shared" si="238"/>
        <v>0.185396944026179+0.0304228382595995i</v>
      </c>
      <c r="AT342" s="190">
        <f t="shared" si="239"/>
        <v>-14.522551187242003</v>
      </c>
      <c r="AU342" s="169">
        <f t="shared" si="240"/>
        <v>9.3189375027662056</v>
      </c>
      <c r="AV342" s="225"/>
      <c r="AX342">
        <f t="shared" si="241"/>
        <v>0</v>
      </c>
      <c r="AY342">
        <f t="shared" si="242"/>
        <v>0</v>
      </c>
    </row>
    <row r="343" spans="14:51" x14ac:dyDescent="0.25">
      <c r="N343" s="170">
        <v>25</v>
      </c>
      <c r="O343" s="199">
        <f t="shared" si="208"/>
        <v>17782.794100389234</v>
      </c>
      <c r="P343" s="189" t="str">
        <f t="shared" si="209"/>
        <v>18.0065359477124</v>
      </c>
      <c r="Q343" s="160" t="str">
        <f t="shared" si="210"/>
        <v>1+35.0533617606792i</v>
      </c>
      <c r="R343" s="160">
        <f t="shared" si="218"/>
        <v>35.0676228268334</v>
      </c>
      <c r="S343" s="160">
        <f t="shared" si="219"/>
        <v>1.5422761278420682</v>
      </c>
      <c r="T343" s="160" t="str">
        <f t="shared" si="211"/>
        <v>1+0.044693036244866i</v>
      </c>
      <c r="U343" s="160">
        <f t="shared" si="220"/>
        <v>1.0009982355073284</v>
      </c>
      <c r="V343" s="160">
        <f t="shared" si="221"/>
        <v>4.466331422904072E-2</v>
      </c>
      <c r="W343" s="98" t="str">
        <f t="shared" si="212"/>
        <v>1-0.631397464955169i</v>
      </c>
      <c r="X343" s="160">
        <f t="shared" si="222"/>
        <v>1.182650734051188</v>
      </c>
      <c r="Y343" s="160">
        <f t="shared" si="223"/>
        <v>-0.56318651788930296</v>
      </c>
      <c r="Z343" s="98" t="str">
        <f t="shared" si="213"/>
        <v>0.996174182036847+0.188727883148412i</v>
      </c>
      <c r="AA343" s="160">
        <f t="shared" si="224"/>
        <v>1.013894084623469</v>
      </c>
      <c r="AB343" s="160">
        <f t="shared" si="225"/>
        <v>0.18723365753187918</v>
      </c>
      <c r="AC343" s="171" t="str">
        <f t="shared" si="226"/>
        <v>-0.375699420358301-0.467229038831379i</v>
      </c>
      <c r="AD343" s="190">
        <f t="shared" si="227"/>
        <v>-4.443578521477999</v>
      </c>
      <c r="AE343" s="169">
        <f t="shared" si="228"/>
        <v>-128.80280247783932</v>
      </c>
      <c r="AF343" s="98" t="str">
        <f t="shared" si="214"/>
        <v>-0.0000816326530612245</v>
      </c>
      <c r="AG343" s="98" t="str">
        <f t="shared" si="215"/>
        <v>0.00262571587938589i</v>
      </c>
      <c r="AH343" s="98">
        <f t="shared" si="229"/>
        <v>2.6257158793858899E-3</v>
      </c>
      <c r="AI343" s="98">
        <f t="shared" si="230"/>
        <v>1.5707963267948966</v>
      </c>
      <c r="AJ343" s="98" t="str">
        <f t="shared" si="216"/>
        <v>1+0.800195531916055i</v>
      </c>
      <c r="AK343" s="98">
        <f t="shared" si="231"/>
        <v>1.2807470044073568</v>
      </c>
      <c r="AL343" s="98">
        <f t="shared" si="232"/>
        <v>0.67486015763013507</v>
      </c>
      <c r="AM343" s="98" t="str">
        <f t="shared" si="217"/>
        <v>1+12.5363966666849i</v>
      </c>
      <c r="AN343" s="98">
        <f t="shared" si="233"/>
        <v>12.576217292352588</v>
      </c>
      <c r="AO343" s="98">
        <f t="shared" si="234"/>
        <v>1.4911971306939897</v>
      </c>
      <c r="AP343" s="168" t="str">
        <f t="shared" si="235"/>
        <v>-0.222442120758053+0.209086866037231i</v>
      </c>
      <c r="AQ343" s="98">
        <f t="shared" si="236"/>
        <v>-10.305942711480364</v>
      </c>
      <c r="AR343" s="169">
        <f t="shared" si="237"/>
        <v>136.77266321704366</v>
      </c>
      <c r="AS343" s="168" t="str">
        <f t="shared" si="238"/>
        <v>0.181262831282912+0.0253776039026772i</v>
      </c>
      <c r="AT343" s="190">
        <f t="shared" si="239"/>
        <v>-14.749521232958386</v>
      </c>
      <c r="AU343" s="169">
        <f t="shared" si="240"/>
        <v>7.9698607392043241</v>
      </c>
      <c r="AV343" s="225"/>
      <c r="AX343">
        <f t="shared" si="241"/>
        <v>0</v>
      </c>
      <c r="AY343">
        <f t="shared" si="242"/>
        <v>0</v>
      </c>
    </row>
    <row r="344" spans="14:51" x14ac:dyDescent="0.25">
      <c r="N344" s="170">
        <v>26</v>
      </c>
      <c r="O344" s="199">
        <f t="shared" si="208"/>
        <v>18197.008586099837</v>
      </c>
      <c r="P344" s="189" t="str">
        <f t="shared" si="209"/>
        <v>18.0065359477124</v>
      </c>
      <c r="Q344" s="160" t="str">
        <f t="shared" si="210"/>
        <v>1+35.8698594455853i</v>
      </c>
      <c r="R344" s="160">
        <f t="shared" si="218"/>
        <v>35.883796017785585</v>
      </c>
      <c r="S344" s="160">
        <f t="shared" si="219"/>
        <v>1.5429249867661576</v>
      </c>
      <c r="T344" s="160" t="str">
        <f t="shared" si="211"/>
        <v>1+0.0457340707931212i</v>
      </c>
      <c r="U344" s="160">
        <f t="shared" si="220"/>
        <v>1.0010452563352519</v>
      </c>
      <c r="V344" s="160">
        <f t="shared" si="221"/>
        <v>4.5702224875124577E-2</v>
      </c>
      <c r="W344" s="98" t="str">
        <f t="shared" si="212"/>
        <v>1-0.646104601232458i</v>
      </c>
      <c r="X344" s="160">
        <f t="shared" si="222"/>
        <v>1.1905675771386326</v>
      </c>
      <c r="Y344" s="160">
        <f t="shared" si="223"/>
        <v>-0.57363192706558475</v>
      </c>
      <c r="Z344" s="98" t="str">
        <f t="shared" si="213"/>
        <v>0.995993876791137+0.193123920273751i</v>
      </c>
      <c r="AA344" s="160">
        <f t="shared" si="224"/>
        <v>1.014544553574332</v>
      </c>
      <c r="AB344" s="160">
        <f t="shared" si="225"/>
        <v>0.1915240387721282</v>
      </c>
      <c r="AC344" s="171" t="str">
        <f t="shared" si="226"/>
        <v>-0.375944325487011-0.454039102555171i</v>
      </c>
      <c r="AD344" s="190">
        <f t="shared" si="227"/>
        <v>-4.5906313497409732</v>
      </c>
      <c r="AE344" s="169">
        <f t="shared" si="228"/>
        <v>-129.62475275903398</v>
      </c>
      <c r="AF344" s="98" t="str">
        <f t="shared" si="214"/>
        <v>-0.0000816326530612245</v>
      </c>
      <c r="AG344" s="98" t="str">
        <f t="shared" si="215"/>
        <v>0.00268687665909588i</v>
      </c>
      <c r="AH344" s="98">
        <f t="shared" si="229"/>
        <v>2.6868766590958798E-3</v>
      </c>
      <c r="AI344" s="98">
        <f t="shared" si="230"/>
        <v>1.5707963267948966</v>
      </c>
      <c r="AJ344" s="98" t="str">
        <f t="shared" si="216"/>
        <v>1+0.818834480264071i</v>
      </c>
      <c r="AK344" s="98">
        <f t="shared" si="231"/>
        <v>1.2924743347816743</v>
      </c>
      <c r="AL344" s="98">
        <f t="shared" si="232"/>
        <v>0.68612033692250851</v>
      </c>
      <c r="AM344" s="98" t="str">
        <f t="shared" si="217"/>
        <v>1+12.8284068574705i</v>
      </c>
      <c r="AN344" s="98">
        <f t="shared" si="233"/>
        <v>12.867323828240126</v>
      </c>
      <c r="AO344" s="98">
        <f t="shared" si="234"/>
        <v>1.4930016435495008</v>
      </c>
      <c r="AP344" s="168" t="str">
        <f t="shared" si="235"/>
        <v>-0.218423754897665+0.209234889315432i</v>
      </c>
      <c r="AQ344" s="98">
        <f t="shared" si="236"/>
        <v>-10.386350326983484</v>
      </c>
      <c r="AR344" s="169">
        <f t="shared" si="237"/>
        <v>136.23089343772799</v>
      </c>
      <c r="AS344" s="168" t="str">
        <f t="shared" si="238"/>
        <v>0.177115992573352+0.020512256318427i</v>
      </c>
      <c r="AT344" s="190">
        <f t="shared" si="239"/>
        <v>-14.976981676724463</v>
      </c>
      <c r="AU344" s="169">
        <f t="shared" si="240"/>
        <v>6.6061406786940386</v>
      </c>
      <c r="AV344" s="225"/>
      <c r="AX344">
        <f t="shared" si="241"/>
        <v>0</v>
      </c>
      <c r="AY344">
        <f t="shared" si="242"/>
        <v>0</v>
      </c>
    </row>
    <row r="345" spans="14:51" x14ac:dyDescent="0.25">
      <c r="N345" s="170">
        <v>27</v>
      </c>
      <c r="O345" s="199">
        <f t="shared" si="208"/>
        <v>18620.871366628675</v>
      </c>
      <c r="P345" s="189" t="str">
        <f t="shared" si="209"/>
        <v>18.0065359477124</v>
      </c>
      <c r="Q345" s="160" t="str">
        <f t="shared" si="210"/>
        <v>1+36.705375804763i</v>
      </c>
      <c r="R345" s="160">
        <f t="shared" si="218"/>
        <v>36.71899526088481</v>
      </c>
      <c r="S345" s="160">
        <f t="shared" si="219"/>
        <v>1.5435590985420418</v>
      </c>
      <c r="T345" s="160" t="str">
        <f t="shared" si="211"/>
        <v>1+0.0467993541510728i</v>
      </c>
      <c r="U345" s="160">
        <f t="shared" si="220"/>
        <v>1.0010944908194019</v>
      </c>
      <c r="V345" s="160">
        <f t="shared" si="221"/>
        <v>4.6765232649735061E-2</v>
      </c>
      <c r="W345" s="98" t="str">
        <f t="shared" si="212"/>
        <v>1-0.661154310721525i</v>
      </c>
      <c r="X345" s="160">
        <f t="shared" si="222"/>
        <v>1.1988014942373297</v>
      </c>
      <c r="Y345" s="160">
        <f t="shared" si="223"/>
        <v>-0.58417664186969598</v>
      </c>
      <c r="Z345" s="98" t="str">
        <f t="shared" si="213"/>
        <v>0.99580507402099+0.197622354257917i</v>
      </c>
      <c r="AA345" s="160">
        <f t="shared" si="224"/>
        <v>1.0152252658146326</v>
      </c>
      <c r="AB345" s="160">
        <f t="shared" si="225"/>
        <v>0.1959094055900017</v>
      </c>
      <c r="AC345" s="171" t="str">
        <f t="shared" si="226"/>
        <v>-0.376139946886824-0.441094841601636i</v>
      </c>
      <c r="AD345" s="190">
        <f t="shared" si="227"/>
        <v>-4.7360137446719168</v>
      </c>
      <c r="AE345" s="169">
        <f t="shared" si="228"/>
        <v>-130.45560949318241</v>
      </c>
      <c r="AF345" s="98" t="str">
        <f t="shared" si="214"/>
        <v>-0.0000816326530612245</v>
      </c>
      <c r="AG345" s="98" t="str">
        <f t="shared" si="215"/>
        <v>0.00274946205637554i</v>
      </c>
      <c r="AH345" s="98">
        <f t="shared" si="229"/>
        <v>2.7494620563755399E-3</v>
      </c>
      <c r="AI345" s="98">
        <f t="shared" si="230"/>
        <v>1.5707963267948966</v>
      </c>
      <c r="AJ345" s="98" t="str">
        <f t="shared" si="216"/>
        <v>1+0.837907585492077i</v>
      </c>
      <c r="AK345" s="98">
        <f t="shared" si="231"/>
        <v>1.3046413767105358</v>
      </c>
      <c r="AL345" s="98">
        <f t="shared" si="232"/>
        <v>0.69743176895136016</v>
      </c>
      <c r="AM345" s="98" t="str">
        <f t="shared" si="217"/>
        <v>1+13.1272188393759i</v>
      </c>
      <c r="AN345" s="98">
        <f t="shared" si="233"/>
        <v>13.16525254056547</v>
      </c>
      <c r="AO345" s="98">
        <f t="shared" si="234"/>
        <v>1.4947655713624672</v>
      </c>
      <c r="AP345" s="168" t="str">
        <f t="shared" si="235"/>
        <v>-0.214368726715703+0.209311591235536i</v>
      </c>
      <c r="AQ345" s="98">
        <f t="shared" si="236"/>
        <v>-10.468915461487544</v>
      </c>
      <c r="AR345" s="169">
        <f t="shared" si="237"/>
        <v>135.68386174127437</v>
      </c>
      <c r="AS345" s="168" t="str">
        <f t="shared" si="238"/>
        <v>0.172958904662466+0.0158264887448763i</v>
      </c>
      <c r="AT345" s="190">
        <f t="shared" si="239"/>
        <v>-15.204929206159445</v>
      </c>
      <c r="AU345" s="169">
        <f t="shared" si="240"/>
        <v>5.2282522480919447</v>
      </c>
      <c r="AV345" s="225"/>
      <c r="AX345">
        <f t="shared" si="241"/>
        <v>0</v>
      </c>
      <c r="AY345">
        <f t="shared" si="242"/>
        <v>0</v>
      </c>
    </row>
    <row r="346" spans="14:51" x14ac:dyDescent="0.25">
      <c r="N346" s="170">
        <v>28</v>
      </c>
      <c r="O346" s="199">
        <f t="shared" si="208"/>
        <v>19054.607179632505</v>
      </c>
      <c r="P346" s="189" t="str">
        <f t="shared" si="209"/>
        <v>18.0065359477124</v>
      </c>
      <c r="Q346" s="160" t="str">
        <f t="shared" si="210"/>
        <v>1+37.5603538400458i</v>
      </c>
      <c r="R346" s="160">
        <f t="shared" si="218"/>
        <v>37.573663390591065</v>
      </c>
      <c r="S346" s="160">
        <f t="shared" si="219"/>
        <v>1.5441787973432106</v>
      </c>
      <c r="T346" s="160" t="str">
        <f t="shared" si="211"/>
        <v>1+0.0478894511460584i</v>
      </c>
      <c r="U346" s="160">
        <f t="shared" si="220"/>
        <v>1.0011460430581898</v>
      </c>
      <c r="V346" s="160">
        <f t="shared" si="221"/>
        <v>4.7852891558731833E-2</v>
      </c>
      <c r="W346" s="98" t="str">
        <f t="shared" si="212"/>
        <v>1-0.676554572977554i</v>
      </c>
      <c r="X346" s="160">
        <f t="shared" si="222"/>
        <v>1.2073632801343763</v>
      </c>
      <c r="Y346" s="160">
        <f t="shared" si="223"/>
        <v>-0.59481687325662724</v>
      </c>
      <c r="Z346" s="98" t="str">
        <f t="shared" si="213"/>
        <v>0.995607373250418+0.202225570230152i</v>
      </c>
      <c r="AA346" s="160">
        <f t="shared" si="224"/>
        <v>1.0159376077916928</v>
      </c>
      <c r="AB346" s="160">
        <f t="shared" si="225"/>
        <v>0.20039163034844715</v>
      </c>
      <c r="AC346" s="171" t="str">
        <f t="shared" si="226"/>
        <v>-0.376286850860658-0.428389951220603i</v>
      </c>
      <c r="AD346" s="190">
        <f t="shared" si="227"/>
        <v>-4.8797001330307603</v>
      </c>
      <c r="AE346" s="169">
        <f t="shared" si="228"/>
        <v>-131.29525026702507</v>
      </c>
      <c r="AF346" s="98" t="str">
        <f t="shared" si="214"/>
        <v>-0.0000816326530612245</v>
      </c>
      <c r="AG346" s="98" t="str">
        <f t="shared" si="215"/>
        <v>0.00281350525483092i</v>
      </c>
      <c r="AH346" s="98">
        <f t="shared" si="229"/>
        <v>2.8135052548309198E-3</v>
      </c>
      <c r="AI346" s="98">
        <f t="shared" si="230"/>
        <v>1.5707963267948966</v>
      </c>
      <c r="AJ346" s="98" t="str">
        <f t="shared" si="216"/>
        <v>1+0.857424960412936i</v>
      </c>
      <c r="AK346" s="98">
        <f t="shared" si="231"/>
        <v>1.3172613874015759</v>
      </c>
      <c r="AL346" s="98">
        <f t="shared" si="232"/>
        <v>0.7087888736988911</v>
      </c>
      <c r="AM346" s="98" t="str">
        <f t="shared" si="217"/>
        <v>1+13.4329910464694i</v>
      </c>
      <c r="AN346" s="98">
        <f t="shared" si="233"/>
        <v>13.470161411598864</v>
      </c>
      <c r="AO346" s="98">
        <f t="shared" si="234"/>
        <v>1.4964898054593612</v>
      </c>
      <c r="AP346" s="168" t="str">
        <f t="shared" si="235"/>
        <v>-0.2102808874651+0.209314654418091i</v>
      </c>
      <c r="AQ346" s="98">
        <f t="shared" si="236"/>
        <v>-10.553659621983126</v>
      </c>
      <c r="AR346" s="169">
        <f t="shared" si="237"/>
        <v>135.13193890839739</v>
      </c>
      <c r="AS346" s="168" t="str">
        <f t="shared" si="238"/>
        <v>0.16879422753635+0.0113198669738289i</v>
      </c>
      <c r="AT346" s="190">
        <f t="shared" si="239"/>
        <v>-15.433359755013903</v>
      </c>
      <c r="AU346" s="169">
        <f t="shared" si="240"/>
        <v>3.8366886413723011</v>
      </c>
      <c r="AV346" s="225"/>
      <c r="AX346">
        <f t="shared" si="241"/>
        <v>0</v>
      </c>
      <c r="AY346">
        <f t="shared" si="242"/>
        <v>0</v>
      </c>
    </row>
    <row r="347" spans="14:51" x14ac:dyDescent="0.25">
      <c r="N347" s="170">
        <v>29</v>
      </c>
      <c r="O347" s="199">
        <f t="shared" si="208"/>
        <v>19498.445997580486</v>
      </c>
      <c r="P347" s="189" t="str">
        <f t="shared" si="209"/>
        <v>18.0065359477124</v>
      </c>
      <c r="Q347" s="160" t="str">
        <f t="shared" si="210"/>
        <v>1+38.4352468721042i</v>
      </c>
      <c r="R347" s="160">
        <f t="shared" si="218"/>
        <v>38.448253563973438</v>
      </c>
      <c r="S347" s="160">
        <f t="shared" si="219"/>
        <v>1.5447844098372343</v>
      </c>
      <c r="T347" s="160" t="str">
        <f t="shared" si="211"/>
        <v>1+0.0490049397619328i</v>
      </c>
      <c r="U347" s="160">
        <f t="shared" si="220"/>
        <v>1.0012000220340942</v>
      </c>
      <c r="V347" s="160">
        <f t="shared" si="221"/>
        <v>4.8965767993790987E-2</v>
      </c>
      <c r="W347" s="98" t="str">
        <f t="shared" si="212"/>
        <v>1-0.692313553423425i</v>
      </c>
      <c r="X347" s="160">
        <f t="shared" si="222"/>
        <v>1.2162639747414086</v>
      </c>
      <c r="Y347" s="160">
        <f t="shared" si="223"/>
        <v>-0.60554862570833734</v>
      </c>
      <c r="Z347" s="98" t="str">
        <f t="shared" si="213"/>
        <v>0.995400355129581+0.206936008876493i</v>
      </c>
      <c r="AA347" s="160">
        <f t="shared" si="224"/>
        <v>1.0166830276747163</v>
      </c>
      <c r="AB347" s="160">
        <f t="shared" si="225"/>
        <v>0.20497260633056194</v>
      </c>
      <c r="AC347" s="171" t="str">
        <f t="shared" si="226"/>
        <v>-0.376385515195453-0.415918274736006i</v>
      </c>
      <c r="AD347" s="190">
        <f t="shared" si="227"/>
        <v>-5.0216665006572807</v>
      </c>
      <c r="AE347" s="169">
        <f t="shared" si="228"/>
        <v>-132.14354089619277</v>
      </c>
      <c r="AF347" s="98" t="str">
        <f t="shared" si="214"/>
        <v>-0.0000816326530612245</v>
      </c>
      <c r="AG347" s="98" t="str">
        <f t="shared" si="215"/>
        <v>0.00287904021101356i</v>
      </c>
      <c r="AH347" s="98">
        <f t="shared" si="229"/>
        <v>2.8790402110135602E-3</v>
      </c>
      <c r="AI347" s="98">
        <f t="shared" si="230"/>
        <v>1.5707963267948966</v>
      </c>
      <c r="AJ347" s="98" t="str">
        <f t="shared" si="216"/>
        <v>1+0.877396953397155i</v>
      </c>
      <c r="AK347" s="98">
        <f t="shared" si="231"/>
        <v>1.3303478544465763</v>
      </c>
      <c r="AL347" s="98">
        <f t="shared" si="232"/>
        <v>0.72018595461621082</v>
      </c>
      <c r="AM347" s="98" t="str">
        <f t="shared" si="217"/>
        <v>1+13.7458856032222i</v>
      </c>
      <c r="AN347" s="98">
        <f t="shared" si="233"/>
        <v>13.782212123489876</v>
      </c>
      <c r="AO347" s="98">
        <f t="shared" si="234"/>
        <v>1.4981752190200195</v>
      </c>
      <c r="AP347" s="168" t="str">
        <f t="shared" si="235"/>
        <v>-0.206164221030467+0.209241979929477i</v>
      </c>
      <c r="AQ347" s="98">
        <f t="shared" si="236"/>
        <v>-10.640602059238748</v>
      </c>
      <c r="AR347" s="169">
        <f t="shared" si="237"/>
        <v>134.57550135682558</v>
      </c>
      <c r="AS347" s="168" t="str">
        <f t="shared" si="238"/>
        <v>0.164624789842036+0.00699181670701161i</v>
      </c>
      <c r="AT347" s="190">
        <f t="shared" si="239"/>
        <v>-15.662268559896011</v>
      </c>
      <c r="AU347" s="169">
        <f t="shared" si="240"/>
        <v>2.4319604606328156</v>
      </c>
      <c r="AV347" s="225"/>
      <c r="AX347">
        <f t="shared" si="241"/>
        <v>0</v>
      </c>
      <c r="AY347">
        <f t="shared" si="242"/>
        <v>0</v>
      </c>
    </row>
    <row r="348" spans="14:51" x14ac:dyDescent="0.25">
      <c r="N348" s="170">
        <v>30</v>
      </c>
      <c r="O348" s="199">
        <f t="shared" si="208"/>
        <v>19952.623149688792</v>
      </c>
      <c r="P348" s="189" t="str">
        <f t="shared" si="209"/>
        <v>18.0065359477124</v>
      </c>
      <c r="Q348" s="160" t="str">
        <f t="shared" si="210"/>
        <v>1+39.330518780805i</v>
      </c>
      <c r="R348" s="160">
        <f t="shared" si="218"/>
        <v>39.343229500985998</v>
      </c>
      <c r="S348" s="160">
        <f t="shared" si="219"/>
        <v>1.5453762553499093</v>
      </c>
      <c r="T348" s="160" t="str">
        <f t="shared" si="211"/>
        <v>1+0.0501464114455264i</v>
      </c>
      <c r="U348" s="160">
        <f t="shared" si="220"/>
        <v>1.0012565418417321</v>
      </c>
      <c r="V348" s="160">
        <f t="shared" si="221"/>
        <v>5.0104440984137834E-2</v>
      </c>
      <c r="W348" s="98" t="str">
        <f t="shared" si="212"/>
        <v>1-0.70843960767918i</v>
      </c>
      <c r="X348" s="160">
        <f t="shared" si="222"/>
        <v>1.2255148623042604</v>
      </c>
      <c r="Y348" s="160">
        <f t="shared" si="223"/>
        <v>-0.6163677015056418</v>
      </c>
      <c r="Z348" s="98" t="str">
        <f t="shared" si="213"/>
        <v>0.995183580545289+0.211756167733864i</v>
      </c>
      <c r="AA348" s="160">
        <f t="shared" si="224"/>
        <v>1.0174630379332086</v>
      </c>
      <c r="AB348" s="160">
        <f t="shared" si="225"/>
        <v>0.20965424679264388</v>
      </c>
      <c r="AC348" s="171" t="str">
        <f t="shared" si="226"/>
        <v>-0.376436331374701-0.403673802461004i</v>
      </c>
      <c r="AD348" s="190">
        <f t="shared" si="227"/>
        <v>-5.1618905208609416</v>
      </c>
      <c r="AE348" s="169">
        <f t="shared" si="228"/>
        <v>-133.0003356106931</v>
      </c>
      <c r="AF348" s="98" t="str">
        <f t="shared" si="214"/>
        <v>-0.0000816326530612245</v>
      </c>
      <c r="AG348" s="98" t="str">
        <f t="shared" si="215"/>
        <v>0.00294610167242467i</v>
      </c>
      <c r="AH348" s="98">
        <f t="shared" si="229"/>
        <v>2.9461016724246702E-3</v>
      </c>
      <c r="AI348" s="98">
        <f t="shared" si="230"/>
        <v>1.5707963267948966</v>
      </c>
      <c r="AJ348" s="98" t="str">
        <f t="shared" si="216"/>
        <v>1+0.897834153859794i</v>
      </c>
      <c r="AK348" s="98">
        <f t="shared" si="231"/>
        <v>1.3439144942432657</v>
      </c>
      <c r="AL348" s="98">
        <f t="shared" si="232"/>
        <v>0.73161721222612763</v>
      </c>
      <c r="AM348" s="98" t="str">
        <f t="shared" si="217"/>
        <v>1+14.0660684104702i</v>
      </c>
      <c r="AN348" s="98">
        <f t="shared" si="233"/>
        <v>14.101570144066498</v>
      </c>
      <c r="AO348" s="98">
        <f t="shared" si="234"/>
        <v>1.4998226673506228</v>
      </c>
      <c r="AP348" s="168" t="str">
        <f t="shared" si="235"/>
        <v>-0.202022829166938+0.209091697803421i</v>
      </c>
      <c r="AQ348" s="98">
        <f t="shared" si="236"/>
        <v>-10.729759703750251</v>
      </c>
      <c r="AR348" s="169">
        <f t="shared" si="237"/>
        <v>134.0149303775602</v>
      </c>
      <c r="AS348" s="168" t="str">
        <f t="shared" si="238"/>
        <v>0.160453573380874+0.00284161199172027i</v>
      </c>
      <c r="AT348" s="190">
        <f t="shared" si="239"/>
        <v>-15.891650224611203</v>
      </c>
      <c r="AU348" s="169">
        <f t="shared" si="240"/>
        <v>1.0145947668671182</v>
      </c>
      <c r="AV348" s="225"/>
      <c r="AX348">
        <f t="shared" si="241"/>
        <v>0</v>
      </c>
      <c r="AY348">
        <f t="shared" si="242"/>
        <v>0</v>
      </c>
    </row>
    <row r="349" spans="14:51" x14ac:dyDescent="0.25">
      <c r="N349" s="170">
        <v>31</v>
      </c>
      <c r="O349" s="199">
        <f t="shared" si="208"/>
        <v>20417.379446695286</v>
      </c>
      <c r="P349" s="189" t="str">
        <f t="shared" si="209"/>
        <v>18.0065359477124</v>
      </c>
      <c r="Q349" s="160" t="str">
        <f t="shared" si="210"/>
        <v>1+40.2466442511642i</v>
      </c>
      <c r="R349" s="160">
        <f t="shared" si="218"/>
        <v>40.259065730339152</v>
      </c>
      <c r="S349" s="160">
        <f t="shared" si="219"/>
        <v>1.5459546460261115</v>
      </c>
      <c r="T349" s="160" t="str">
        <f t="shared" si="211"/>
        <v>1+0.0513144714202344i</v>
      </c>
      <c r="U349" s="160">
        <f t="shared" si="220"/>
        <v>1.001315721926475</v>
      </c>
      <c r="V349" s="160">
        <f t="shared" si="221"/>
        <v>5.1269502451544331E-2</v>
      </c>
      <c r="W349" s="98" t="str">
        <f t="shared" si="212"/>
        <v>1-0.724941285992229i</v>
      </c>
      <c r="X349" s="160">
        <f t="shared" si="222"/>
        <v>1.2351274703997426</v>
      </c>
      <c r="Y349" s="160">
        <f t="shared" si="223"/>
        <v>-0.62726970598587273</v>
      </c>
      <c r="Z349" s="98" t="str">
        <f t="shared" si="213"/>
        <v>0.994956589689584+0.21668860251429i</v>
      </c>
      <c r="AA349" s="160">
        <f t="shared" si="224"/>
        <v>1.0182792180076754</v>
      </c>
      <c r="AB349" s="160">
        <f t="shared" si="225"/>
        <v>0.21443848391385217</v>
      </c>
      <c r="AC349" s="171" t="str">
        <f t="shared" si="226"/>
        <v>-0.376439606714559-0.391650670738084i</v>
      </c>
      <c r="AD349" s="190">
        <f t="shared" si="227"/>
        <v>-5.3003516820900574</v>
      </c>
      <c r="AE349" s="169">
        <f t="shared" si="228"/>
        <v>-133.86547729057847</v>
      </c>
      <c r="AF349" s="98" t="str">
        <f t="shared" si="214"/>
        <v>-0.0000816326530612245</v>
      </c>
      <c r="AG349" s="98" t="str">
        <f t="shared" si="215"/>
        <v>0.00301472519593878i</v>
      </c>
      <c r="AH349" s="98">
        <f t="shared" si="229"/>
        <v>3.0147251959387802E-3</v>
      </c>
      <c r="AI349" s="98">
        <f t="shared" si="230"/>
        <v>1.5707963267948966</v>
      </c>
      <c r="AJ349" s="98" t="str">
        <f t="shared" si="216"/>
        <v>1+0.918747397875045i</v>
      </c>
      <c r="AK349" s="98">
        <f t="shared" si="231"/>
        <v>1.357975250548465</v>
      </c>
      <c r="AL349" s="98">
        <f t="shared" si="232"/>
        <v>0.74307675836327824</v>
      </c>
      <c r="AM349" s="98" t="str">
        <f t="shared" si="217"/>
        <v>1+14.3937092333758i</v>
      </c>
      <c r="AN349" s="98">
        <f t="shared" si="233"/>
        <v>14.428404814634494</v>
      </c>
      <c r="AO349" s="98">
        <f t="shared" si="234"/>
        <v>1.5014329881594859</v>
      </c>
      <c r="AP349" s="168" t="str">
        <f t="shared" si="235"/>
        <v>-0.197860915729291+0.208862176326061i</v>
      </c>
      <c r="AQ349" s="98">
        <f t="shared" si="236"/>
        <v>-10.821147109873365</v>
      </c>
      <c r="AR349" s="169">
        <f t="shared" si="237"/>
        <v>133.45061133477603</v>
      </c>
      <c r="AS349" s="168" t="str">
        <f t="shared" si="238"/>
        <v>0.156283696751235-0.00113163515550095i</v>
      </c>
      <c r="AT349" s="190">
        <f t="shared" si="239"/>
        <v>-16.121498791963397</v>
      </c>
      <c r="AU349" s="169">
        <f t="shared" si="240"/>
        <v>-0.41486595580247493</v>
      </c>
      <c r="AV349" s="225"/>
      <c r="AX349">
        <f t="shared" si="241"/>
        <v>0</v>
      </c>
      <c r="AY349">
        <f t="shared" si="242"/>
        <v>0</v>
      </c>
    </row>
    <row r="350" spans="14:51" x14ac:dyDescent="0.25">
      <c r="N350" s="170">
        <v>32</v>
      </c>
      <c r="O350" s="199">
        <f t="shared" si="208"/>
        <v>20892.961308540423</v>
      </c>
      <c r="P350" s="189" t="str">
        <f t="shared" si="209"/>
        <v>18.0065359477124</v>
      </c>
      <c r="Q350" s="160" t="str">
        <f t="shared" si="210"/>
        <v>1+41.1841090250331i</v>
      </c>
      <c r="R350" s="160">
        <f t="shared" si="218"/>
        <v>41.19624784110578</v>
      </c>
      <c r="S350" s="160">
        <f t="shared" si="219"/>
        <v>1.5465198869874082</v>
      </c>
      <c r="T350" s="160" t="str">
        <f t="shared" si="211"/>
        <v>1+0.0525097390069172i</v>
      </c>
      <c r="U350" s="160">
        <f t="shared" si="220"/>
        <v>1.001377687334092</v>
      </c>
      <c r="V350" s="160">
        <f t="shared" si="221"/>
        <v>5.2461557468501022E-2</v>
      </c>
      <c r="W350" s="98" t="str">
        <f t="shared" si="212"/>
        <v>1-0.74182733777085i</v>
      </c>
      <c r="X350" s="160">
        <f t="shared" si="222"/>
        <v>1.2451135687414971</v>
      </c>
      <c r="Y350" s="160">
        <f t="shared" si="223"/>
        <v>-0.63825005379383482</v>
      </c>
      <c r="Z350" s="98" t="str">
        <f t="shared" si="213"/>
        <v>0.994718901084429+0.221735928459984i</v>
      </c>
      <c r="AA350" s="160">
        <f t="shared" si="224"/>
        <v>1.0191332170745027</v>
      </c>
      <c r="AB350" s="160">
        <f t="shared" si="225"/>
        <v>0.21932726763660854</v>
      </c>
      <c r="AC350" s="171" t="str">
        <f t="shared" si="226"/>
        <v>-0.376395566435183-0.379843161107214i</v>
      </c>
      <c r="AD350" s="190">
        <f t="shared" si="227"/>
        <v>-5.4370314141108187</v>
      </c>
      <c r="AE350" s="169">
        <f t="shared" si="228"/>
        <v>-134.73879775189769</v>
      </c>
      <c r="AF350" s="98" t="str">
        <f t="shared" si="214"/>
        <v>-0.0000816326530612245</v>
      </c>
      <c r="AG350" s="98" t="str">
        <f t="shared" si="215"/>
        <v>0.00308494716665638i</v>
      </c>
      <c r="AH350" s="98">
        <f t="shared" si="229"/>
        <v>3.0849471666563799E-3</v>
      </c>
      <c r="AI350" s="98">
        <f t="shared" si="230"/>
        <v>1.5707963267948966</v>
      </c>
      <c r="AJ350" s="98" t="str">
        <f t="shared" si="216"/>
        <v>1+0.940147773921716i</v>
      </c>
      <c r="AK350" s="98">
        <f t="shared" si="231"/>
        <v>1.3725442932051257</v>
      </c>
      <c r="AL350" s="98">
        <f t="shared" si="232"/>
        <v>0.75455863096995379</v>
      </c>
      <c r="AM350" s="98" t="str">
        <f t="shared" si="217"/>
        <v>1+14.7289817914403i</v>
      </c>
      <c r="AN350" s="98">
        <f t="shared" si="233"/>
        <v>14.762889439827825</v>
      </c>
      <c r="AO350" s="98">
        <f t="shared" si="234"/>
        <v>1.5030070018350494</v>
      </c>
      <c r="AP350" s="168" t="str">
        <f t="shared" si="235"/>
        <v>-0.193682770014519+0.208552029976073i</v>
      </c>
      <c r="AQ350" s="98">
        <f t="shared" si="236"/>
        <v>-10.914776408665661</v>
      </c>
      <c r="AR350" s="169">
        <f t="shared" si="237"/>
        <v>132.88293283401222</v>
      </c>
      <c r="AS350" s="168" t="str">
        <f t="shared" si="238"/>
        <v>0.152118398249788-0.00492898383973485i</v>
      </c>
      <c r="AT350" s="190">
        <f t="shared" si="239"/>
        <v>-16.35180782277649</v>
      </c>
      <c r="AU350" s="169">
        <f t="shared" si="240"/>
        <v>-1.8558649178854911</v>
      </c>
      <c r="AV350" s="225"/>
      <c r="AX350">
        <f t="shared" si="241"/>
        <v>0</v>
      </c>
      <c r="AY350">
        <f t="shared" si="242"/>
        <v>0</v>
      </c>
    </row>
    <row r="351" spans="14:51" x14ac:dyDescent="0.25">
      <c r="N351" s="170">
        <v>33</v>
      </c>
      <c r="O351" s="199">
        <f t="shared" si="208"/>
        <v>21379.620895022348</v>
      </c>
      <c r="P351" s="189" t="str">
        <f t="shared" si="209"/>
        <v>18.0065359477124</v>
      </c>
      <c r="Q351" s="160" t="str">
        <f t="shared" si="210"/>
        <v>1+42.1434101586428i</v>
      </c>
      <c r="R351" s="160">
        <f t="shared" si="218"/>
        <v>42.155272740187527</v>
      </c>
      <c r="S351" s="160">
        <f t="shared" si="219"/>
        <v>1.5470722764864671</v>
      </c>
      <c r="T351" s="160" t="str">
        <f t="shared" si="211"/>
        <v>1+0.0537328479522696i</v>
      </c>
      <c r="U351" s="160">
        <f t="shared" si="220"/>
        <v>1.0014425689719115</v>
      </c>
      <c r="V351" s="160">
        <f t="shared" si="221"/>
        <v>5.3681224519431553E-2</v>
      </c>
      <c r="W351" s="98" t="str">
        <f t="shared" si="212"/>
        <v>1-0.759106716223197i</v>
      </c>
      <c r="X351" s="160">
        <f t="shared" si="222"/>
        <v>1.2554851678196621</v>
      </c>
      <c r="Y351" s="160">
        <f t="shared" si="223"/>
        <v>-0.64930397612498281</v>
      </c>
      <c r="Z351" s="98" t="str">
        <f t="shared" si="213"/>
        <v>0.994470010560425+0.226900821729968i</v>
      </c>
      <c r="AA351" s="160">
        <f t="shared" si="224"/>
        <v>1.0200267569067916</v>
      </c>
      <c r="AB351" s="160">
        <f t="shared" si="225"/>
        <v>0.22432256439161549</v>
      </c>
      <c r="AC351" s="171" t="str">
        <f t="shared" si="226"/>
        <v>-0.376304355679278-0.368245699605063i</v>
      </c>
      <c r="AD351" s="190">
        <f t="shared" si="227"/>
        <v>-5.5719132118990533</v>
      </c>
      <c r="AE351" s="169">
        <f t="shared" si="228"/>
        <v>-135.62011808252925</v>
      </c>
      <c r="AF351" s="98" t="str">
        <f t="shared" si="214"/>
        <v>-0.0000816326530612245</v>
      </c>
      <c r="AG351" s="98" t="str">
        <f t="shared" si="215"/>
        <v>0.00315680481719584i</v>
      </c>
      <c r="AH351" s="98">
        <f t="shared" si="229"/>
        <v>3.1568048171958401E-3</v>
      </c>
      <c r="AI351" s="98">
        <f t="shared" si="230"/>
        <v>1.5707963267948966</v>
      </c>
      <c r="AJ351" s="98" t="str">
        <f t="shared" si="216"/>
        <v>1+0.962046628762441i</v>
      </c>
      <c r="AK351" s="98">
        <f t="shared" si="231"/>
        <v>1.3876360170855966</v>
      </c>
      <c r="AL351" s="98">
        <f t="shared" si="232"/>
        <v>0.76605680935929976</v>
      </c>
      <c r="AM351" s="98" t="str">
        <f t="shared" si="217"/>
        <v>1+15.0720638506116i</v>
      </c>
      <c r="AN351" s="98">
        <f t="shared" si="233"/>
        <v>15.105201379555089</v>
      </c>
      <c r="AO351" s="98">
        <f t="shared" si="234"/>
        <v>1.5045455117254705</v>
      </c>
      <c r="AP351" s="168" t="str">
        <f t="shared" si="235"/>
        <v>-0.189492749354051+0.208160125925431i</v>
      </c>
      <c r="AQ351" s="98">
        <f t="shared" si="236"/>
        <v>-11.010657269894818</v>
      </c>
      <c r="AR351" s="169">
        <f t="shared" si="237"/>
        <v>132.31228586367436</v>
      </c>
      <c r="AS351" s="168" t="str">
        <f t="shared" si="238"/>
        <v>0.147961018152859-0.00855167200851734i</v>
      </c>
      <c r="AT351" s="190">
        <f t="shared" si="239"/>
        <v>-16.582570481793898</v>
      </c>
      <c r="AU351" s="169">
        <f t="shared" si="240"/>
        <v>-3.3078322188548848</v>
      </c>
      <c r="AV351" s="225"/>
      <c r="AX351">
        <f t="shared" si="241"/>
        <v>0</v>
      </c>
      <c r="AY351">
        <f t="shared" si="242"/>
        <v>0</v>
      </c>
    </row>
    <row r="352" spans="14:51" x14ac:dyDescent="0.25">
      <c r="N352" s="170">
        <v>34</v>
      </c>
      <c r="O352" s="199">
        <f t="shared" si="208"/>
        <v>21877.61623949555</v>
      </c>
      <c r="P352" s="189" t="str">
        <f t="shared" si="209"/>
        <v>18.0065359477124</v>
      </c>
      <c r="Q352" s="160" t="str">
        <f t="shared" si="210"/>
        <v>1+43.1250562861528i</v>
      </c>
      <c r="R352" s="160">
        <f t="shared" si="218"/>
        <v>43.136648915786765</v>
      </c>
      <c r="S352" s="160">
        <f t="shared" si="219"/>
        <v>1.5476121060583163</v>
      </c>
      <c r="T352" s="160" t="str">
        <f t="shared" si="211"/>
        <v>1+0.0549844467648448i</v>
      </c>
      <c r="U352" s="160">
        <f t="shared" si="220"/>
        <v>1.0015105038820291</v>
      </c>
      <c r="V352" s="160">
        <f t="shared" si="221"/>
        <v>5.4929135764826595E-2</v>
      </c>
      <c r="W352" s="98" t="str">
        <f t="shared" si="212"/>
        <v>1-0.776788583104453i</v>
      </c>
      <c r="X352" s="160">
        <f t="shared" si="222"/>
        <v>1.2662545174021784</v>
      </c>
      <c r="Y352" s="160">
        <f t="shared" si="223"/>
        <v>-0.66042652895123621</v>
      </c>
      <c r="Z352" s="98" t="str">
        <f t="shared" si="213"/>
        <v>0.994209390187401+0.232186020819021i</v>
      </c>
      <c r="AA352" s="160">
        <f t="shared" si="224"/>
        <v>1.0209616348328543</v>
      </c>
      <c r="AB352" s="160">
        <f t="shared" si="225"/>
        <v>0.22942635570133732</v>
      </c>
      <c r="AC352" s="171" t="str">
        <f t="shared" si="226"/>
        <v>-0.376166041490163-0.356852856197641i</v>
      </c>
      <c r="AD352" s="190">
        <f t="shared" si="227"/>
        <v>-5.7049827564349878</v>
      </c>
      <c r="AE352" s="169">
        <f t="shared" si="228"/>
        <v>-136.50924902700285</v>
      </c>
      <c r="AF352" s="98" t="str">
        <f t="shared" si="214"/>
        <v>-0.0000816326530612245</v>
      </c>
      <c r="AG352" s="98" t="str">
        <f t="shared" si="215"/>
        <v>0.00323033624743463i</v>
      </c>
      <c r="AH352" s="98">
        <f t="shared" si="229"/>
        <v>3.23033624743463E-3</v>
      </c>
      <c r="AI352" s="98">
        <f t="shared" si="230"/>
        <v>1.5707963267948966</v>
      </c>
      <c r="AJ352" s="98" t="str">
        <f t="shared" si="216"/>
        <v>1+0.98445557345993i</v>
      </c>
      <c r="AK352" s="98">
        <f t="shared" si="231"/>
        <v>1.4032650412934542</v>
      </c>
      <c r="AL352" s="98">
        <f t="shared" si="232"/>
        <v>0.777565229852342</v>
      </c>
      <c r="AM352" s="98" t="str">
        <f t="shared" si="217"/>
        <v>1+15.423137317539i</v>
      </c>
      <c r="AN352" s="98">
        <f t="shared" si="233"/>
        <v>15.455522143093843</v>
      </c>
      <c r="AO352" s="98">
        <f t="shared" si="234"/>
        <v>1.5060493044192875</v>
      </c>
      <c r="AP352" s="168" t="str">
        <f t="shared" si="235"/>
        <v>-0.185295261103072+0.207685589022296i</v>
      </c>
      <c r="AQ352" s="98">
        <f t="shared" si="236"/>
        <v>-11.108796873590043</v>
      </c>
      <c r="AR352" s="169">
        <f t="shared" si="237"/>
        <v>131.73906291517943</v>
      </c>
      <c r="AS352" s="168" t="str">
        <f t="shared" si="238"/>
        <v>0.143814980509725-0.012001122732551i</v>
      </c>
      <c r="AT352" s="190">
        <f t="shared" si="239"/>
        <v>-16.813779630025003</v>
      </c>
      <c r="AU352" s="169">
        <f t="shared" si="240"/>
        <v>-4.7701861118233762</v>
      </c>
      <c r="AV352" s="225"/>
      <c r="AX352">
        <f t="shared" si="241"/>
        <v>0</v>
      </c>
      <c r="AY352">
        <f t="shared" si="242"/>
        <v>0</v>
      </c>
    </row>
    <row r="353" spans="14:51" x14ac:dyDescent="0.25">
      <c r="N353" s="170">
        <v>35</v>
      </c>
      <c r="O353" s="199">
        <f t="shared" si="208"/>
        <v>22387.211385683382</v>
      </c>
      <c r="P353" s="189" t="str">
        <f t="shared" si="209"/>
        <v>18.0065359477124</v>
      </c>
      <c r="Q353" s="160" t="str">
        <f t="shared" si="210"/>
        <v>1+44.129567889333i</v>
      </c>
      <c r="R353" s="160">
        <f t="shared" si="218"/>
        <v>44.140896707013681</v>
      </c>
      <c r="S353" s="160">
        <f t="shared" si="219"/>
        <v>1.5481396606684996</v>
      </c>
      <c r="T353" s="160" t="str">
        <f t="shared" si="211"/>
        <v>1+0.0562651990588996i</v>
      </c>
      <c r="U353" s="160">
        <f t="shared" si="220"/>
        <v>1.0015816355270986</v>
      </c>
      <c r="V353" s="160">
        <f t="shared" si="221"/>
        <v>5.6205937308132982E-2</v>
      </c>
      <c r="W353" s="98" t="str">
        <f t="shared" si="212"/>
        <v>1-0.79488231357448i</v>
      </c>
      <c r="X353" s="160">
        <f t="shared" si="222"/>
        <v>1.2774341049281241</v>
      </c>
      <c r="Y353" s="160">
        <f t="shared" si="223"/>
        <v>-0.6716126022105533</v>
      </c>
      <c r="Z353" s="98" t="str">
        <f t="shared" si="213"/>
        <v>0.993936487154604+0.237594328009656i</v>
      </c>
      <c r="AA353" s="160">
        <f t="shared" si="224"/>
        <v>1.0219397267939017</v>
      </c>
      <c r="AB353" s="160">
        <f t="shared" si="225"/>
        <v>0.23464063665557261</v>
      </c>
      <c r="AC353" s="171" t="str">
        <f t="shared" si="226"/>
        <v>-0.375980614762065-0.345659344348497i</v>
      </c>
      <c r="AD353" s="190">
        <f t="shared" si="227"/>
        <v>-5.8362280315800543</v>
      </c>
      <c r="AE353" s="169">
        <f t="shared" si="228"/>
        <v>-137.40599141887776</v>
      </c>
      <c r="AF353" s="98" t="str">
        <f t="shared" si="214"/>
        <v>-0.0000816326530612245</v>
      </c>
      <c r="AG353" s="98" t="str">
        <f t="shared" si="215"/>
        <v>0.00330558044471036i</v>
      </c>
      <c r="AH353" s="98">
        <f t="shared" si="229"/>
        <v>3.3055804447103599E-3</v>
      </c>
      <c r="AI353" s="98">
        <f t="shared" si="230"/>
        <v>1.5707963267948966</v>
      </c>
      <c r="AJ353" s="98" t="str">
        <f t="shared" si="216"/>
        <v>1+1.00738648953327i</v>
      </c>
      <c r="AK353" s="98">
        <f t="shared" si="231"/>
        <v>1.4194462086652546</v>
      </c>
      <c r="AL353" s="98">
        <f t="shared" si="232"/>
        <v>0.78907780169067654</v>
      </c>
      <c r="AM353" s="98" t="str">
        <f t="shared" si="217"/>
        <v>1+15.7823883360213i</v>
      </c>
      <c r="AN353" s="98">
        <f t="shared" si="233"/>
        <v>15.814037485379288</v>
      </c>
      <c r="AO353" s="98">
        <f t="shared" si="234"/>
        <v>1.5075191500266447</v>
      </c>
      <c r="AP353" s="168" t="str">
        <f t="shared" si="235"/>
        <v>-0.181094744183481+0.207127805194775i</v>
      </c>
      <c r="AQ353" s="98">
        <f t="shared" si="236"/>
        <v>-11.209199891432462</v>
      </c>
      <c r="AR353" s="169">
        <f t="shared" si="237"/>
        <v>131.16365708733912</v>
      </c>
      <c r="AS353" s="168" t="str">
        <f t="shared" si="238"/>
        <v>0.139683774588253-0.0152789489920279i</v>
      </c>
      <c r="AT353" s="190">
        <f t="shared" si="239"/>
        <v>-17.045427923012532</v>
      </c>
      <c r="AU353" s="169">
        <f t="shared" si="240"/>
        <v>-6.2423343315386406</v>
      </c>
      <c r="AV353" s="225"/>
      <c r="AX353">
        <f t="shared" si="241"/>
        <v>0</v>
      </c>
      <c r="AY353">
        <f t="shared" si="242"/>
        <v>0</v>
      </c>
    </row>
    <row r="354" spans="14:51" x14ac:dyDescent="0.25">
      <c r="N354" s="170">
        <v>36</v>
      </c>
      <c r="O354" s="199">
        <f t="shared" si="208"/>
        <v>22908.676527677751</v>
      </c>
      <c r="P354" s="189" t="str">
        <f t="shared" si="209"/>
        <v>18.0065359477124</v>
      </c>
      <c r="Q354" s="160" t="str">
        <f t="shared" si="210"/>
        <v>1+45.1574775735325i</v>
      </c>
      <c r="R354" s="160">
        <f t="shared" si="218"/>
        <v>45.168548579781607</v>
      </c>
      <c r="S354" s="160">
        <f t="shared" si="219"/>
        <v>1.5486552188581753</v>
      </c>
      <c r="T354" s="160" t="str">
        <f t="shared" si="211"/>
        <v>1+0.057575783906254i</v>
      </c>
      <c r="U354" s="160">
        <f t="shared" si="220"/>
        <v>1.0016561140892715</v>
      </c>
      <c r="V354" s="160">
        <f t="shared" si="221"/>
        <v>5.7512289465238155E-2</v>
      </c>
      <c r="W354" s="98" t="str">
        <f t="shared" si="212"/>
        <v>1-0.813397501168683i</v>
      </c>
      <c r="X354" s="160">
        <f t="shared" si="222"/>
        <v>1.2890366538262044</v>
      </c>
      <c r="Y354" s="160">
        <f t="shared" si="223"/>
        <v>-0.68285692993232927</v>
      </c>
      <c r="Z354" s="98" t="str">
        <f t="shared" si="213"/>
        <v>0.993650722598112+0.243128610857937i</v>
      </c>
      <c r="AA354" s="160">
        <f t="shared" si="224"/>
        <v>1.0229629905023254</v>
      </c>
      <c r="AB354" s="160">
        <f t="shared" si="225"/>
        <v>0.23996741425274321</v>
      </c>
      <c r="AC354" s="171" t="str">
        <f t="shared" si="226"/>
        <v>-0.375747992175689-0.334660020723912i</v>
      </c>
      <c r="AD354" s="190">
        <f t="shared" si="227"/>
        <v>-5.9656394362185807</v>
      </c>
      <c r="AE354" s="169">
        <f t="shared" si="228"/>
        <v>-138.31013665872203</v>
      </c>
      <c r="AF354" s="98" t="str">
        <f t="shared" si="214"/>
        <v>-0.0000816326530612245</v>
      </c>
      <c r="AG354" s="98" t="str">
        <f t="shared" si="215"/>
        <v>0.00338257730449242i</v>
      </c>
      <c r="AH354" s="98">
        <f t="shared" si="229"/>
        <v>3.3825773044924199E-3</v>
      </c>
      <c r="AI354" s="98">
        <f t="shared" si="230"/>
        <v>1.5707963267948966</v>
      </c>
      <c r="AJ354" s="98" t="str">
        <f t="shared" si="216"/>
        <v>1+1.03085153525771i</v>
      </c>
      <c r="AK354" s="98">
        <f t="shared" si="231"/>
        <v>1.4361945856126799</v>
      </c>
      <c r="AL354" s="98">
        <f t="shared" si="232"/>
        <v>0.80058842312356782</v>
      </c>
      <c r="AM354" s="98" t="str">
        <f t="shared" si="217"/>
        <v>1+16.1500073857042i</v>
      </c>
      <c r="AN354" s="98">
        <f t="shared" si="233"/>
        <v>16.180937505543376</v>
      </c>
      <c r="AO354" s="98">
        <f t="shared" si="234"/>
        <v>1.5089558024606429</v>
      </c>
      <c r="AP354" s="168" t="str">
        <f t="shared" si="235"/>
        <v>-0.176895650343879+0.20648642323289i</v>
      </c>
      <c r="AQ354" s="98">
        <f t="shared" si="236"/>
        <v>-11.311868478188821</v>
      </c>
      <c r="AR354" s="169">
        <f t="shared" si="237"/>
        <v>130.58646118075694</v>
      </c>
      <c r="AS354" s="168" t="str">
        <f t="shared" si="238"/>
        <v>0.135570936119651-0.0183869569312455i</v>
      </c>
      <c r="AT354" s="190">
        <f t="shared" si="239"/>
        <v>-17.27750791440738</v>
      </c>
      <c r="AU354" s="169">
        <f t="shared" si="240"/>
        <v>-7.7236754779650516</v>
      </c>
      <c r="AV354" s="225"/>
      <c r="AX354">
        <f t="shared" si="241"/>
        <v>0</v>
      </c>
      <c r="AY354">
        <f t="shared" si="242"/>
        <v>0</v>
      </c>
    </row>
    <row r="355" spans="14:51" x14ac:dyDescent="0.25">
      <c r="N355" s="170">
        <v>37</v>
      </c>
      <c r="O355" s="199">
        <f t="shared" si="208"/>
        <v>23442.288153199243</v>
      </c>
      <c r="P355" s="189" t="str">
        <f t="shared" si="209"/>
        <v>18.0065359477124</v>
      </c>
      <c r="Q355" s="160" t="str">
        <f t="shared" si="210"/>
        <v>1+46.2093303500712i</v>
      </c>
      <c r="R355" s="160">
        <f t="shared" si="218"/>
        <v>46.220149409126869</v>
      </c>
      <c r="S355" s="160">
        <f t="shared" si="219"/>
        <v>1.5491590528862071</v>
      </c>
      <c r="T355" s="160" t="str">
        <f t="shared" si="211"/>
        <v>1+0.0589168961963408i</v>
      </c>
      <c r="U355" s="160">
        <f t="shared" si="220"/>
        <v>1.0017340967828789</v>
      </c>
      <c r="V355" s="160">
        <f t="shared" si="221"/>
        <v>5.8848867036348181E-2</v>
      </c>
      <c r="W355" s="98" t="str">
        <f t="shared" si="212"/>
        <v>1-0.832343962884591i</v>
      </c>
      <c r="X355" s="160">
        <f t="shared" si="222"/>
        <v>1.3010751217936747</v>
      </c>
      <c r="Y355" s="160">
        <f t="shared" si="223"/>
        <v>-0.69415410126120036</v>
      </c>
      <c r="Z355" s="98" t="str">
        <f t="shared" si="213"/>
        <v>0.993351490372989+0.248791803713882i</v>
      </c>
      <c r="AA355" s="160">
        <f t="shared" si="224"/>
        <v>1.0240334687018025</v>
      </c>
      <c r="AB355" s="160">
        <f t="shared" si="225"/>
        <v>0.24540870560037659</v>
      </c>
      <c r="AC355" s="171" t="str">
        <f t="shared" si="226"/>
        <v>-0.375468018132544-0.32384988503619i</v>
      </c>
      <c r="AD355" s="190">
        <f t="shared" si="227"/>
        <v>-6.0932098908540846</v>
      </c>
      <c r="AE355" s="169">
        <f t="shared" si="228"/>
        <v>-139.2214672351879</v>
      </c>
      <c r="AF355" s="98" t="str">
        <f t="shared" si="214"/>
        <v>-0.0000816326530612245</v>
      </c>
      <c r="AG355" s="98" t="str">
        <f t="shared" si="215"/>
        <v>0.00346136765153501i</v>
      </c>
      <c r="AH355" s="98">
        <f t="shared" si="229"/>
        <v>3.4613676515350099E-3</v>
      </c>
      <c r="AI355" s="98">
        <f t="shared" si="230"/>
        <v>1.5707963267948966</v>
      </c>
      <c r="AJ355" s="98" t="str">
        <f t="shared" si="216"/>
        <v>1+1.05486315211108i</v>
      </c>
      <c r="AK355" s="98">
        <f t="shared" si="231"/>
        <v>1.4535254623437883</v>
      </c>
      <c r="AL355" s="98">
        <f t="shared" si="232"/>
        <v>0.81209099756592718</v>
      </c>
      <c r="AM355" s="98" t="str">
        <f t="shared" si="217"/>
        <v>1+16.5261893830736i</v>
      </c>
      <c r="AN355" s="98">
        <f t="shared" si="233"/>
        <v>16.556416747751147</v>
      </c>
      <c r="AO355" s="98">
        <f t="shared" si="234"/>
        <v>1.5103599997183721</v>
      </c>
      <c r="AP355" s="168" t="str">
        <f t="shared" si="235"/>
        <v>-0.172702425304262+0.205761354925271i</v>
      </c>
      <c r="AQ355" s="98">
        <f t="shared" si="236"/>
        <v>-11.416802273306168</v>
      </c>
      <c r="AR355" s="169">
        <f t="shared" si="237"/>
        <v>130.00786678814646</v>
      </c>
      <c r="AS355" s="168" t="str">
        <f t="shared" si="238"/>
        <v>0.131480028493115-0.021327147561802i</v>
      </c>
      <c r="AT355" s="190">
        <f t="shared" si="239"/>
        <v>-17.51001216416023</v>
      </c>
      <c r="AU355" s="169">
        <f t="shared" si="240"/>
        <v>-9.2136004470414452</v>
      </c>
      <c r="AV355" s="225"/>
      <c r="AX355">
        <f t="shared" si="241"/>
        <v>0</v>
      </c>
      <c r="AY355">
        <f t="shared" si="242"/>
        <v>0</v>
      </c>
    </row>
    <row r="356" spans="14:51" x14ac:dyDescent="0.25">
      <c r="N356" s="170">
        <v>38</v>
      </c>
      <c r="O356" s="199">
        <f t="shared" si="208"/>
        <v>23988.329190194923</v>
      </c>
      <c r="P356" s="189" t="str">
        <f t="shared" si="209"/>
        <v>18.0065359477124</v>
      </c>
      <c r="Q356" s="160" t="str">
        <f t="shared" si="210"/>
        <v>1+47.2856839252141i</v>
      </c>
      <c r="R356" s="160">
        <f t="shared" si="218"/>
        <v>47.296256768112748</v>
      </c>
      <c r="S356" s="160">
        <f t="shared" si="219"/>
        <v>1.5496514288682981</v>
      </c>
      <c r="T356" s="160" t="str">
        <f t="shared" si="211"/>
        <v>1+0.060289247004648i</v>
      </c>
      <c r="U356" s="160">
        <f t="shared" si="220"/>
        <v>1.0018157481814645</v>
      </c>
      <c r="V356" s="160">
        <f t="shared" si="221"/>
        <v>6.0216359580058977E-2</v>
      </c>
      <c r="W356" s="98" t="str">
        <f t="shared" si="212"/>
        <v>1-0.851731744386991i</v>
      </c>
      <c r="X356" s="160">
        <f t="shared" si="222"/>
        <v>1.3135626990732139</v>
      </c>
      <c r="Y356" s="160">
        <f t="shared" si="223"/>
        <v>-0.70549857233276403</v>
      </c>
      <c r="Z356" s="98" t="str">
        <f t="shared" si="213"/>
        <v>0.993038155767566+0.254586909277304i</v>
      </c>
      <c r="AA356" s="160">
        <f t="shared" si="224"/>
        <v>1.0251532925302531</v>
      </c>
      <c r="AB356" s="160">
        <f t="shared" si="225"/>
        <v>0.25096653596831681</v>
      </c>
      <c r="AC356" s="171" t="str">
        <f t="shared" si="226"/>
        <v>-0.375140466701938-0.313224080025307i</v>
      </c>
      <c r="AD356" s="190">
        <f t="shared" si="227"/>
        <v>-6.2189349378713725</v>
      </c>
      <c r="AE356" s="169">
        <f t="shared" si="228"/>
        <v>-140.13975728616654</v>
      </c>
      <c r="AF356" s="98" t="str">
        <f t="shared" si="214"/>
        <v>-0.0000816326530612245</v>
      </c>
      <c r="AG356" s="98" t="str">
        <f t="shared" si="215"/>
        <v>0.00354199326152307i</v>
      </c>
      <c r="AH356" s="98">
        <f t="shared" si="229"/>
        <v>3.5419932615230699E-3</v>
      </c>
      <c r="AI356" s="98">
        <f t="shared" si="230"/>
        <v>1.5707963267948966</v>
      </c>
      <c r="AJ356" s="98" t="str">
        <f t="shared" si="216"/>
        <v>1+1.07943407137045i</v>
      </c>
      <c r="AK356" s="98">
        <f t="shared" si="231"/>
        <v>1.4714543535004359</v>
      </c>
      <c r="AL356" s="98">
        <f t="shared" si="232"/>
        <v>0.82357944972298858</v>
      </c>
      <c r="AM356" s="98" t="str">
        <f t="shared" si="217"/>
        <v>1+16.9111337848038i</v>
      </c>
      <c r="AN356" s="98">
        <f t="shared" si="233"/>
        <v>16.94067430439333</v>
      </c>
      <c r="AO356" s="98">
        <f t="shared" si="234"/>
        <v>1.5117324641612664</v>
      </c>
      <c r="AP356" s="168" t="str">
        <f t="shared" si="235"/>
        <v>-0.168519489954922+0.204952773546957i</v>
      </c>
      <c r="AQ356" s="98">
        <f t="shared" si="236"/>
        <v>-11.523998412688513</v>
      </c>
      <c r="AR356" s="169">
        <f t="shared" si="237"/>
        <v>129.42826338651852</v>
      </c>
      <c r="AS356" s="168" t="str">
        <f t="shared" si="238"/>
        <v>0.127414624052943-0.0241017169127977i</v>
      </c>
      <c r="AT356" s="190">
        <f t="shared" si="239"/>
        <v>-17.742933350559863</v>
      </c>
      <c r="AU356" s="169">
        <f t="shared" si="240"/>
        <v>-10.711493899647994</v>
      </c>
      <c r="AV356" s="225"/>
      <c r="AX356">
        <f t="shared" si="241"/>
        <v>0</v>
      </c>
      <c r="AY356">
        <f t="shared" si="242"/>
        <v>0</v>
      </c>
    </row>
    <row r="357" spans="14:51" x14ac:dyDescent="0.25">
      <c r="N357" s="170">
        <v>39</v>
      </c>
      <c r="O357" s="199">
        <f t="shared" si="208"/>
        <v>24547.089156850321</v>
      </c>
      <c r="P357" s="189" t="str">
        <f t="shared" si="209"/>
        <v>18.0065359477124</v>
      </c>
      <c r="Q357" s="160" t="str">
        <f t="shared" si="210"/>
        <v>1+48.3871089958742i</v>
      </c>
      <c r="R357" s="160">
        <f t="shared" si="218"/>
        <v>48.397441223463566</v>
      </c>
      <c r="S357" s="160">
        <f t="shared" si="219"/>
        <v>1.5501326069132144</v>
      </c>
      <c r="T357" s="160" t="str">
        <f t="shared" si="211"/>
        <v>1+0.0616935639697396i</v>
      </c>
      <c r="U357" s="160">
        <f t="shared" si="220"/>
        <v>1.0019012405598111</v>
      </c>
      <c r="V357" s="160">
        <f t="shared" si="221"/>
        <v>6.1615471689375846E-2</v>
      </c>
      <c r="W357" s="98" t="str">
        <f t="shared" si="212"/>
        <v>1-0.871571125334269i</v>
      </c>
      <c r="X357" s="160">
        <f t="shared" si="222"/>
        <v>1.3265128067668415</v>
      </c>
      <c r="Y357" s="160">
        <f t="shared" si="223"/>
        <v>-0.71688467894557517</v>
      </c>
      <c r="Z357" s="98" t="str">
        <f t="shared" si="213"/>
        <v>0.992710054157134+0.26051700018988i</v>
      </c>
      <c r="AA357" s="160">
        <f t="shared" si="224"/>
        <v>1.0263246849864782</v>
      </c>
      <c r="AB357" s="160">
        <f t="shared" si="225"/>
        <v>0.25664293668812166</v>
      </c>
      <c r="AC357" s="171" t="str">
        <f t="shared" si="226"/>
        <v>-0.374765043594965-0.302777891578679i</v>
      </c>
      <c r="AD357" s="190">
        <f t="shared" si="227"/>
        <v>-6.3428128347018262</v>
      </c>
      <c r="AE357" s="169">
        <f t="shared" si="228"/>
        <v>-141.06477319647524</v>
      </c>
      <c r="AF357" s="98" t="str">
        <f t="shared" si="214"/>
        <v>-0.0000816326530612245</v>
      </c>
      <c r="AG357" s="98" t="str">
        <f t="shared" si="215"/>
        <v>0.00362449688322221i</v>
      </c>
      <c r="AH357" s="98">
        <f t="shared" si="229"/>
        <v>3.6244968832222098E-3</v>
      </c>
      <c r="AI357" s="98">
        <f t="shared" si="230"/>
        <v>1.5707963267948966</v>
      </c>
      <c r="AJ357" s="98" t="str">
        <f t="shared" si="216"/>
        <v>1+1.10457732086246i</v>
      </c>
      <c r="AK357" s="98">
        <f t="shared" si="231"/>
        <v>1.4899969992465389</v>
      </c>
      <c r="AL357" s="98">
        <f t="shared" si="232"/>
        <v>0.83504774157776351</v>
      </c>
      <c r="AM357" s="98" t="str">
        <f t="shared" si="217"/>
        <v>1+17.305044693512i</v>
      </c>
      <c r="AN357" s="98">
        <f t="shared" si="233"/>
        <v>17.333913921686808</v>
      </c>
      <c r="AO357" s="98">
        <f t="shared" si="234"/>
        <v>1.5130739027944178</v>
      </c>
      <c r="AP357" s="168" t="str">
        <f t="shared" si="235"/>
        <v>-0.164351221778197+0.204061110714447i</v>
      </c>
      <c r="AQ357" s="98">
        <f t="shared" si="236"/>
        <v>-11.633451550585534</v>
      </c>
      <c r="AR357" s="169">
        <f t="shared" si="237"/>
        <v>128.84803743717103</v>
      </c>
      <c r="AS357" s="168" t="str">
        <f t="shared" si="238"/>
        <v>0.123378285649915-0.0267130546445543i</v>
      </c>
      <c r="AT357" s="190">
        <f t="shared" si="239"/>
        <v>-17.976264385287386</v>
      </c>
      <c r="AU357" s="169">
        <f t="shared" si="240"/>
        <v>-12.216735759304246</v>
      </c>
      <c r="AV357" s="225"/>
      <c r="AX357">
        <f t="shared" si="241"/>
        <v>0</v>
      </c>
      <c r="AY357">
        <f t="shared" si="242"/>
        <v>0</v>
      </c>
    </row>
    <row r="358" spans="14:51" x14ac:dyDescent="0.25">
      <c r="N358" s="170">
        <v>40</v>
      </c>
      <c r="O358" s="199">
        <f t="shared" si="208"/>
        <v>25118.86431509586</v>
      </c>
      <c r="P358" s="189" t="str">
        <f t="shared" si="209"/>
        <v>18.0065359477124</v>
      </c>
      <c r="Q358" s="160" t="str">
        <f t="shared" si="210"/>
        <v>1+49.5141895522033i</v>
      </c>
      <c r="R358" s="160">
        <f t="shared" si="218"/>
        <v>49.524286638088171</v>
      </c>
      <c r="S358" s="160">
        <f t="shared" si="219"/>
        <v>1.5506028412561474</v>
      </c>
      <c r="T358" s="160" t="str">
        <f t="shared" si="211"/>
        <v>1+0.0631305916790592i</v>
      </c>
      <c r="U358" s="160">
        <f t="shared" si="220"/>
        <v>1.0019907542516289</v>
      </c>
      <c r="V358" s="160">
        <f t="shared" si="221"/>
        <v>6.3046923269425986E-2</v>
      </c>
      <c r="W358" s="98" t="str">
        <f t="shared" si="212"/>
        <v>1-0.891872624828812i</v>
      </c>
      <c r="X358" s="160">
        <f t="shared" si="222"/>
        <v>1.339939095227479</v>
      </c>
      <c r="Y358" s="160">
        <f t="shared" si="223"/>
        <v>-0.7283066499652262</v>
      </c>
      <c r="Z358" s="98" t="str">
        <f t="shared" si="213"/>
        <v>0.99236648959419+0.26658522066431i</v>
      </c>
      <c r="AA358" s="160">
        <f t="shared" si="224"/>
        <v>1.0275499645010624</v>
      </c>
      <c r="AB358" s="160">
        <f t="shared" si="225"/>
        <v>0.26243994289220446</v>
      </c>
      <c r="AC358" s="171" t="str">
        <f t="shared" si="226"/>
        <v>-0.374341388180206-0.29250674898797i</v>
      </c>
      <c r="AD358" s="190">
        <f t="shared" si="227"/>
        <v>-6.4648446391680423</v>
      </c>
      <c r="AE358" s="169">
        <f t="shared" si="228"/>
        <v>-141.99627422804491</v>
      </c>
      <c r="AF358" s="98" t="str">
        <f t="shared" si="214"/>
        <v>-0.0000816326530612245</v>
      </c>
      <c r="AG358" s="98" t="str">
        <f t="shared" si="215"/>
        <v>0.00370892226114473i</v>
      </c>
      <c r="AH358" s="98">
        <f t="shared" si="229"/>
        <v>3.7089222611447299E-3</v>
      </c>
      <c r="AI358" s="98">
        <f t="shared" si="230"/>
        <v>1.5707963267948966</v>
      </c>
      <c r="AJ358" s="98" t="str">
        <f t="shared" si="216"/>
        <v>1+1.13030623187081i</v>
      </c>
      <c r="AK358" s="98">
        <f t="shared" si="231"/>
        <v>1.5091693668392521</v>
      </c>
      <c r="AL358" s="98">
        <f t="shared" si="232"/>
        <v>0.84648988813899861</v>
      </c>
      <c r="AM358" s="98" t="str">
        <f t="shared" si="217"/>
        <v>1+17.7081309659761i</v>
      </c>
      <c r="AN358" s="98">
        <f t="shared" si="233"/>
        <v>17.736344107739949</v>
      </c>
      <c r="AO358" s="98">
        <f t="shared" si="234"/>
        <v>1.5143850075445295</v>
      </c>
      <c r="AP358" s="168" t="str">
        <f t="shared" si="235"/>
        <v>-0.160201936658299+0.203087051643643i</v>
      </c>
      <c r="AQ358" s="98">
        <f t="shared" si="236"/>
        <v>-11.745153891431494</v>
      </c>
      <c r="AR358" s="169">
        <f t="shared" si="237"/>
        <v>128.26757149932325</v>
      </c>
      <c r="AS358" s="168" t="str">
        <f t="shared" si="238"/>
        <v>0.119374548595659-0.0291637411602108i</v>
      </c>
      <c r="AT358" s="190">
        <f t="shared" si="239"/>
        <v>-18.209998530599542</v>
      </c>
      <c r="AU358" s="169">
        <f t="shared" si="240"/>
        <v>-13.728702728721684</v>
      </c>
      <c r="AV358" s="225"/>
      <c r="AX358">
        <f t="shared" si="241"/>
        <v>0</v>
      </c>
      <c r="AY358">
        <f t="shared" si="242"/>
        <v>0</v>
      </c>
    </row>
    <row r="359" spans="14:51" x14ac:dyDescent="0.25">
      <c r="N359" s="170">
        <v>41</v>
      </c>
      <c r="O359" s="199">
        <f t="shared" si="208"/>
        <v>25703.95782768865</v>
      </c>
      <c r="P359" s="189" t="str">
        <f t="shared" si="209"/>
        <v>18.0065359477124</v>
      </c>
      <c r="Q359" s="160" t="str">
        <f t="shared" si="210"/>
        <v>1+50.6675231872304i</v>
      </c>
      <c r="R359" s="160">
        <f t="shared" si="218"/>
        <v>50.677390480652512</v>
      </c>
      <c r="S359" s="160">
        <f t="shared" si="219"/>
        <v>1.5510623803892658</v>
      </c>
      <c r="T359" s="160" t="str">
        <f t="shared" si="211"/>
        <v>1+0.0646010920637188i</v>
      </c>
      <c r="U359" s="160">
        <f t="shared" si="220"/>
        <v>1.0020844780235971</v>
      </c>
      <c r="V359" s="160">
        <f t="shared" si="221"/>
        <v>6.4511449816575417E-2</v>
      </c>
      <c r="W359" s="98" t="str">
        <f t="shared" si="212"/>
        <v>1-0.912647006994363i</v>
      </c>
      <c r="X359" s="160">
        <f t="shared" si="222"/>
        <v>1.3538554425697631</v>
      </c>
      <c r="Y359" s="160">
        <f t="shared" si="223"/>
        <v>-0.73975862138818993</v>
      </c>
      <c r="Z359" s="98" t="str">
        <f t="shared" si="213"/>
        <v>0.992006733332233+0.272794788151406i</v>
      </c>
      <c r="AA359" s="160">
        <f t="shared" si="224"/>
        <v>1.0288315486118504</v>
      </c>
      <c r="AB359" s="160">
        <f t="shared" si="225"/>
        <v>0.26835959108634166</v>
      </c>
      <c r="AC359" s="171" t="str">
        <f t="shared" si="226"/>
        <v>-0.373869075556398-0.282406225341013i</v>
      </c>
      <c r="AD359" s="190">
        <f t="shared" si="227"/>
        <v>-6.5850342863285061</v>
      </c>
      <c r="AE359" s="169">
        <f t="shared" si="228"/>
        <v>-142.93401317812365</v>
      </c>
      <c r="AF359" s="98" t="str">
        <f t="shared" si="214"/>
        <v>-0.0000816326530612245</v>
      </c>
      <c r="AG359" s="98" t="str">
        <f t="shared" si="215"/>
        <v>0.00379531415874348i</v>
      </c>
      <c r="AH359" s="98">
        <f t="shared" si="229"/>
        <v>3.7953141587434799E-3</v>
      </c>
      <c r="AI359" s="98">
        <f t="shared" si="230"/>
        <v>1.5707963267948966</v>
      </c>
      <c r="AJ359" s="98" t="str">
        <f t="shared" si="216"/>
        <v>1+1.15663444620466i</v>
      </c>
      <c r="AK359" s="98">
        <f t="shared" si="231"/>
        <v>1.5289876527124608</v>
      </c>
      <c r="AL359" s="98">
        <f t="shared" si="232"/>
        <v>0.85789997285029373</v>
      </c>
      <c r="AM359" s="98" t="str">
        <f t="shared" si="217"/>
        <v>1+18.1206063238731i</v>
      </c>
      <c r="AN359" s="98">
        <f t="shared" si="233"/>
        <v>18.148178243140272</v>
      </c>
      <c r="AO359" s="98">
        <f t="shared" si="234"/>
        <v>1.5156664555362243</v>
      </c>
      <c r="AP359" s="168" t="str">
        <f t="shared" si="235"/>
        <v>-0.156075871238501+0.202031528865196i</v>
      </c>
      <c r="AQ359" s="98">
        <f t="shared" si="236"/>
        <v>-11.859095231382572</v>
      </c>
      <c r="AR359" s="169">
        <f t="shared" si="237"/>
        <v>127.68724336306865</v>
      </c>
      <c r="AS359" s="168" t="str">
        <f t="shared" si="238"/>
        <v>0.115406903163292-0.0314565432668015i</v>
      </c>
      <c r="AT359" s="190">
        <f t="shared" si="239"/>
        <v>-18.444129517711058</v>
      </c>
      <c r="AU359" s="169">
        <f t="shared" si="240"/>
        <v>-15.246769815054966</v>
      </c>
      <c r="AV359" s="225"/>
      <c r="AX359">
        <f t="shared" si="241"/>
        <v>0</v>
      </c>
      <c r="AY359">
        <f t="shared" si="242"/>
        <v>0</v>
      </c>
    </row>
    <row r="360" spans="14:51" x14ac:dyDescent="0.25">
      <c r="N360" s="170">
        <v>42</v>
      </c>
      <c r="O360" s="199">
        <f t="shared" si="208"/>
        <v>26302.679918953829</v>
      </c>
      <c r="P360" s="189" t="str">
        <f t="shared" si="209"/>
        <v>18.0065359477124</v>
      </c>
      <c r="Q360" s="160" t="str">
        <f t="shared" si="210"/>
        <v>1+51.8477214137154i</v>
      </c>
      <c r="R360" s="160">
        <f t="shared" si="218"/>
        <v>51.857364142368844</v>
      </c>
      <c r="S360" s="160">
        <f t="shared" si="219"/>
        <v>1.5515114671895058</v>
      </c>
      <c r="T360" s="160" t="str">
        <f t="shared" si="211"/>
        <v>1+0.0661058448024872i</v>
      </c>
      <c r="U360" s="160">
        <f t="shared" si="220"/>
        <v>1.0021826094664836</v>
      </c>
      <c r="V360" s="160">
        <f t="shared" si="221"/>
        <v>6.6009802698640402E-2</v>
      </c>
      <c r="W360" s="98" t="str">
        <f t="shared" si="212"/>
        <v>1-0.933905286683334i</v>
      </c>
      <c r="X360" s="160">
        <f t="shared" si="222"/>
        <v>1.3682759533424098</v>
      </c>
      <c r="Y360" s="160">
        <f t="shared" si="223"/>
        <v>-0.75123465098567621</v>
      </c>
      <c r="Z360" s="98" t="str">
        <f t="shared" si="213"/>
        <v>0.991630022279998+0.279148995046046i</v>
      </c>
      <c r="AA360" s="160">
        <f t="shared" si="224"/>
        <v>1.0301719577440684</v>
      </c>
      <c r="AB360" s="160">
        <f t="shared" si="225"/>
        <v>0.27440391654937885</v>
      </c>
      <c r="AC360" s="171" t="str">
        <f t="shared" si="226"/>
        <v>-0.373347618697578-0.272472038045988i</v>
      </c>
      <c r="AD360" s="190">
        <f t="shared" si="227"/>
        <v>-6.7033886561995137</v>
      </c>
      <c r="AE360" s="169">
        <f t="shared" si="228"/>
        <v>-143.87773706058738</v>
      </c>
      <c r="AF360" s="98" t="str">
        <f t="shared" si="214"/>
        <v>-0.0000816326530612245</v>
      </c>
      <c r="AG360" s="98" t="str">
        <f t="shared" si="215"/>
        <v>0.00388371838214613i</v>
      </c>
      <c r="AH360" s="98">
        <f t="shared" si="229"/>
        <v>3.8837183821461298E-3</v>
      </c>
      <c r="AI360" s="98">
        <f t="shared" si="230"/>
        <v>1.5707963267948966</v>
      </c>
      <c r="AJ360" s="98" t="str">
        <f t="shared" si="216"/>
        <v>1+1.18357592343176i</v>
      </c>
      <c r="AK360" s="98">
        <f t="shared" si="231"/>
        <v>1.5494682850989054</v>
      </c>
      <c r="AL360" s="98">
        <f t="shared" si="232"/>
        <v>0.8692721625650397</v>
      </c>
      <c r="AM360" s="98" t="str">
        <f t="shared" si="217"/>
        <v>1+18.5426894670977i</v>
      </c>
      <c r="AN360" s="98">
        <f t="shared" si="233"/>
        <v>18.569634694124062</v>
      </c>
      <c r="AO360" s="98">
        <f t="shared" si="234"/>
        <v>1.5169189093664386</v>
      </c>
      <c r="AP360" s="168" t="str">
        <f t="shared" si="235"/>
        <v>-0.151977165976658+0.200895714469499i</v>
      </c>
      <c r="AQ360" s="98">
        <f t="shared" si="236"/>
        <v>-11.975263009216572</v>
      </c>
      <c r="AR360" s="169">
        <f t="shared" si="237"/>
        <v>127.10742520709798</v>
      </c>
      <c r="AS360" s="168" t="str">
        <f t="shared" si="238"/>
        <v>0.111478777770001-0.0335944084536226i</v>
      </c>
      <c r="AT360" s="190">
        <f t="shared" si="239"/>
        <v>-18.678651665416094</v>
      </c>
      <c r="AU360" s="169">
        <f t="shared" si="240"/>
        <v>-16.770311853489403</v>
      </c>
      <c r="AV360" s="225"/>
      <c r="AX360">
        <f t="shared" si="241"/>
        <v>0</v>
      </c>
      <c r="AY360">
        <f t="shared" si="242"/>
        <v>0</v>
      </c>
    </row>
    <row r="361" spans="14:51" x14ac:dyDescent="0.25">
      <c r="N361" s="170">
        <v>43</v>
      </c>
      <c r="O361" s="199">
        <f t="shared" si="208"/>
        <v>26915.348039269167</v>
      </c>
      <c r="P361" s="189" t="str">
        <f t="shared" si="209"/>
        <v>18.0065359477124</v>
      </c>
      <c r="Q361" s="160" t="str">
        <f t="shared" si="210"/>
        <v>1+53.0554099883799i</v>
      </c>
      <c r="R361" s="160">
        <f t="shared" si="218"/>
        <v>53.064833261163486</v>
      </c>
      <c r="S361" s="160">
        <f t="shared" si="219"/>
        <v>1.5519503390436469</v>
      </c>
      <c r="T361" s="160" t="str">
        <f t="shared" si="211"/>
        <v>1+0.0676456477351844i</v>
      </c>
      <c r="U361" s="160">
        <f t="shared" si="220"/>
        <v>1.0022853554040949</v>
      </c>
      <c r="V361" s="160">
        <f t="shared" si="221"/>
        <v>6.7542749435840807E-2</v>
      </c>
      <c r="W361" s="98" t="str">
        <f t="shared" si="212"/>
        <v>1-0.955658735317007i</v>
      </c>
      <c r="X361" s="160">
        <f t="shared" si="222"/>
        <v>1.3832149574045609</v>
      </c>
      <c r="Y361" s="160">
        <f t="shared" si="223"/>
        <v>-0.76272873344101177</v>
      </c>
      <c r="Z361" s="98" t="str">
        <f t="shared" si="213"/>
        <v>0.991235557382836+0.285651210432834i</v>
      </c>
      <c r="AA361" s="160">
        <f t="shared" si="224"/>
        <v>1.0315738190947872</v>
      </c>
      <c r="AB361" s="160">
        <f t="shared" si="225"/>
        <v>0.28057495055407911</v>
      </c>
      <c r="AC361" s="171" t="str">
        <f t="shared" si="226"/>
        <v>-0.372776470686754-0.262700049484028i</v>
      </c>
      <c r="AD361" s="190">
        <f t="shared" si="227"/>
        <v>-6.8199176317905819</v>
      </c>
      <c r="AE361" s="169">
        <f t="shared" si="228"/>
        <v>-144.82718780508429</v>
      </c>
      <c r="AF361" s="98" t="str">
        <f t="shared" si="214"/>
        <v>-0.0000816326530612245</v>
      </c>
      <c r="AG361" s="98" t="str">
        <f t="shared" si="215"/>
        <v>0.00397418180444208i</v>
      </c>
      <c r="AH361" s="98">
        <f t="shared" si="229"/>
        <v>3.97418180444208E-3</v>
      </c>
      <c r="AI361" s="98">
        <f t="shared" si="230"/>
        <v>1.5707963267948966</v>
      </c>
      <c r="AJ361" s="98" t="str">
        <f t="shared" si="216"/>
        <v>1+1.21114494827995i</v>
      </c>
      <c r="AK361" s="98">
        <f t="shared" si="231"/>
        <v>1.5706279272138395</v>
      </c>
      <c r="AL361" s="98">
        <f t="shared" si="232"/>
        <v>0.88060072199680783</v>
      </c>
      <c r="AM361" s="98" t="str">
        <f t="shared" si="217"/>
        <v>1+18.9746041897192i</v>
      </c>
      <c r="AN361" s="98">
        <f t="shared" si="233"/>
        <v>19.000936928386178</v>
      </c>
      <c r="AO361" s="98">
        <f t="shared" si="234"/>
        <v>1.5181430173766655</v>
      </c>
      <c r="AP361" s="168" t="str">
        <f t="shared" si="235"/>
        <v>-0.147909849039562+0.199681010970056i</v>
      </c>
      <c r="AQ361" s="98">
        <f t="shared" si="236"/>
        <v>-12.093642366177189</v>
      </c>
      <c r="AR361" s="169">
        <f t="shared" si="237"/>
        <v>126.5284827863486</v>
      </c>
      <c r="AS361" s="168" t="str">
        <f t="shared" si="238"/>
        <v>0.107593522967633-0.0355804578707124i</v>
      </c>
      <c r="AT361" s="190">
        <f t="shared" si="239"/>
        <v>-18.913559997967766</v>
      </c>
      <c r="AU361" s="169">
        <f t="shared" si="240"/>
        <v>-18.298705018735649</v>
      </c>
      <c r="AV361" s="225"/>
      <c r="AX361">
        <f t="shared" si="241"/>
        <v>0</v>
      </c>
      <c r="AY361">
        <f t="shared" si="242"/>
        <v>0</v>
      </c>
    </row>
    <row r="362" spans="14:51" x14ac:dyDescent="0.25">
      <c r="N362" s="170">
        <v>44</v>
      </c>
      <c r="O362" s="199">
        <f t="shared" si="208"/>
        <v>27542.287033381719</v>
      </c>
      <c r="P362" s="189" t="str">
        <f t="shared" si="209"/>
        <v>18.0065359477124</v>
      </c>
      <c r="Q362" s="160" t="str">
        <f t="shared" si="210"/>
        <v>1+54.2912292436916i</v>
      </c>
      <c r="R362" s="160">
        <f t="shared" si="218"/>
        <v>54.300438053399475</v>
      </c>
      <c r="S362" s="160">
        <f t="shared" si="219"/>
        <v>1.5523792279707238</v>
      </c>
      <c r="T362" s="160" t="str">
        <f t="shared" si="211"/>
        <v>1+0.0692213172857068i</v>
      </c>
      <c r="U362" s="160">
        <f t="shared" si="220"/>
        <v>1.002392932320838</v>
      </c>
      <c r="V362" s="160">
        <f t="shared" si="221"/>
        <v>6.9111073982122559E-2</v>
      </c>
      <c r="W362" s="98" t="str">
        <f t="shared" si="212"/>
        <v>1-0.977918886861783i</v>
      </c>
      <c r="X362" s="160">
        <f t="shared" si="222"/>
        <v>1.3986870090484822</v>
      </c>
      <c r="Y362" s="160">
        <f t="shared" si="223"/>
        <v>-0.77423481588840137</v>
      </c>
      <c r="Z362" s="98" t="str">
        <f t="shared" si="213"/>
        <v>0.990822501927813+0.292304881872435i</v>
      </c>
      <c r="AA362" s="160">
        <f t="shared" si="224"/>
        <v>1.0330398706211437</v>
      </c>
      <c r="AB362" s="160">
        <f t="shared" si="225"/>
        <v>0.28687471740343445</v>
      </c>
      <c r="AC362" s="171" t="str">
        <f t="shared" si="226"/>
        <v>-0.372155027054395-0.253086267785252i</v>
      </c>
      <c r="AD362" s="190">
        <f t="shared" si="227"/>
        <v>-6.9346341469602955</v>
      </c>
      <c r="AE362" s="169">
        <f t="shared" si="228"/>
        <v>-145.7821029684261</v>
      </c>
      <c r="AF362" s="98" t="str">
        <f t="shared" si="214"/>
        <v>-0.0000816326530612245</v>
      </c>
      <c r="AG362" s="98" t="str">
        <f t="shared" si="215"/>
        <v>0.00406675239053527i</v>
      </c>
      <c r="AH362" s="98">
        <f t="shared" si="229"/>
        <v>4.0667523905352698E-3</v>
      </c>
      <c r="AI362" s="98">
        <f t="shared" si="230"/>
        <v>1.5707963267948966</v>
      </c>
      <c r="AJ362" s="98" t="str">
        <f t="shared" si="216"/>
        <v>1+1.23935613821111i</v>
      </c>
      <c r="AK362" s="98">
        <f t="shared" si="231"/>
        <v>1.5924834810199935</v>
      </c>
      <c r="AL362" s="98">
        <f t="shared" si="232"/>
        <v>0.89188002756105811</v>
      </c>
      <c r="AM362" s="98" t="str">
        <f t="shared" si="217"/>
        <v>1+19.4165794986408i</v>
      </c>
      <c r="AN362" s="98">
        <f t="shared" si="233"/>
        <v>19.442313633594079</v>
      </c>
      <c r="AO362" s="98">
        <f t="shared" si="234"/>
        <v>1.519339413922832</v>
      </c>
      <c r="AP362" s="168" t="str">
        <f t="shared" si="235"/>
        <v>-0.143877821164201+0.198389040888663i</v>
      </c>
      <c r="AQ362" s="98">
        <f t="shared" si="236"/>
        <v>-12.214216214272833</v>
      </c>
      <c r="AR362" s="169">
        <f t="shared" si="237"/>
        <v>125.95077465439817</v>
      </c>
      <c r="AS362" s="168" t="str">
        <f t="shared" si="238"/>
        <v>0.103754396355898-0.0374179781036943i</v>
      </c>
      <c r="AT362" s="190">
        <f t="shared" si="239"/>
        <v>-19.148850361233137</v>
      </c>
      <c r="AU362" s="169">
        <f t="shared" si="240"/>
        <v>-19.83132831402796</v>
      </c>
      <c r="AV362" s="225"/>
      <c r="AX362">
        <f t="shared" si="241"/>
        <v>0</v>
      </c>
      <c r="AY362">
        <f t="shared" si="242"/>
        <v>0</v>
      </c>
    </row>
    <row r="363" spans="14:51" x14ac:dyDescent="0.25">
      <c r="N363" s="170">
        <v>45</v>
      </c>
      <c r="O363" s="199">
        <f t="shared" si="208"/>
        <v>28183.829312644593</v>
      </c>
      <c r="P363" s="189" t="str">
        <f t="shared" si="209"/>
        <v>18.0065359477124</v>
      </c>
      <c r="Q363" s="160" t="str">
        <f t="shared" si="210"/>
        <v>1+55.5558344273776i</v>
      </c>
      <c r="R363" s="160">
        <f t="shared" si="218"/>
        <v>55.564833653329636</v>
      </c>
      <c r="S363" s="160">
        <f t="shared" si="219"/>
        <v>1.5527983607418221</v>
      </c>
      <c r="T363" s="160" t="str">
        <f t="shared" si="211"/>
        <v>1+0.0708336888949064i</v>
      </c>
      <c r="U363" s="160">
        <f t="shared" si="220"/>
        <v>1.0025055668087137</v>
      </c>
      <c r="V363" s="160">
        <f t="shared" si="221"/>
        <v>7.0715577006435937E-2</v>
      </c>
      <c r="W363" s="98" t="str">
        <f t="shared" si="212"/>
        <v>1-1.00069754394466i</v>
      </c>
      <c r="X363" s="160">
        <f t="shared" si="222"/>
        <v>1.4147068864103529</v>
      </c>
      <c r="Y363" s="160">
        <f t="shared" si="223"/>
        <v>-0.78574681375617306</v>
      </c>
      <c r="Z363" s="98" t="str">
        <f t="shared" si="213"/>
        <v>0.990389979768931+0.299113537229517i</v>
      </c>
      <c r="AA363" s="160">
        <f t="shared" si="224"/>
        <v>1.034572965131342</v>
      </c>
      <c r="AB363" s="160">
        <f t="shared" si="225"/>
        <v>0.29330523127705932</v>
      </c>
      <c r="AC363" s="171" t="str">
        <f t="shared" si="226"/>
        <v>-0.371482628238439-0.24362684772195i</v>
      </c>
      <c r="AD363" s="190">
        <f t="shared" si="227"/>
        <v>-7.0475542236726838</v>
      </c>
      <c r="AE363" s="169">
        <f t="shared" si="228"/>
        <v>-146.74221645240266</v>
      </c>
      <c r="AF363" s="98" t="str">
        <f t="shared" si="214"/>
        <v>-0.0000816326530612245</v>
      </c>
      <c r="AG363" s="98" t="str">
        <f t="shared" si="215"/>
        <v>0.00416147922257575i</v>
      </c>
      <c r="AH363" s="98">
        <f t="shared" si="229"/>
        <v>4.1614792225757504E-3</v>
      </c>
      <c r="AI363" s="98">
        <f t="shared" si="230"/>
        <v>1.5707963267948966</v>
      </c>
      <c r="AJ363" s="98" t="str">
        <f t="shared" si="216"/>
        <v>1+1.26822445117156i</v>
      </c>
      <c r="AK363" s="98">
        <f t="shared" si="231"/>
        <v>1.6150520915900528</v>
      </c>
      <c r="AL363" s="98">
        <f t="shared" si="232"/>
        <v>0.90310458053090548</v>
      </c>
      <c r="AM363" s="98" t="str">
        <f t="shared" si="217"/>
        <v>1+19.8688497350212i</v>
      </c>
      <c r="AN363" s="98">
        <f t="shared" si="233"/>
        <v>19.893998838666199</v>
      </c>
      <c r="AO363" s="98">
        <f t="shared" si="234"/>
        <v>1.5205087196426117</v>
      </c>
      <c r="AP363" s="168" t="str">
        <f t="shared" si="235"/>
        <v>-0.139884841599854+0.197021635178773i</v>
      </c>
      <c r="AQ363" s="98">
        <f t="shared" si="236"/>
        <v>-12.336965312473074</v>
      </c>
      <c r="AR363" s="169">
        <f t="shared" si="237"/>
        <v>125.37465142500875</v>
      </c>
      <c r="AS363" s="168" t="str">
        <f t="shared" si="238"/>
        <v>0.09996454851986-0.0391104118529888i</v>
      </c>
      <c r="AT363" s="190">
        <f t="shared" si="239"/>
        <v>-19.384519536145753</v>
      </c>
      <c r="AU363" s="169">
        <f t="shared" si="240"/>
        <v>-21.367565027393912</v>
      </c>
      <c r="AV363" s="225"/>
      <c r="AX363">
        <f t="shared" si="241"/>
        <v>0</v>
      </c>
      <c r="AY363">
        <f t="shared" si="242"/>
        <v>0</v>
      </c>
    </row>
    <row r="364" spans="14:51" x14ac:dyDescent="0.25">
      <c r="N364" s="170">
        <v>46</v>
      </c>
      <c r="O364" s="199">
        <f t="shared" si="208"/>
        <v>28840.315031266062</v>
      </c>
      <c r="P364" s="189" t="str">
        <f t="shared" si="209"/>
        <v>18.0065359477124</v>
      </c>
      <c r="Q364" s="160" t="str">
        <f t="shared" si="210"/>
        <v>1+56.849896049845i</v>
      </c>
      <c r="R364" s="160">
        <f t="shared" si="218"/>
        <v>56.858690460458043</v>
      </c>
      <c r="S364" s="160">
        <f t="shared" si="219"/>
        <v>1.5532079589973073</v>
      </c>
      <c r="T364" s="160" t="str">
        <f t="shared" si="211"/>
        <v>1+0.0724836174635524i</v>
      </c>
      <c r="U364" s="160">
        <f t="shared" si="220"/>
        <v>1.0026234960345795</v>
      </c>
      <c r="V364" s="160">
        <f t="shared" si="221"/>
        <v>7.2357076173518109E-2</v>
      </c>
      <c r="W364" s="98" t="str">
        <f t="shared" si="212"/>
        <v>1-1.02400678411113i</v>
      </c>
      <c r="X364" s="160">
        <f t="shared" si="222"/>
        <v>1.4312895912098358</v>
      </c>
      <c r="Y364" s="160">
        <f t="shared" si="223"/>
        <v>-0.79725862681396187</v>
      </c>
      <c r="Z364" s="98" t="str">
        <f t="shared" si="213"/>
        <v>0.989937073468701+0.306080786543271i</v>
      </c>
      <c r="AA364" s="160">
        <f t="shared" si="224"/>
        <v>1.0361760744770763</v>
      </c>
      <c r="AB364" s="160">
        <f t="shared" si="225"/>
        <v>0.29986849288273598</v>
      </c>
      <c r="AC364" s="171" t="str">
        <f t="shared" si="226"/>
        <v>-0.370758562182679-0.234318091711486i</v>
      </c>
      <c r="AD364" s="190">
        <f t="shared" si="227"/>
        <v>-7.1586969983124193</v>
      </c>
      <c r="AE364" s="169">
        <f t="shared" si="228"/>
        <v>-147.7072592219902</v>
      </c>
      <c r="AF364" s="98" t="str">
        <f t="shared" si="214"/>
        <v>-0.0000816326530612245</v>
      </c>
      <c r="AG364" s="98" t="str">
        <f t="shared" si="215"/>
        <v>0.00425841252598372i</v>
      </c>
      <c r="AH364" s="98">
        <f t="shared" si="229"/>
        <v>4.2584125259837197E-3</v>
      </c>
      <c r="AI364" s="98">
        <f t="shared" si="230"/>
        <v>1.5707963267948966</v>
      </c>
      <c r="AJ364" s="98" t="str">
        <f t="shared" si="216"/>
        <v>1+1.29776519352296i</v>
      </c>
      <c r="AK364" s="98">
        <f t="shared" si="231"/>
        <v>1.6383511520793357</v>
      </c>
      <c r="AL364" s="98">
        <f t="shared" si="232"/>
        <v>0.91426901943736738</v>
      </c>
      <c r="AM364" s="98" t="str">
        <f t="shared" si="217"/>
        <v>1+20.3316546985264i</v>
      </c>
      <c r="AN364" s="98">
        <f t="shared" si="233"/>
        <v>20.356232037882418</v>
      </c>
      <c r="AO364" s="98">
        <f t="shared" si="234"/>
        <v>1.5216515417200065</v>
      </c>
      <c r="AP364" s="168" t="str">
        <f t="shared" si="235"/>
        <v>-0.135934515229604+0.195580820614204i</v>
      </c>
      <c r="AQ364" s="98">
        <f t="shared" si="236"/>
        <v>-12.461868350185538</v>
      </c>
      <c r="AR364" s="169">
        <f t="shared" si="237"/>
        <v>124.80045507680589</v>
      </c>
      <c r="AS364" s="168" t="str">
        <f t="shared" si="238"/>
        <v>0.0962270100792142-0.040661347635104i</v>
      </c>
      <c r="AT364" s="190">
        <f t="shared" si="239"/>
        <v>-19.620565348497955</v>
      </c>
      <c r="AU364" s="169">
        <f t="shared" si="240"/>
        <v>-22.906804145184335</v>
      </c>
      <c r="AV364" s="225"/>
      <c r="AX364">
        <f t="shared" si="241"/>
        <v>0</v>
      </c>
      <c r="AY364">
        <f t="shared" si="242"/>
        <v>0</v>
      </c>
    </row>
    <row r="365" spans="14:51" x14ac:dyDescent="0.25">
      <c r="N365" s="170">
        <v>47</v>
      </c>
      <c r="O365" s="199">
        <f t="shared" si="208"/>
        <v>29512.092266663854</v>
      </c>
      <c r="P365" s="189" t="str">
        <f t="shared" si="209"/>
        <v>18.0065359477124</v>
      </c>
      <c r="Q365" s="160" t="str">
        <f t="shared" si="210"/>
        <v>1+58.174100239696i</v>
      </c>
      <c r="R365" s="160">
        <f t="shared" si="218"/>
        <v>58.182694494997385</v>
      </c>
      <c r="S365" s="160">
        <f t="shared" si="219"/>
        <v>1.5536082393615323</v>
      </c>
      <c r="T365" s="160" t="str">
        <f t="shared" si="211"/>
        <v>1+0.0741719778056124i</v>
      </c>
      <c r="U365" s="160">
        <f t="shared" si="220"/>
        <v>1.0027469682285737</v>
      </c>
      <c r="V365" s="160">
        <f t="shared" si="221"/>
        <v>7.4036406423692802E-2</v>
      </c>
      <c r="W365" s="98" t="str">
        <f t="shared" si="212"/>
        <v>1-1.04785896622887i</v>
      </c>
      <c r="X365" s="160">
        <f t="shared" si="222"/>
        <v>1.448450348857784</v>
      </c>
      <c r="Y365" s="160">
        <f t="shared" si="223"/>
        <v>-0.80876415532090973</v>
      </c>
      <c r="Z365" s="98" t="str">
        <f t="shared" si="213"/>
        <v>0.989462822352138+0.313210323941512i</v>
      </c>
      <c r="AA365" s="160">
        <f t="shared" si="224"/>
        <v>1.0378522938456154</v>
      </c>
      <c r="AB365" s="160">
        <f t="shared" si="225"/>
        <v>0.30656648590871061</v>
      </c>
      <c r="AC365" s="171" t="str">
        <f t="shared" si="226"/>
        <v>-0.369982067090639-0.225156450919788i</v>
      </c>
      <c r="AD365" s="190">
        <f t="shared" si="227"/>
        <v>-7.2680847368006551</v>
      </c>
      <c r="AE365" s="169">
        <f t="shared" si="228"/>
        <v>-148.67696001785055</v>
      </c>
      <c r="AF365" s="98" t="str">
        <f t="shared" si="214"/>
        <v>-0.0000816326530612245</v>
      </c>
      <c r="AG365" s="98" t="str">
        <f t="shared" si="215"/>
        <v>0.00435760369607972i</v>
      </c>
      <c r="AH365" s="98">
        <f t="shared" si="229"/>
        <v>4.3576036960797197E-3</v>
      </c>
      <c r="AI365" s="98">
        <f t="shared" si="230"/>
        <v>1.5707963267948966</v>
      </c>
      <c r="AJ365" s="98" t="str">
        <f t="shared" si="216"/>
        <v>1+1.32799402815793i</v>
      </c>
      <c r="AK365" s="98">
        <f t="shared" si="231"/>
        <v>1.662398309317934</v>
      </c>
      <c r="AL365" s="98">
        <f t="shared" si="232"/>
        <v>0.92536813165285714</v>
      </c>
      <c r="AM365" s="98" t="str">
        <f t="shared" si="217"/>
        <v>1+20.8052397744743i</v>
      </c>
      <c r="AN365" s="98">
        <f t="shared" si="233"/>
        <v>20.829258317889465</v>
      </c>
      <c r="AO365" s="98">
        <f t="shared" si="234"/>
        <v>1.5227684741470362</v>
      </c>
      <c r="AP365" s="168" t="str">
        <f t="shared" si="235"/>
        <v>-0.132030280953266+0.194068806278896i</v>
      </c>
      <c r="AQ365" s="98">
        <f t="shared" si="236"/>
        <v>-12.588902037349827</v>
      </c>
      <c r="AR365" s="169">
        <f t="shared" si="237"/>
        <v>124.22851830458636</v>
      </c>
      <c r="AS365" s="168" t="str">
        <f t="shared" si="238"/>
        <v>0.0925446799216433-0.0420745086314989i</v>
      </c>
      <c r="AT365" s="190">
        <f t="shared" si="239"/>
        <v>-19.856986774150482</v>
      </c>
      <c r="AU365" s="169">
        <f t="shared" si="240"/>
        <v>-24.448441713264192</v>
      </c>
      <c r="AV365" s="225"/>
      <c r="AX365">
        <f t="shared" si="241"/>
        <v>0</v>
      </c>
      <c r="AY365">
        <f t="shared" si="242"/>
        <v>0</v>
      </c>
    </row>
    <row r="366" spans="14:51" x14ac:dyDescent="0.25">
      <c r="N366" s="170">
        <v>48</v>
      </c>
      <c r="O366" s="199">
        <f t="shared" si="208"/>
        <v>30199.517204020212</v>
      </c>
      <c r="P366" s="189" t="str">
        <f t="shared" si="209"/>
        <v>18.0065359477124</v>
      </c>
      <c r="Q366" s="160" t="str">
        <f t="shared" si="210"/>
        <v>1+59.5291491075191i</v>
      </c>
      <c r="R366" s="160">
        <f t="shared" si="218"/>
        <v>59.537547761603705</v>
      </c>
      <c r="S366" s="160">
        <f t="shared" si="219"/>
        <v>1.5539994135550721</v>
      </c>
      <c r="T366" s="160" t="str">
        <f t="shared" si="211"/>
        <v>1+0.0758996651120868i</v>
      </c>
      <c r="U366" s="160">
        <f t="shared" si="220"/>
        <v>1.0028762431946061</v>
      </c>
      <c r="V366" s="160">
        <f t="shared" si="221"/>
        <v>7.5754420251147481E-2</v>
      </c>
      <c r="W366" s="98" t="str">
        <f t="shared" si="212"/>
        <v>1-1.07226673704056i</v>
      </c>
      <c r="X366" s="160">
        <f t="shared" si="222"/>
        <v>1.4662046089695699</v>
      </c>
      <c r="Y366" s="160">
        <f t="shared" si="223"/>
        <v>-0.8202573161706902</v>
      </c>
      <c r="Z366" s="98" t="str">
        <f t="shared" si="213"/>
        <v>0.98896622046904+0.320505929599334i</v>
      </c>
      <c r="AA366" s="160">
        <f t="shared" si="224"/>
        <v>1.0396048461493199</v>
      </c>
      <c r="AB366" s="160">
        <f t="shared" si="225"/>
        <v>0.31340117327291406</v>
      </c>
      <c r="AC366" s="171" t="str">
        <f t="shared" si="226"/>
        <v>-0.36915233435215-0.216138526455017i</v>
      </c>
      <c r="AD366" s="190">
        <f t="shared" si="227"/>
        <v>-7.3757428383339683</v>
      </c>
      <c r="AE366" s="169">
        <f t="shared" si="228"/>
        <v>-149.65104605695421</v>
      </c>
      <c r="AF366" s="98" t="str">
        <f t="shared" si="214"/>
        <v>-0.0000816326530612245</v>
      </c>
      <c r="AG366" s="98" t="str">
        <f t="shared" si="215"/>
        <v>0.0044591053253351i</v>
      </c>
      <c r="AH366" s="98">
        <f t="shared" si="229"/>
        <v>4.4591053253350997E-3</v>
      </c>
      <c r="AI366" s="98">
        <f t="shared" si="230"/>
        <v>1.5707963267948966</v>
      </c>
      <c r="AJ366" s="98" t="str">
        <f t="shared" si="216"/>
        <v>1+1.3589269828047i</v>
      </c>
      <c r="AK366" s="98">
        <f t="shared" si="231"/>
        <v>1.6872114700281899</v>
      </c>
      <c r="AL366" s="98">
        <f t="shared" si="232"/>
        <v>0.93639686410546841</v>
      </c>
      <c r="AM366" s="98" t="str">
        <f t="shared" si="217"/>
        <v>1+21.2898560639403i</v>
      </c>
      <c r="AN366" s="98">
        <f t="shared" si="233"/>
        <v>21.313328487669295</v>
      </c>
      <c r="AO366" s="98">
        <f t="shared" si="234"/>
        <v>1.5238600979823966</v>
      </c>
      <c r="AP366" s="168" t="str">
        <f t="shared" si="235"/>
        <v>-0.128175401396668+0.192487969299748i</v>
      </c>
      <c r="AQ366" s="98">
        <f t="shared" si="236"/>
        <v>-12.718041200440959</v>
      </c>
      <c r="AR366" s="169">
        <f t="shared" si="237"/>
        <v>123.65916392025484</v>
      </c>
      <c r="AS366" s="168" t="str">
        <f t="shared" si="238"/>
        <v>0.0889203146768699-0.0433537408160508i</v>
      </c>
      <c r="AT366" s="190">
        <f t="shared" si="239"/>
        <v>-20.093784038774931</v>
      </c>
      <c r="AU366" s="169">
        <f t="shared" si="240"/>
        <v>-25.99188213669937</v>
      </c>
      <c r="AV366" s="225"/>
      <c r="AX366">
        <f t="shared" si="241"/>
        <v>0</v>
      </c>
      <c r="AY366">
        <f t="shared" si="242"/>
        <v>0</v>
      </c>
    </row>
    <row r="367" spans="14:51" x14ac:dyDescent="0.25">
      <c r="N367" s="170">
        <v>49</v>
      </c>
      <c r="O367" s="199">
        <f t="shared" si="208"/>
        <v>30902.954325135954</v>
      </c>
      <c r="P367" s="189" t="str">
        <f t="shared" si="209"/>
        <v>18.0065359477124</v>
      </c>
      <c r="Q367" s="160" t="str">
        <f t="shared" si="210"/>
        <v>1+60.9157611181603i</v>
      </c>
      <c r="R367" s="160">
        <f t="shared" si="218"/>
        <v>60.923968621592365</v>
      </c>
      <c r="S367" s="160">
        <f t="shared" si="219"/>
        <v>1.5543816885045363</v>
      </c>
      <c r="T367" s="160" t="str">
        <f t="shared" si="211"/>
        <v>1+0.0776675954256544i</v>
      </c>
      <c r="U367" s="160">
        <f t="shared" si="220"/>
        <v>1.003011592843873</v>
      </c>
      <c r="V367" s="160">
        <f t="shared" si="221"/>
        <v>7.7511987980122488E-2</v>
      </c>
      <c r="W367" s="98" t="str">
        <f t="shared" si="212"/>
        <v>1-1.09724303786935i</v>
      </c>
      <c r="X367" s="160">
        <f t="shared" si="222"/>
        <v>1.4845680463194537</v>
      </c>
      <c r="Y367" s="160">
        <f t="shared" si="223"/>
        <v>-0.83173205892925384</v>
      </c>
      <c r="Z367" s="98" t="str">
        <f t="shared" si="213"/>
        <v>0.988446214460232+0.327971471743427i</v>
      </c>
      <c r="AA367" s="160">
        <f t="shared" si="224"/>
        <v>1.04143708650994</v>
      </c>
      <c r="AB367" s="160">
        <f t="shared" si="225"/>
        <v>0.32037449316610361</v>
      </c>
      <c r="AC367" s="171" t="str">
        <f t="shared" si="226"/>
        <v>-0.368268511659725-0.207261070639073i</v>
      </c>
      <c r="AD367" s="190">
        <f t="shared" si="227"/>
        <v>-7.4816998276578852</v>
      </c>
      <c r="AE367" s="169">
        <f t="shared" si="228"/>
        <v>-150.62924371523175</v>
      </c>
      <c r="AF367" s="98" t="str">
        <f t="shared" si="214"/>
        <v>-0.0000816326530612245</v>
      </c>
      <c r="AG367" s="98" t="str">
        <f t="shared" si="215"/>
        <v>0.0045629712312572i</v>
      </c>
      <c r="AH367" s="98">
        <f t="shared" si="229"/>
        <v>4.5629712312571999E-3</v>
      </c>
      <c r="AI367" s="98">
        <f t="shared" si="230"/>
        <v>1.5707963267948966</v>
      </c>
      <c r="AJ367" s="98" t="str">
        <f t="shared" si="216"/>
        <v>1+1.39058045852528i</v>
      </c>
      <c r="AK367" s="98">
        <f t="shared" si="231"/>
        <v>1.7128088076701318</v>
      </c>
      <c r="AL367" s="98">
        <f t="shared" si="232"/>
        <v>0.94735033308071981</v>
      </c>
      <c r="AM367" s="98" t="str">
        <f t="shared" si="217"/>
        <v>1+21.7857605168961i</v>
      </c>
      <c r="AN367" s="98">
        <f t="shared" si="233"/>
        <v>21.808699211542834</v>
      </c>
      <c r="AO367" s="98">
        <f t="shared" si="234"/>
        <v>1.524926981606975</v>
      </c>
      <c r="AP367" s="168" t="str">
        <f t="shared" si="235"/>
        <v>-0.124372953994683+0.190840839968463i</v>
      </c>
      <c r="AQ367" s="98">
        <f t="shared" si="236"/>
        <v>-12.849258883646259</v>
      </c>
      <c r="AR367" s="169">
        <f t="shared" si="237"/>
        <v>123.0927043058653</v>
      </c>
      <c r="AS367" s="168" t="str">
        <f t="shared" si="238"/>
        <v>0.085356519471869-0.0445030004955955i</v>
      </c>
      <c r="AT367" s="190">
        <f t="shared" si="239"/>
        <v>-20.330958711304142</v>
      </c>
      <c r="AU367" s="169">
        <f t="shared" si="240"/>
        <v>-27.536539409366465</v>
      </c>
      <c r="AV367" s="225"/>
      <c r="AX367">
        <f t="shared" si="241"/>
        <v>0</v>
      </c>
      <c r="AY367">
        <f t="shared" si="242"/>
        <v>0</v>
      </c>
    </row>
    <row r="368" spans="14:51" x14ac:dyDescent="0.25">
      <c r="N368" s="170">
        <v>50</v>
      </c>
      <c r="O368" s="199">
        <f t="shared" si="208"/>
        <v>31622.77660168384</v>
      </c>
      <c r="P368" s="189" t="str">
        <f t="shared" si="209"/>
        <v>18.0065359477124</v>
      </c>
      <c r="Q368" s="160" t="str">
        <f t="shared" si="210"/>
        <v>1+62.3346714716618i</v>
      </c>
      <c r="R368" s="160">
        <f t="shared" si="218"/>
        <v>62.342692173822648</v>
      </c>
      <c r="S368" s="160">
        <f t="shared" si="219"/>
        <v>1.5547552664499993</v>
      </c>
      <c r="T368" s="160" t="str">
        <f t="shared" si="211"/>
        <v>1+0.0794767061263688i</v>
      </c>
      <c r="U368" s="160">
        <f t="shared" si="220"/>
        <v>1.0031533017523779</v>
      </c>
      <c r="V368" s="160">
        <f t="shared" si="221"/>
        <v>7.93099980383737E-2</v>
      </c>
      <c r="W368" s="98" t="str">
        <f t="shared" si="212"/>
        <v>1-1.12280111148055i</v>
      </c>
      <c r="X368" s="160">
        <f t="shared" si="222"/>
        <v>1.5035565622689286</v>
      </c>
      <c r="Y368" s="160">
        <f t="shared" si="223"/>
        <v>-0.84318238166246628</v>
      </c>
      <c r="Z368" s="98" t="str">
        <f t="shared" si="213"/>
        <v>0.987901701323251+0.335610908703054i</v>
      </c>
      <c r="AA368" s="160">
        <f t="shared" si="224"/>
        <v>1.0433525068345135</v>
      </c>
      <c r="AB368" s="160">
        <f t="shared" si="225"/>
        <v>0.32748835488663414</v>
      </c>
      <c r="AC368" s="171" t="str">
        <f t="shared" si="226"/>
        <v>-0.367329706331867-0.198520988343036i</v>
      </c>
      <c r="AD368" s="190">
        <f t="shared" si="227"/>
        <v>-7.5859873358648811</v>
      </c>
      <c r="AE368" s="169">
        <f t="shared" si="228"/>
        <v>-151.61127918626795</v>
      </c>
      <c r="AF368" s="98" t="str">
        <f t="shared" si="214"/>
        <v>-0.0000816326530612245</v>
      </c>
      <c r="AG368" s="98" t="str">
        <f t="shared" si="215"/>
        <v>0.00466925648492417i</v>
      </c>
      <c r="AH368" s="98">
        <f t="shared" si="229"/>
        <v>4.6692564849241704E-3</v>
      </c>
      <c r="AI368" s="98">
        <f t="shared" si="230"/>
        <v>1.5707963267948966</v>
      </c>
      <c r="AJ368" s="98" t="str">
        <f t="shared" si="216"/>
        <v>1+1.42297123841147i</v>
      </c>
      <c r="AK368" s="98">
        <f t="shared" si="231"/>
        <v>1.7392087699141447</v>
      </c>
      <c r="AL368" s="98">
        <f t="shared" si="232"/>
        <v>0.95822383307661008</v>
      </c>
      <c r="AM368" s="98" t="str">
        <f t="shared" si="217"/>
        <v>1+22.2932160684465i</v>
      </c>
      <c r="AN368" s="98">
        <f t="shared" si="233"/>
        <v>22.315633145273768</v>
      </c>
      <c r="AO368" s="98">
        <f t="shared" si="234"/>
        <v>1.5259696809761021</v>
      </c>
      <c r="AP368" s="168" t="str">
        <f t="shared" si="235"/>
        <v>-0.120625823477948+0.189130086399969i</v>
      </c>
      <c r="AQ368" s="98">
        <f t="shared" si="236"/>
        <v>-12.98252645445733</v>
      </c>
      <c r="AR368" s="169">
        <f t="shared" si="237"/>
        <v>122.52944092071733</v>
      </c>
      <c r="AS368" s="168" t="str">
        <f t="shared" si="238"/>
        <v>0.0818557399917199-0.0455263413992864i</v>
      </c>
      <c r="AT368" s="190">
        <f t="shared" si="239"/>
        <v>-20.568513790322211</v>
      </c>
      <c r="AU368" s="169">
        <f t="shared" si="240"/>
        <v>-29.081838265550587</v>
      </c>
      <c r="AV368" s="225"/>
      <c r="AX368">
        <f t="shared" si="241"/>
        <v>0</v>
      </c>
      <c r="AY368">
        <f t="shared" si="242"/>
        <v>0</v>
      </c>
    </row>
    <row r="369" spans="14:51" x14ac:dyDescent="0.25">
      <c r="N369" s="170">
        <v>51</v>
      </c>
      <c r="O369" s="199">
        <f t="shared" si="208"/>
        <v>32359.365692962871</v>
      </c>
      <c r="P369" s="189" t="str">
        <f t="shared" si="209"/>
        <v>18.0065359477124</v>
      </c>
      <c r="Q369" s="160" t="str">
        <f t="shared" si="210"/>
        <v>1+63.7866324930745i</v>
      </c>
      <c r="R369" s="160">
        <f t="shared" si="218"/>
        <v>63.794470644457476</v>
      </c>
      <c r="S369" s="160">
        <f t="shared" si="219"/>
        <v>1.5551203450500999</v>
      </c>
      <c r="T369" s="160" t="str">
        <f t="shared" si="211"/>
        <v>1+0.08132795642867i</v>
      </c>
      <c r="U369" s="160">
        <f t="shared" si="220"/>
        <v>1.0033016677434876</v>
      </c>
      <c r="V369" s="160">
        <f t="shared" si="221"/>
        <v>8.1149357227237581E-2</v>
      </c>
      <c r="W369" s="98" t="str">
        <f t="shared" si="212"/>
        <v>1-1.14895450910309i</v>
      </c>
      <c r="X369" s="160">
        <f t="shared" si="222"/>
        <v>1.5231862866991426</v>
      </c>
      <c r="Y369" s="160">
        <f t="shared" si="223"/>
        <v>-0.85460234645326405</v>
      </c>
      <c r="Z369" s="98" t="str">
        <f t="shared" si="213"/>
        <v>0.98733152607273+0.343428291008811i</v>
      </c>
      <c r="AA369" s="160">
        <f t="shared" si="224"/>
        <v>1.0453547404792014</v>
      </c>
      <c r="AB369" s="160">
        <f t="shared" si="225"/>
        <v>0.33474463446561337</v>
      </c>
      <c r="AC369" s="171" t="str">
        <f t="shared" si="226"/>
        <v>-0.36633498885999-0.189915338370635i</v>
      </c>
      <c r="AD369" s="190">
        <f t="shared" si="227"/>
        <v>-7.688640069792517</v>
      </c>
      <c r="AE369" s="169">
        <f t="shared" si="228"/>
        <v>-152.59687911025699</v>
      </c>
      <c r="AF369" s="98" t="str">
        <f t="shared" si="214"/>
        <v>-0.0000816326530612245</v>
      </c>
      <c r="AG369" s="98" t="str">
        <f t="shared" si="215"/>
        <v>0.00477801744018437i</v>
      </c>
      <c r="AH369" s="98">
        <f t="shared" si="229"/>
        <v>4.7780174401843697E-3</v>
      </c>
      <c r="AI369" s="98">
        <f t="shared" si="230"/>
        <v>1.5707963267948966</v>
      </c>
      <c r="AJ369" s="98" t="str">
        <f t="shared" si="216"/>
        <v>1+1.45611649648352i</v>
      </c>
      <c r="AK369" s="98">
        <f t="shared" si="231"/>
        <v>1.7664300867374971</v>
      </c>
      <c r="AL369" s="98">
        <f t="shared" si="232"/>
        <v>0.96901284468728421</v>
      </c>
      <c r="AM369" s="98" t="str">
        <f t="shared" si="217"/>
        <v>1+22.8124917782419i</v>
      </c>
      <c r="AN369" s="98">
        <f t="shared" si="233"/>
        <v>22.834399075350206</v>
      </c>
      <c r="AO369" s="98">
        <f t="shared" si="234"/>
        <v>1.5269887398684587</v>
      </c>
      <c r="AP369" s="168" t="str">
        <f t="shared" si="235"/>
        <v>-0.116936695775995+0.187358498874386i</v>
      </c>
      <c r="AQ369" s="98">
        <f t="shared" si="236"/>
        <v>-13.117813712907809</v>
      </c>
      <c r="AR369" s="169">
        <f t="shared" si="237"/>
        <v>121.9696638639153</v>
      </c>
      <c r="AS369" s="168" t="str">
        <f t="shared" si="238"/>
        <v>0.0784202558547664-0.0464279014517305i</v>
      </c>
      <c r="AT369" s="190">
        <f t="shared" si="239"/>
        <v>-20.806453782700331</v>
      </c>
      <c r="AU369" s="169">
        <f t="shared" si="240"/>
        <v>-30.627215246341652</v>
      </c>
      <c r="AV369" s="225"/>
      <c r="AX369">
        <f t="shared" si="241"/>
        <v>0</v>
      </c>
      <c r="AY369">
        <f t="shared" si="242"/>
        <v>0</v>
      </c>
    </row>
    <row r="370" spans="14:51" x14ac:dyDescent="0.25">
      <c r="N370" s="170">
        <v>52</v>
      </c>
      <c r="O370" s="199">
        <f t="shared" si="208"/>
        <v>33113.11214825909</v>
      </c>
      <c r="P370" s="189" t="str">
        <f t="shared" si="209"/>
        <v>18.0065359477124</v>
      </c>
      <c r="Q370" s="160" t="str">
        <f t="shared" si="210"/>
        <v>1+65.2724140313509i</v>
      </c>
      <c r="R370" s="160">
        <f t="shared" si="218"/>
        <v>65.280073785804618</v>
      </c>
      <c r="S370" s="160">
        <f t="shared" si="219"/>
        <v>1.5554771174848521</v>
      </c>
      <c r="T370" s="160" t="str">
        <f t="shared" si="211"/>
        <v>1+0.0832223278899724i</v>
      </c>
      <c r="U370" s="160">
        <f t="shared" si="220"/>
        <v>1.0034570024965823</v>
      </c>
      <c r="V370" s="160">
        <f t="shared" si="221"/>
        <v>8.3030990987563294E-2</v>
      </c>
      <c r="W370" s="98" t="str">
        <f t="shared" si="212"/>
        <v>1-1.17571709761457i</v>
      </c>
      <c r="X370" s="160">
        <f t="shared" si="222"/>
        <v>1.5434735804746476</v>
      </c>
      <c r="Y370" s="160">
        <f t="shared" si="223"/>
        <v>-0.86598609451172748</v>
      </c>
      <c r="Z370" s="98" t="str">
        <f t="shared" si="213"/>
        <v>0.986734479290517+0.351427763540271i</v>
      </c>
      <c r="AA370" s="160">
        <f t="shared" si="224"/>
        <v>1.0474475669968613</v>
      </c>
      <c r="AB370" s="160">
        <f t="shared" si="225"/>
        <v>0.34214517008223222</v>
      </c>
      <c r="AC370" s="171" t="str">
        <f t="shared" si="226"/>
        <v>-0.365283396695311-0.181441334871882i</v>
      </c>
      <c r="AD370" s="190">
        <f t="shared" si="227"/>
        <v>-7.7896957701732275</v>
      </c>
      <c r="AE370" s="169">
        <f t="shared" si="228"/>
        <v>-153.58577116771767</v>
      </c>
      <c r="AF370" s="98" t="str">
        <f t="shared" si="214"/>
        <v>-0.0000816326530612245</v>
      </c>
      <c r="AG370" s="98" t="str">
        <f t="shared" si="215"/>
        <v>0.00488931176353589i</v>
      </c>
      <c r="AH370" s="98">
        <f t="shared" si="229"/>
        <v>4.8893117635358902E-3</v>
      </c>
      <c r="AI370" s="98">
        <f t="shared" si="230"/>
        <v>1.5707963267948966</v>
      </c>
      <c r="AJ370" s="98" t="str">
        <f t="shared" si="216"/>
        <v>1+1.49003380679599i</v>
      </c>
      <c r="AK370" s="98">
        <f t="shared" si="231"/>
        <v>1.7944917791383022</v>
      </c>
      <c r="AL370" s="98">
        <f t="shared" si="232"/>
        <v>0.97971304149968252</v>
      </c>
      <c r="AM370" s="98" t="str">
        <f t="shared" si="217"/>
        <v>1+23.3438629731373i</v>
      </c>
      <c r="AN370" s="98">
        <f t="shared" si="233"/>
        <v>23.36527206151494</v>
      </c>
      <c r="AO370" s="98">
        <f t="shared" si="234"/>
        <v>1.5279846901315526</v>
      </c>
      <c r="AP370" s="168" t="str">
        <f t="shared" si="235"/>
        <v>-0.113308053333042+0.18552897400682i</v>
      </c>
      <c r="AQ370" s="98">
        <f t="shared" si="236"/>
        <v>-13.25508900368259</v>
      </c>
      <c r="AR370" s="169">
        <f t="shared" si="237"/>
        <v>121.41365149328585</v>
      </c>
      <c r="AS370" s="168" t="str">
        <f t="shared" si="238"/>
        <v>0.0750521752956352-0.0472118893621257i</v>
      </c>
      <c r="AT370" s="190">
        <f t="shared" si="239"/>
        <v>-21.044784773855817</v>
      </c>
      <c r="AU370" s="169">
        <f t="shared" si="240"/>
        <v>-32.172119674431798</v>
      </c>
      <c r="AV370" s="225"/>
      <c r="AX370">
        <f t="shared" si="241"/>
        <v>0</v>
      </c>
      <c r="AY370">
        <f t="shared" si="242"/>
        <v>0</v>
      </c>
    </row>
    <row r="371" spans="14:51" x14ac:dyDescent="0.25">
      <c r="N371" s="170">
        <v>53</v>
      </c>
      <c r="O371" s="199">
        <f t="shared" si="208"/>
        <v>33884.41561392029</v>
      </c>
      <c r="P371" s="189" t="str">
        <f t="shared" si="209"/>
        <v>18.0065359477124</v>
      </c>
      <c r="Q371" s="160" t="str">
        <f t="shared" si="210"/>
        <v>1+66.7928038675297i</v>
      </c>
      <c r="R371" s="160">
        <f t="shared" si="218"/>
        <v>66.800289284450642</v>
      </c>
      <c r="S371" s="160">
        <f t="shared" si="219"/>
        <v>1.5558257725562163</v>
      </c>
      <c r="T371" s="160" t="str">
        <f t="shared" si="211"/>
        <v>1+0.0851608249311004i</v>
      </c>
      <c r="U371" s="160">
        <f t="shared" si="220"/>
        <v>1.003619632182903</v>
      </c>
      <c r="V371" s="160">
        <f t="shared" si="221"/>
        <v>8.495584366072198E-2</v>
      </c>
      <c r="W371" s="98" t="str">
        <f t="shared" si="212"/>
        <v>1-1.20310306689366i</v>
      </c>
      <c r="X371" s="160">
        <f t="shared" si="222"/>
        <v>1.5644350384624255</v>
      </c>
      <c r="Y371" s="160">
        <f t="shared" si="223"/>
        <v>-0.87732786078618508</v>
      </c>
      <c r="Z371" s="98" t="str">
        <f t="shared" si="213"/>
        <v>0.98610929456034+0.359613567723659i</v>
      </c>
      <c r="AA371" s="160">
        <f t="shared" si="224"/>
        <v>1.0496349169636223</v>
      </c>
      <c r="AB371" s="160">
        <f t="shared" si="225"/>
        <v>0.34969175727028623</v>
      </c>
      <c r="AC371" s="171" t="str">
        <f t="shared" si="226"/>
        <v>-0.364173938291402-0.173096348766957i</v>
      </c>
      <c r="AD371" s="190">
        <f t="shared" si="227"/>
        <v>-7.8891951587612628</v>
      </c>
      <c r="AE371" s="169">
        <f t="shared" si="228"/>
        <v>-154.57768463280942</v>
      </c>
      <c r="AF371" s="98" t="str">
        <f t="shared" si="214"/>
        <v>-0.0000816326530612245</v>
      </c>
      <c r="AG371" s="98" t="str">
        <f t="shared" si="215"/>
        <v>0.00500319846470214i</v>
      </c>
      <c r="AH371" s="98">
        <f t="shared" si="229"/>
        <v>5.00319846470214E-3</v>
      </c>
      <c r="AI371" s="98">
        <f t="shared" si="230"/>
        <v>1.5707963267948966</v>
      </c>
      <c r="AJ371" s="98" t="str">
        <f t="shared" si="216"/>
        <v>1+1.52474115275576i</v>
      </c>
      <c r="AK371" s="98">
        <f t="shared" si="231"/>
        <v>1.8234131684582524</v>
      </c>
      <c r="AL371" s="98">
        <f t="shared" si="232"/>
        <v>0.99032029599661509</v>
      </c>
      <c r="AM371" s="98" t="str">
        <f t="shared" si="217"/>
        <v>1+23.8876113931737i</v>
      </c>
      <c r="AN371" s="98">
        <f t="shared" si="233"/>
        <v>23.908533582620286</v>
      </c>
      <c r="AO371" s="98">
        <f t="shared" si="234"/>
        <v>1.5289580519236956</v>
      </c>
      <c r="AP371" s="168" t="str">
        <f t="shared" si="235"/>
        <v>-0.109742171816898+0.183644498884549i</v>
      </c>
      <c r="AQ371" s="98">
        <f t="shared" si="236"/>
        <v>-13.3943193303349</v>
      </c>
      <c r="AR371" s="169">
        <f t="shared" si="237"/>
        <v>120.8616701010194</v>
      </c>
      <c r="AS371" s="168" t="str">
        <f t="shared" si="238"/>
        <v>0.0717534311352644-0.0478825711570761i</v>
      </c>
      <c r="AT371" s="190">
        <f t="shared" si="239"/>
        <v>-21.283514489096159</v>
      </c>
      <c r="AU371" s="169">
        <f t="shared" si="240"/>
        <v>-33.716014531789995</v>
      </c>
      <c r="AV371" s="225"/>
      <c r="AX371">
        <f t="shared" si="241"/>
        <v>0</v>
      </c>
      <c r="AY371">
        <f t="shared" si="242"/>
        <v>0</v>
      </c>
    </row>
    <row r="372" spans="14:51" x14ac:dyDescent="0.25">
      <c r="N372" s="170">
        <v>54</v>
      </c>
      <c r="O372" s="199">
        <f t="shared" si="208"/>
        <v>34673.685045253202</v>
      </c>
      <c r="P372" s="189" t="str">
        <f t="shared" si="209"/>
        <v>18.0065359477124</v>
      </c>
      <c r="Q372" s="160" t="str">
        <f t="shared" si="210"/>
        <v>1+68.3486081324257i</v>
      </c>
      <c r="R372" s="160">
        <f t="shared" si="218"/>
        <v>68.355923178901534</v>
      </c>
      <c r="S372" s="160">
        <f t="shared" si="219"/>
        <v>1.5561664947864706</v>
      </c>
      <c r="T372" s="160" t="str">
        <f t="shared" si="211"/>
        <v>1+0.0871444753688428i</v>
      </c>
      <c r="U372" s="160">
        <f t="shared" si="220"/>
        <v>1.0037898981297384</v>
      </c>
      <c r="V372" s="160">
        <f t="shared" si="221"/>
        <v>8.6924878743834949E-2</v>
      </c>
      <c r="W372" s="98" t="str">
        <f t="shared" si="212"/>
        <v>1-1.23112693734376i</v>
      </c>
      <c r="X372" s="160">
        <f t="shared" si="222"/>
        <v>1.5860874931268536</v>
      </c>
      <c r="Y372" s="160">
        <f t="shared" si="223"/>
        <v>-0.88862198798930225</v>
      </c>
      <c r="Z372" s="98" t="str">
        <f t="shared" si="213"/>
        <v>0.985454645781566+0.367990043780699i</v>
      </c>
      <c r="AA372" s="160">
        <f t="shared" si="224"/>
        <v>1.0519208768791464</v>
      </c>
      <c r="AB372" s="160">
        <f t="shared" si="225"/>
        <v>0.35738614391823115</v>
      </c>
      <c r="AC372" s="171" t="str">
        <f t="shared" si="226"/>
        <v>-0.363005597417266-0.16487790915826i</v>
      </c>
      <c r="AD372" s="190">
        <f t="shared" si="227"/>
        <v>-7.9871818747302346</v>
      </c>
      <c r="AE372" s="169">
        <f t="shared" si="228"/>
        <v>-155.57235088150529</v>
      </c>
      <c r="AF372" s="98" t="str">
        <f t="shared" si="214"/>
        <v>-0.0000816326530612245</v>
      </c>
      <c r="AG372" s="98" t="str">
        <f t="shared" si="215"/>
        <v>0.00511973792791953i</v>
      </c>
      <c r="AH372" s="98">
        <f t="shared" si="229"/>
        <v>5.1197379279195303E-3</v>
      </c>
      <c r="AI372" s="98">
        <f t="shared" si="230"/>
        <v>1.5707963267948966</v>
      </c>
      <c r="AJ372" s="98" t="str">
        <f t="shared" si="216"/>
        <v>1+1.56025693665704i</v>
      </c>
      <c r="AK372" s="98">
        <f t="shared" si="231"/>
        <v>1.8532138863030385</v>
      </c>
      <c r="AL372" s="98">
        <f t="shared" si="232"/>
        <v>1.0008306844682553</v>
      </c>
      <c r="AM372" s="98" t="str">
        <f t="shared" si="217"/>
        <v>1+24.4440253409604i</v>
      </c>
      <c r="AN372" s="98">
        <f t="shared" si="233"/>
        <v>24.464471685885925</v>
      </c>
      <c r="AO372" s="98">
        <f t="shared" si="234"/>
        <v>1.5299093339524275</v>
      </c>
      <c r="AP372" s="168" t="str">
        <f t="shared" si="235"/>
        <v>-0.106241118186998+0.181708135304831i</v>
      </c>
      <c r="AQ372" s="98">
        <f t="shared" si="236"/>
        <v>-13.535470470857105</v>
      </c>
      <c r="AR372" s="169">
        <f t="shared" si="237"/>
        <v>120.31397364592435</v>
      </c>
      <c r="AS372" s="168" t="str">
        <f t="shared" si="238"/>
        <v>0.0685257780038563-0.0484442567785998i</v>
      </c>
      <c r="AT372" s="190">
        <f t="shared" si="239"/>
        <v>-21.522652345587336</v>
      </c>
      <c r="AU372" s="169">
        <f t="shared" si="240"/>
        <v>-35.258377235580944</v>
      </c>
      <c r="AV372" s="225"/>
      <c r="AX372">
        <f t="shared" si="241"/>
        <v>0</v>
      </c>
      <c r="AY372">
        <f t="shared" si="242"/>
        <v>0</v>
      </c>
    </row>
    <row r="373" spans="14:51" x14ac:dyDescent="0.25">
      <c r="N373" s="170">
        <v>55</v>
      </c>
      <c r="O373" s="199">
        <f t="shared" si="208"/>
        <v>35481.33892335758</v>
      </c>
      <c r="P373" s="189" t="str">
        <f t="shared" si="209"/>
        <v>18.0065359477124</v>
      </c>
      <c r="Q373" s="160" t="str">
        <f t="shared" si="210"/>
        <v>1+69.9406517340549i</v>
      </c>
      <c r="R373" s="160">
        <f t="shared" si="218"/>
        <v>69.947800286959392</v>
      </c>
      <c r="S373" s="160">
        <f t="shared" si="219"/>
        <v>1.5564994645144301</v>
      </c>
      <c r="T373" s="160" t="str">
        <f t="shared" si="211"/>
        <v>1+0.08917433096092i</v>
      </c>
      <c r="U373" s="160">
        <f t="shared" si="220"/>
        <v>1.0039681575141353</v>
      </c>
      <c r="V373" s="160">
        <f t="shared" si="221"/>
        <v>8.8939079138312352E-2</v>
      </c>
      <c r="W373" s="98" t="str">
        <f t="shared" si="212"/>
        <v>1-1.25980356759194i</v>
      </c>
      <c r="X373" s="160">
        <f t="shared" si="222"/>
        <v>1.6084480187178507</v>
      </c>
      <c r="Y373" s="160">
        <f t="shared" si="223"/>
        <v>-0.89986293995981681</v>
      </c>
      <c r="Z373" s="98" t="str">
        <f t="shared" si="213"/>
        <v>0.984769144356365+0.376561633029879i</v>
      </c>
      <c r="AA373" s="160">
        <f t="shared" si="224"/>
        <v>1.0543096941347436</v>
      </c>
      <c r="AB373" s="160">
        <f t="shared" si="225"/>
        <v>0.36523002506667024</v>
      </c>
      <c r="AC373" s="171" t="str">
        <f t="shared" si="226"/>
        <v>-0.361777337754673-0.15678370470629i</v>
      </c>
      <c r="AD373" s="190">
        <f t="shared" si="227"/>
        <v>-8.0837024006977156</v>
      </c>
      <c r="AE373" s="169">
        <f t="shared" si="228"/>
        <v>-156.56950385035339</v>
      </c>
      <c r="AF373" s="98" t="str">
        <f t="shared" si="214"/>
        <v>-0.0000816326530612245</v>
      </c>
      <c r="AG373" s="98" t="str">
        <f t="shared" si="215"/>
        <v>0.00523899194395404i</v>
      </c>
      <c r="AH373" s="98">
        <f t="shared" si="229"/>
        <v>5.2389919439540401E-3</v>
      </c>
      <c r="AI373" s="98">
        <f t="shared" si="230"/>
        <v>1.5707963267948966</v>
      </c>
      <c r="AJ373" s="98" t="str">
        <f t="shared" si="216"/>
        <v>1+1.59659998943859i</v>
      </c>
      <c r="AK373" s="98">
        <f t="shared" si="231"/>
        <v>1.8839138850476433</v>
      </c>
      <c r="AL373" s="98">
        <f t="shared" si="232"/>
        <v>1.0112404909422845</v>
      </c>
      <c r="AM373" s="98" t="str">
        <f t="shared" si="217"/>
        <v>1+25.0133998345381i</v>
      </c>
      <c r="AN373" s="98">
        <f t="shared" si="233"/>
        <v>25.033381139639737</v>
      </c>
      <c r="AO373" s="98">
        <f t="shared" si="234"/>
        <v>1.5308390337093412</v>
      </c>
      <c r="AP373" s="168" t="str">
        <f t="shared" si="235"/>
        <v>-0.102806750074218+0.179723004238563i</v>
      </c>
      <c r="AQ373" s="98">
        <f t="shared" si="236"/>
        <v>-13.678507093877293</v>
      </c>
      <c r="AR373" s="169">
        <f t="shared" si="237"/>
        <v>119.77080354170019</v>
      </c>
      <c r="AS373" s="168" t="str">
        <f t="shared" si="238"/>
        <v>0.0653707907705268-0.0489012868612496i</v>
      </c>
      <c r="AT373" s="190">
        <f t="shared" si="239"/>
        <v>-21.762209494575011</v>
      </c>
      <c r="AU373" s="169">
        <f t="shared" si="240"/>
        <v>-36.798700308653174</v>
      </c>
      <c r="AV373" s="225"/>
      <c r="AX373">
        <f t="shared" si="241"/>
        <v>0</v>
      </c>
      <c r="AY373">
        <f t="shared" si="242"/>
        <v>0</v>
      </c>
    </row>
    <row r="374" spans="14:51" x14ac:dyDescent="0.25">
      <c r="N374" s="170">
        <v>56</v>
      </c>
      <c r="O374" s="199">
        <f t="shared" si="208"/>
        <v>36307.805477010232</v>
      </c>
      <c r="P374" s="189" t="str">
        <f t="shared" si="209"/>
        <v>18.0065359477124</v>
      </c>
      <c r="Q374" s="160" t="str">
        <f t="shared" si="210"/>
        <v>1+71.5697787950071i</v>
      </c>
      <c r="R374" s="160">
        <f t="shared" si="218"/>
        <v>71.576764643047724</v>
      </c>
      <c r="S374" s="160">
        <f t="shared" si="219"/>
        <v>1.5568248579895541</v>
      </c>
      <c r="T374" s="160" t="str">
        <f t="shared" si="211"/>
        <v>1+0.091251467963634i</v>
      </c>
      <c r="U374" s="160">
        <f t="shared" si="220"/>
        <v>1.0041547840873528</v>
      </c>
      <c r="V374" s="160">
        <f t="shared" si="221"/>
        <v>9.0999447390693489E-2</v>
      </c>
      <c r="W374" s="98" t="str">
        <f t="shared" si="212"/>
        <v>1-1.28914816236712i</v>
      </c>
      <c r="X374" s="160">
        <f t="shared" si="222"/>
        <v>1.6315339360658492</v>
      </c>
      <c r="Y374" s="160">
        <f t="shared" si="223"/>
        <v>-0.91104531428802682</v>
      </c>
      <c r="Z374" s="98" t="str">
        <f t="shared" si="213"/>
        <v>0.984051336244308+0.385332880241272i</v>
      </c>
      <c r="AA374" s="160">
        <f t="shared" si="224"/>
        <v>1.0568057820428702</v>
      </c>
      <c r="AB374" s="160">
        <f t="shared" si="225"/>
        <v>0.37322503750869312</v>
      </c>
      <c r="AC374" s="171" t="str">
        <f t="shared" si="226"/>
        <v>-0.360488107792299-0.148811584942852i</v>
      </c>
      <c r="AD374" s="190">
        <f t="shared" si="227"/>
        <v>-8.1788059787840606</v>
      </c>
      <c r="AE374" s="169">
        <f t="shared" si="228"/>
        <v>-157.56888044207929</v>
      </c>
      <c r="AF374" s="98" t="str">
        <f t="shared" si="214"/>
        <v>-0.0000816326530612245</v>
      </c>
      <c r="AG374" s="98" t="str">
        <f t="shared" si="215"/>
        <v>0.0053610237428635i</v>
      </c>
      <c r="AH374" s="98">
        <f t="shared" si="229"/>
        <v>5.3610237428635002E-3</v>
      </c>
      <c r="AI374" s="98">
        <f t="shared" si="230"/>
        <v>1.5707963267948966</v>
      </c>
      <c r="AJ374" s="98" t="str">
        <f t="shared" si="216"/>
        <v>1+1.63378958066804i</v>
      </c>
      <c r="AK374" s="98">
        <f t="shared" si="231"/>
        <v>1.9155334489116733</v>
      </c>
      <c r="AL374" s="98">
        <f t="shared" si="232"/>
        <v>1.0215462101504156</v>
      </c>
      <c r="AM374" s="98" t="str">
        <f t="shared" si="217"/>
        <v>1+25.5960367637993i</v>
      </c>
      <c r="AN374" s="98">
        <f t="shared" si="233"/>
        <v>25.615563589618041</v>
      </c>
      <c r="AO374" s="98">
        <f t="shared" si="234"/>
        <v>1.531747637701262</v>
      </c>
      <c r="AP374" s="168" t="str">
        <f t="shared" si="235"/>
        <v>-0.0994407164133739+0.177692270635793i</v>
      </c>
      <c r="AQ374" s="98">
        <f t="shared" si="236"/>
        <v>-13.823392874781215</v>
      </c>
      <c r="AR374" s="169">
        <f t="shared" si="237"/>
        <v>119.2323885002131</v>
      </c>
      <c r="AS374" s="168" t="str">
        <f t="shared" si="238"/>
        <v>0.0622898641227743-0.0492580197934873i</v>
      </c>
      <c r="AT374" s="190">
        <f t="shared" si="239"/>
        <v>-22.002198853565275</v>
      </c>
      <c r="AU374" s="169">
        <f t="shared" si="240"/>
        <v>-38.336491941866214</v>
      </c>
      <c r="AV374" s="225"/>
      <c r="AX374">
        <f t="shared" si="241"/>
        <v>0</v>
      </c>
      <c r="AY374">
        <f t="shared" si="242"/>
        <v>0</v>
      </c>
    </row>
    <row r="375" spans="14:51" x14ac:dyDescent="0.25">
      <c r="N375" s="170">
        <v>57</v>
      </c>
      <c r="O375" s="199">
        <f t="shared" si="208"/>
        <v>37153.522909717351</v>
      </c>
      <c r="P375" s="189" t="str">
        <f t="shared" si="209"/>
        <v>18.0065359477124</v>
      </c>
      <c r="Q375" s="160" t="str">
        <f t="shared" si="210"/>
        <v>1+73.2368531000144i</v>
      </c>
      <c r="R375" s="160">
        <f t="shared" si="218"/>
        <v>73.243679945733817</v>
      </c>
      <c r="S375" s="160">
        <f t="shared" si="219"/>
        <v>1.5571428474639888</v>
      </c>
      <c r="T375" s="160" t="str">
        <f t="shared" si="211"/>
        <v>1+0.0933769877025184i</v>
      </c>
      <c r="U375" s="160">
        <f t="shared" si="220"/>
        <v>1.0043501689313326</v>
      </c>
      <c r="V375" s="160">
        <f t="shared" si="221"/>
        <v>9.3107005924746161E-2</v>
      </c>
      <c r="W375" s="98" t="str">
        <f t="shared" si="212"/>
        <v>1-1.31917628056189i</v>
      </c>
      <c r="X375" s="160">
        <f t="shared" si="222"/>
        <v>1.6553628179940196</v>
      </c>
      <c r="Y375" s="160">
        <f t="shared" si="223"/>
        <v>-0.92216385414141577</v>
      </c>
      <c r="Z375" s="98" t="str">
        <f t="shared" si="213"/>
        <v>0.98329969887815+0.394308436046252i</v>
      </c>
      <c r="AA375" s="160">
        <f t="shared" si="224"/>
        <v>1.0594137249210536</v>
      </c>
      <c r="AB375" s="160">
        <f t="shared" si="225"/>
        <v>0.38137275420042493</v>
      </c>
      <c r="AC375" s="171" t="str">
        <f t="shared" si="226"/>
        <v>-0.359136846027481-0.140959561492648i</v>
      </c>
      <c r="AD375" s="190">
        <f t="shared" si="227"/>
        <v>-8.2725445171631158</v>
      </c>
      <c r="AE375" s="169">
        <f t="shared" si="228"/>
        <v>-158.57022087486763</v>
      </c>
      <c r="AF375" s="98" t="str">
        <f t="shared" si="214"/>
        <v>-0.0000816326530612245</v>
      </c>
      <c r="AG375" s="98" t="str">
        <f t="shared" si="215"/>
        <v>0.00548589802752296i</v>
      </c>
      <c r="AH375" s="98">
        <f t="shared" si="229"/>
        <v>5.4858980275229599E-3</v>
      </c>
      <c r="AI375" s="98">
        <f t="shared" si="230"/>
        <v>1.5707963267948966</v>
      </c>
      <c r="AJ375" s="98" t="str">
        <f t="shared" si="216"/>
        <v>1+1.67184542875891i</v>
      </c>
      <c r="AK375" s="98">
        <f t="shared" si="231"/>
        <v>1.9480932055890097</v>
      </c>
      <c r="AL375" s="98">
        <f t="shared" si="232"/>
        <v>1.0317445495561985</v>
      </c>
      <c r="AM375" s="98" t="str">
        <f t="shared" si="217"/>
        <v>1+26.1922450505564i</v>
      </c>
      <c r="AN375" s="98">
        <f t="shared" si="233"/>
        <v>26.211327718915658</v>
      </c>
      <c r="AO375" s="98">
        <f t="shared" si="234"/>
        <v>1.532635621677765</v>
      </c>
      <c r="AP375" s="168" t="str">
        <f t="shared" si="235"/>
        <v>-0.0961444592590506+0.175619128678832i</v>
      </c>
      <c r="AQ375" s="98">
        <f t="shared" si="236"/>
        <v>-13.970090611093248</v>
      </c>
      <c r="AR375" s="169">
        <f t="shared" si="237"/>
        <v>118.69894442834868</v>
      </c>
      <c r="AS375" s="168" t="str">
        <f t="shared" si="238"/>
        <v>0.0592842132296022-0.0495188191587065i</v>
      </c>
      <c r="AT375" s="190">
        <f t="shared" si="239"/>
        <v>-22.242635128256364</v>
      </c>
      <c r="AU375" s="169">
        <f t="shared" si="240"/>
        <v>-39.871276446518927</v>
      </c>
      <c r="AV375" s="225"/>
      <c r="AX375">
        <f t="shared" si="241"/>
        <v>0</v>
      </c>
      <c r="AY375">
        <f t="shared" si="242"/>
        <v>0</v>
      </c>
    </row>
    <row r="376" spans="14:51" x14ac:dyDescent="0.25">
      <c r="N376" s="170">
        <v>58</v>
      </c>
      <c r="O376" s="199">
        <f t="shared" si="208"/>
        <v>38018.939632056143</v>
      </c>
      <c r="P376" s="189" t="str">
        <f t="shared" si="209"/>
        <v>18.0065359477124</v>
      </c>
      <c r="Q376" s="160" t="str">
        <f t="shared" si="210"/>
        <v>1+74.9427585539398i</v>
      </c>
      <c r="R376" s="160">
        <f t="shared" si="218"/>
        <v>74.949430015672007</v>
      </c>
      <c r="S376" s="160">
        <f t="shared" si="219"/>
        <v>1.5574536012825808</v>
      </c>
      <c r="T376" s="160" t="str">
        <f t="shared" si="211"/>
        <v>1+0.0955520171562732i</v>
      </c>
      <c r="U376" s="160">
        <f t="shared" si="220"/>
        <v>1.0045547212484907</v>
      </c>
      <c r="V376" s="160">
        <f t="shared" si="221"/>
        <v>9.5262797263663448E-2</v>
      </c>
      <c r="W376" s="98" t="str">
        <f t="shared" si="212"/>
        <v>1-1.34990384348197i</v>
      </c>
      <c r="X376" s="160">
        <f t="shared" si="222"/>
        <v>1.6799524953543759</v>
      </c>
      <c r="Y376" s="160">
        <f t="shared" si="223"/>
        <v>-0.93321345923526899</v>
      </c>
      <c r="Z376" s="98" t="str">
        <f t="shared" si="213"/>
        <v>0.982512637934265+0.403493059403314i</v>
      </c>
      <c r="AA376" s="160">
        <f t="shared" si="224"/>
        <v>1.0621382832226671</v>
      </c>
      <c r="AB376" s="160">
        <f t="shared" si="225"/>
        <v>0.3896746784909389</v>
      </c>
      <c r="AC376" s="171" t="str">
        <f t="shared" si="226"/>
        <v>-0.357722486484571-0.13322580917217i</v>
      </c>
      <c r="AD376" s="190">
        <f t="shared" si="227"/>
        <v>-8.364972487598104</v>
      </c>
      <c r="AE376" s="169">
        <f t="shared" si="228"/>
        <v>-159.5732689727574</v>
      </c>
      <c r="AF376" s="98" t="str">
        <f t="shared" si="214"/>
        <v>-0.0000816326530612245</v>
      </c>
      <c r="AG376" s="98" t="str">
        <f t="shared" si="215"/>
        <v>0.00561368100793105i</v>
      </c>
      <c r="AH376" s="98">
        <f t="shared" si="229"/>
        <v>5.6136810079310496E-3</v>
      </c>
      <c r="AI376" s="98">
        <f t="shared" si="230"/>
        <v>1.5707963267948966</v>
      </c>
      <c r="AJ376" s="98" t="str">
        <f t="shared" si="216"/>
        <v>1+1.71078771142561i</v>
      </c>
      <c r="AK376" s="98">
        <f t="shared" si="231"/>
        <v>1.9816141384146604</v>
      </c>
      <c r="AL376" s="98">
        <f t="shared" si="232"/>
        <v>1.0418324304752082</v>
      </c>
      <c r="AM376" s="98" t="str">
        <f t="shared" si="217"/>
        <v>1+26.8023408123346i</v>
      </c>
      <c r="AN376" s="98">
        <f t="shared" si="233"/>
        <v>26.820989411662964</v>
      </c>
      <c r="AO376" s="98">
        <f t="shared" si="234"/>
        <v>1.533503450854999</v>
      </c>
      <c r="AP376" s="168" t="str">
        <f t="shared" si="235"/>
        <v>-0.0929192167067404+0.173506787577568i</v>
      </c>
      <c r="AQ376" s="98">
        <f t="shared" si="236"/>
        <v>-14.11856233649376</v>
      </c>
      <c r="AR376" s="169">
        <f t="shared" si="237"/>
        <v>118.17067437665273</v>
      </c>
      <c r="AS376" s="168" t="str">
        <f t="shared" si="238"/>
        <v>0.0563548754144192-0.0496880416407982i</v>
      </c>
      <c r="AT376" s="190">
        <f t="shared" si="239"/>
        <v>-22.483534824091866</v>
      </c>
      <c r="AU376" s="169">
        <f t="shared" si="240"/>
        <v>-41.402594596104656</v>
      </c>
      <c r="AV376" s="225"/>
      <c r="AX376">
        <f t="shared" si="241"/>
        <v>0</v>
      </c>
      <c r="AY376">
        <f t="shared" si="242"/>
        <v>0</v>
      </c>
    </row>
    <row r="377" spans="14:51" x14ac:dyDescent="0.25">
      <c r="N377" s="170">
        <v>59</v>
      </c>
      <c r="O377" s="199">
        <f t="shared" si="208"/>
        <v>38904.514499428085</v>
      </c>
      <c r="P377" s="189" t="str">
        <f t="shared" si="209"/>
        <v>18.0065359477124</v>
      </c>
      <c r="Q377" s="160" t="str">
        <f t="shared" si="210"/>
        <v>1+76.6883996504351i</v>
      </c>
      <c r="R377" s="160">
        <f t="shared" si="218"/>
        <v>76.694919264217589</v>
      </c>
      <c r="S377" s="160">
        <f t="shared" si="219"/>
        <v>1.5577572839709095</v>
      </c>
      <c r="T377" s="160" t="str">
        <f t="shared" si="211"/>
        <v>1+0.0977777095543048i</v>
      </c>
      <c r="U377" s="160">
        <f t="shared" si="220"/>
        <v>1.0047688691861856</v>
      </c>
      <c r="V377" s="160">
        <f t="shared" si="221"/>
        <v>9.7467884241142361E-2</v>
      </c>
      <c r="W377" s="98" t="str">
        <f t="shared" si="212"/>
        <v>1-1.38134714328796i</v>
      </c>
      <c r="X377" s="160">
        <f t="shared" si="222"/>
        <v>1.7053210636914702</v>
      </c>
      <c r="Y377" s="160">
        <f t="shared" si="223"/>
        <v>-0.94418919590236983</v>
      </c>
      <c r="Z377" s="98" t="str">
        <f t="shared" si="213"/>
        <v>0.981688483950866+0.412891620121333i</v>
      </c>
      <c r="AA377" s="160">
        <f t="shared" si="224"/>
        <v>1.064984398706464</v>
      </c>
      <c r="AB377" s="160">
        <f t="shared" si="225"/>
        <v>0.39813223818286297</v>
      </c>
      <c r="AC377" s="171" t="str">
        <f t="shared" si="226"/>
        <v>-0.356243964556672-0.125608666932464i</v>
      </c>
      <c r="AD377" s="190">
        <f t="shared" si="227"/>
        <v>-8.4561468144865231</v>
      </c>
      <c r="AE377" s="169">
        <f t="shared" si="228"/>
        <v>-160.57777239524006</v>
      </c>
      <c r="AF377" s="98" t="str">
        <f t="shared" si="214"/>
        <v>-0.0000816326530612245</v>
      </c>
      <c r="AG377" s="98" t="str">
        <f t="shared" si="215"/>
        <v>0.0057444404363154i</v>
      </c>
      <c r="AH377" s="98">
        <f t="shared" si="229"/>
        <v>5.7444404363153996E-3</v>
      </c>
      <c r="AI377" s="98">
        <f t="shared" si="230"/>
        <v>1.5707963267948966</v>
      </c>
      <c r="AJ377" s="98" t="str">
        <f t="shared" si="216"/>
        <v>1+1.75063707638186i</v>
      </c>
      <c r="AK377" s="98">
        <f t="shared" si="231"/>
        <v>2.016117599050915</v>
      </c>
      <c r="AL377" s="98">
        <f t="shared" si="232"/>
        <v>1.0518069883243462</v>
      </c>
      <c r="AM377" s="98" t="str">
        <f t="shared" si="217"/>
        <v>1+27.4266475299825i</v>
      </c>
      <c r="AN377" s="98">
        <f t="shared" si="233"/>
        <v>27.444871920522694</v>
      </c>
      <c r="AO377" s="98">
        <f t="shared" si="234"/>
        <v>1.5343515801358087</v>
      </c>
      <c r="AP377" s="168" t="str">
        <f t="shared" si="235"/>
        <v>-0.0897660268343984+0.171358457990037i</v>
      </c>
      <c r="AQ377" s="98">
        <f t="shared" si="236"/>
        <v>-14.268769432890023</v>
      </c>
      <c r="AR377" s="169">
        <f t="shared" si="237"/>
        <v>117.64776853765989</v>
      </c>
      <c r="AS377" s="168" t="str">
        <f t="shared" si="238"/>
        <v>0.0535027127577179-0.0497700254681961i</v>
      </c>
      <c r="AT377" s="190">
        <f t="shared" si="239"/>
        <v>-22.724916247376544</v>
      </c>
      <c r="AU377" s="169">
        <f t="shared" si="240"/>
        <v>-42.930003857580154</v>
      </c>
      <c r="AV377" s="225"/>
      <c r="AX377">
        <f t="shared" si="241"/>
        <v>0</v>
      </c>
      <c r="AY377">
        <f t="shared" si="242"/>
        <v>0</v>
      </c>
    </row>
    <row r="378" spans="14:51" x14ac:dyDescent="0.25">
      <c r="N378" s="170">
        <v>60</v>
      </c>
      <c r="O378" s="199">
        <f t="shared" si="208"/>
        <v>39810.717055349742</v>
      </c>
      <c r="P378" s="189" t="str">
        <f t="shared" si="209"/>
        <v>18.0065359477124</v>
      </c>
      <c r="Q378" s="160" t="str">
        <f t="shared" si="210"/>
        <v>1+78.4747019515159i</v>
      </c>
      <c r="R378" s="160">
        <f t="shared" si="218"/>
        <v>78.481073172958418</v>
      </c>
      <c r="S378" s="160">
        <f t="shared" si="219"/>
        <v>1.5580540563213749</v>
      </c>
      <c r="T378" s="160" t="str">
        <f t="shared" si="211"/>
        <v>1+0.100055244988183i</v>
      </c>
      <c r="U378" s="160">
        <f t="shared" si="220"/>
        <v>1.0049930606972595</v>
      </c>
      <c r="V378" s="160">
        <f t="shared" si="221"/>
        <v>9.9723350200023875E-2</v>
      </c>
      <c r="W378" s="98" t="str">
        <f t="shared" si="212"/>
        <v>1-1.4135228516336i</v>
      </c>
      <c r="X378" s="160">
        <f t="shared" si="222"/>
        <v>1.7314868905337935</v>
      </c>
      <c r="Y378" s="160">
        <f t="shared" si="223"/>
        <v>-0.95508630622490132</v>
      </c>
      <c r="Z378" s="98" t="str">
        <f t="shared" si="213"/>
        <v>0.98082548878686+0.422509101441607i</v>
      </c>
      <c r="AA378" s="160">
        <f t="shared" si="224"/>
        <v>1.0679571996362855</v>
      </c>
      <c r="AB378" s="160">
        <f t="shared" si="225"/>
        <v>0.40674677943721332</v>
      </c>
      <c r="AC378" s="171" t="str">
        <f t="shared" si="226"/>
        <v>-0.354700223174925-0.118106638610188i</v>
      </c>
      <c r="AD378" s="190">
        <f t="shared" si="227"/>
        <v>-8.5461267559606586</v>
      </c>
      <c r="AE378" s="169">
        <f t="shared" si="228"/>
        <v>-161.58348280480362</v>
      </c>
      <c r="AF378" s="98" t="str">
        <f t="shared" si="214"/>
        <v>-0.0000816326530612245</v>
      </c>
      <c r="AG378" s="98" t="str">
        <f t="shared" si="215"/>
        <v>0.00587824564305575i</v>
      </c>
      <c r="AH378" s="98">
        <f t="shared" si="229"/>
        <v>5.87824564305575E-3</v>
      </c>
      <c r="AI378" s="98">
        <f t="shared" si="230"/>
        <v>1.5707963267948966</v>
      </c>
      <c r="AJ378" s="98" t="str">
        <f t="shared" si="216"/>
        <v>1+1.79141465228842i</v>
      </c>
      <c r="AK378" s="98">
        <f t="shared" si="231"/>
        <v>2.0516253206747179</v>
      </c>
      <c r="AL378" s="98">
        <f t="shared" si="232"/>
        <v>1.061665572041931</v>
      </c>
      <c r="AM378" s="98" t="str">
        <f t="shared" si="217"/>
        <v>1+28.0654962191853i</v>
      </c>
      <c r="AN378" s="98">
        <f t="shared" si="233"/>
        <v>28.083306038091465</v>
      </c>
      <c r="AO378" s="98">
        <f t="shared" si="234"/>
        <v>1.5351804543261458</v>
      </c>
      <c r="AP378" s="168" t="str">
        <f t="shared" si="235"/>
        <v>-0.0866857325741086+0.169177339139278i</v>
      </c>
      <c r="AQ378" s="98">
        <f t="shared" si="236"/>
        <v>-14.420672740011305</v>
      </c>
      <c r="AR378" s="169">
        <f t="shared" si="237"/>
        <v>117.13040429151975</v>
      </c>
      <c r="AS378" s="168" t="str">
        <f t="shared" si="238"/>
        <v>0.0507284155448741-0.0497690794590522i</v>
      </c>
      <c r="AT378" s="190">
        <f t="shared" si="239"/>
        <v>-22.966799495971966</v>
      </c>
      <c r="AU378" s="169">
        <f t="shared" si="240"/>
        <v>-44.453078513283849</v>
      </c>
      <c r="AV378" s="225"/>
      <c r="AX378">
        <f t="shared" si="241"/>
        <v>0</v>
      </c>
      <c r="AY378">
        <f t="shared" si="242"/>
        <v>0</v>
      </c>
    </row>
    <row r="379" spans="14:51" x14ac:dyDescent="0.25">
      <c r="N379" s="170">
        <v>61</v>
      </c>
      <c r="O379" s="199">
        <f t="shared" si="208"/>
        <v>40738.027780411358</v>
      </c>
      <c r="P379" s="189" t="str">
        <f t="shared" si="209"/>
        <v>18.0065359477124</v>
      </c>
      <c r="Q379" s="160" t="str">
        <f t="shared" si="210"/>
        <v>1+80.3026125783071i</v>
      </c>
      <c r="R379" s="160">
        <f t="shared" si="218"/>
        <v>80.308838784418285</v>
      </c>
      <c r="S379" s="160">
        <f t="shared" si="219"/>
        <v>1.5583440754773823</v>
      </c>
      <c r="T379" s="160" t="str">
        <f t="shared" si="211"/>
        <v>1+0.102385831037342i</v>
      </c>
      <c r="U379" s="160">
        <f t="shared" si="220"/>
        <v>1.0052277644380936</v>
      </c>
      <c r="V379" s="160">
        <f t="shared" si="221"/>
        <v>0.10203029917708868</v>
      </c>
      <c r="W379" s="98" t="str">
        <f t="shared" si="212"/>
        <v>1-1.44644802850538i</v>
      </c>
      <c r="X379" s="160">
        <f t="shared" si="222"/>
        <v>1.7584686233103792</v>
      </c>
      <c r="Y379" s="160">
        <f t="shared" si="223"/>
        <v>-0.96590021620118993</v>
      </c>
      <c r="Z379" s="98" t="str">
        <f t="shared" si="213"/>
        <v>0.979921821913799+0.432350602680035i</v>
      </c>
      <c r="AA379" s="160">
        <f t="shared" si="224"/>
        <v>1.0710620060018226</v>
      </c>
      <c r="AB379" s="160">
        <f t="shared" si="225"/>
        <v>0.41551956053835087</v>
      </c>
      <c r="AC379" s="171" t="str">
        <f t="shared" si="226"/>
        <v>-0.353090219306683-0.110718393449299i</v>
      </c>
      <c r="AD379" s="190">
        <f t="shared" si="227"/>
        <v>-8.6349737776027471</v>
      </c>
      <c r="AE379" s="169">
        <f t="shared" si="228"/>
        <v>-162.59015597184614</v>
      </c>
      <c r="AF379" s="98" t="str">
        <f t="shared" si="214"/>
        <v>-0.0000816326530612245</v>
      </c>
      <c r="AG379" s="98" t="str">
        <f t="shared" si="215"/>
        <v>0.00601516757344383i</v>
      </c>
      <c r="AH379" s="98">
        <f t="shared" si="229"/>
        <v>6.0151675734438298E-3</v>
      </c>
      <c r="AI379" s="98">
        <f t="shared" si="230"/>
        <v>1.5707963267948966</v>
      </c>
      <c r="AJ379" s="98" t="str">
        <f t="shared" si="216"/>
        <v>1+1.8331420599558i</v>
      </c>
      <c r="AK379" s="98">
        <f t="shared" si="231"/>
        <v>2.0881594316476395</v>
      </c>
      <c r="AL379" s="98">
        <f t="shared" si="232"/>
        <v>1.0714057427242729</v>
      </c>
      <c r="AM379" s="98" t="str">
        <f t="shared" si="217"/>
        <v>1+28.7192256059743i</v>
      </c>
      <c r="AN379" s="98">
        <f t="shared" si="233"/>
        <v>28.736630272299674</v>
      </c>
      <c r="AO379" s="98">
        <f t="shared" si="234"/>
        <v>1.5359905083477681</v>
      </c>
      <c r="AP379" s="168" t="str">
        <f t="shared" si="235"/>
        <v>-0.0836789874199249+0.166966606685589i</v>
      </c>
      <c r="AQ379" s="98">
        <f t="shared" si="236"/>
        <v>-14.574232662043618</v>
      </c>
      <c r="AR379" s="169">
        <f t="shared" si="237"/>
        <v>116.61874629630069</v>
      </c>
      <c r="AS379" s="168" t="str">
        <f t="shared" si="238"/>
        <v>0.0480325064713718-0.0496894727189091i</v>
      </c>
      <c r="AT379" s="190">
        <f t="shared" si="239"/>
        <v>-23.209206439646373</v>
      </c>
      <c r="AU379" s="169">
        <f t="shared" si="240"/>
        <v>-45.971409675545509</v>
      </c>
      <c r="AV379" s="225"/>
      <c r="AX379">
        <f t="shared" si="241"/>
        <v>0</v>
      </c>
      <c r="AY379">
        <f t="shared" si="242"/>
        <v>0</v>
      </c>
    </row>
    <row r="380" spans="14:51" x14ac:dyDescent="0.25">
      <c r="N380" s="170">
        <v>62</v>
      </c>
      <c r="O380" s="199">
        <f t="shared" si="208"/>
        <v>41686.938347033625</v>
      </c>
      <c r="P380" s="189" t="str">
        <f t="shared" si="209"/>
        <v>18.0065359477124</v>
      </c>
      <c r="Q380" s="160" t="str">
        <f t="shared" si="210"/>
        <v>1+82.1731007132182i</v>
      </c>
      <c r="R380" s="160">
        <f t="shared" si="218"/>
        <v>82.179185204190858</v>
      </c>
      <c r="S380" s="160">
        <f t="shared" si="219"/>
        <v>1.558627495015664</v>
      </c>
      <c r="T380" s="160" t="str">
        <f t="shared" si="211"/>
        <v>1+0.104770703409353i</v>
      </c>
      <c r="U380" s="160">
        <f t="shared" si="220"/>
        <v>1.0054734707056625</v>
      </c>
      <c r="V380" s="160">
        <f t="shared" si="221"/>
        <v>0.10438985607249698</v>
      </c>
      <c r="W380" s="98" t="str">
        <f t="shared" si="212"/>
        <v>1-1.48014013126787i</v>
      </c>
      <c r="X380" s="160">
        <f t="shared" si="222"/>
        <v>1.786285197886851</v>
      </c>
      <c r="Y380" s="160">
        <f t="shared" si="223"/>
        <v>-0.97662654292896522</v>
      </c>
      <c r="Z380" s="98" t="str">
        <f t="shared" si="213"/>
        <v>0.978975566533089+0.442421341930841i</v>
      </c>
      <c r="AA380" s="160">
        <f t="shared" si="224"/>
        <v>1.0743043347509442</v>
      </c>
      <c r="AB380" s="160">
        <f t="shared" si="225"/>
        <v>0.42445174553746717</v>
      </c>
      <c r="AC380" s="171" t="str">
        <f t="shared" si="226"/>
        <v>-0.351412930780577-0.103442766353824i</v>
      </c>
      <c r="AD380" s="190">
        <f t="shared" si="227"/>
        <v>-8.7227514193410691</v>
      </c>
      <c r="AE380" s="169">
        <f t="shared" si="228"/>
        <v>-163.5975518170525</v>
      </c>
      <c r="AF380" s="98" t="str">
        <f t="shared" si="214"/>
        <v>-0.0000816326530612245</v>
      </c>
      <c r="AG380" s="98" t="str">
        <f t="shared" si="215"/>
        <v>0.0061552788252995i</v>
      </c>
      <c r="AH380" s="98">
        <f t="shared" si="229"/>
        <v>6.1552788252994999E-3</v>
      </c>
      <c r="AI380" s="98">
        <f t="shared" si="230"/>
        <v>1.5707963267948966</v>
      </c>
      <c r="AJ380" s="98" t="str">
        <f t="shared" si="216"/>
        <v>1+1.87584142380788i</v>
      </c>
      <c r="AK380" s="98">
        <f t="shared" si="231"/>
        <v>2.1257424696499747</v>
      </c>
      <c r="AL380" s="98">
        <f t="shared" si="232"/>
        <v>1.081025271527813</v>
      </c>
      <c r="AM380" s="98" t="str">
        <f t="shared" si="217"/>
        <v>1+29.3881823063236i</v>
      </c>
      <c r="AN380" s="98">
        <f t="shared" si="233"/>
        <v>29.405191025900709</v>
      </c>
      <c r="AO380" s="98">
        <f t="shared" si="234"/>
        <v>1.5367821674472326</v>
      </c>
      <c r="AP380" s="168" t="str">
        <f t="shared" si="235"/>
        <v>-0.0807462618757466+0.164729401401299i</v>
      </c>
      <c r="AQ380" s="98">
        <f t="shared" si="236"/>
        <v>-14.729409270876616</v>
      </c>
      <c r="AR380" s="169">
        <f t="shared" si="237"/>
        <v>116.11294662016587</v>
      </c>
      <c r="AS380" s="168" t="str">
        <f t="shared" si="238"/>
        <v>0.0454153455160919-0.049535425031003i</v>
      </c>
      <c r="AT380" s="190">
        <f t="shared" si="239"/>
        <v>-23.452160690217696</v>
      </c>
      <c r="AU380" s="169">
        <f t="shared" si="240"/>
        <v>-47.484605196886648</v>
      </c>
      <c r="AV380" s="225"/>
      <c r="AX380">
        <f t="shared" si="241"/>
        <v>0</v>
      </c>
      <c r="AY380">
        <f t="shared" si="242"/>
        <v>0</v>
      </c>
    </row>
    <row r="381" spans="14:51" x14ac:dyDescent="0.25">
      <c r="N381" s="170">
        <v>63</v>
      </c>
      <c r="O381" s="199">
        <f t="shared" si="208"/>
        <v>42657.951880159271</v>
      </c>
      <c r="P381" s="189" t="str">
        <f t="shared" si="209"/>
        <v>18.0065359477124</v>
      </c>
      <c r="Q381" s="160" t="str">
        <f t="shared" si="210"/>
        <v>1+84.0871581138168i</v>
      </c>
      <c r="R381" s="160">
        <f t="shared" si="218"/>
        <v>84.093104114772842</v>
      </c>
      <c r="S381" s="160">
        <f t="shared" si="219"/>
        <v>1.5589044650267776</v>
      </c>
      <c r="T381" s="160" t="str">
        <f t="shared" si="211"/>
        <v>1+0.107211126595116i</v>
      </c>
      <c r="U381" s="160">
        <f t="shared" si="220"/>
        <v>1.0057306924151186</v>
      </c>
      <c r="V381" s="160">
        <f t="shared" si="221"/>
        <v>0.10680316680226982</v>
      </c>
      <c r="W381" s="98" t="str">
        <f t="shared" si="212"/>
        <v>1-1.51461702391992i</v>
      </c>
      <c r="X381" s="160">
        <f t="shared" si="222"/>
        <v>1.8149558477131162</v>
      </c>
      <c r="Y381" s="160">
        <f t="shared" si="223"/>
        <v>-0.98726110079609486</v>
      </c>
      <c r="Z381" s="98" t="str">
        <f t="shared" si="213"/>
        <v>0.9779847155102+0.452726658833277i</v>
      </c>
      <c r="AA381" s="160">
        <f t="shared" si="224"/>
        <v>1.0776899050236619</v>
      </c>
      <c r="AB381" s="160">
        <f t="shared" si="225"/>
        <v>0.43354439779563037</v>
      </c>
      <c r="AC381" s="171" t="str">
        <f t="shared" si="226"/>
        <v>-0.349667363432917-0.0962787578303694i</v>
      </c>
      <c r="AD381" s="190">
        <f t="shared" si="227"/>
        <v>-8.8095251560914907</v>
      </c>
      <c r="AE381" s="169">
        <f t="shared" si="228"/>
        <v>-164.60543439201851</v>
      </c>
      <c r="AF381" s="98" t="str">
        <f t="shared" si="214"/>
        <v>-0.0000816326530612245</v>
      </c>
      <c r="AG381" s="98" t="str">
        <f t="shared" si="215"/>
        <v>0.00629865368746308i</v>
      </c>
      <c r="AH381" s="98">
        <f t="shared" si="229"/>
        <v>6.2986536874630799E-3</v>
      </c>
      <c r="AI381" s="98">
        <f t="shared" si="230"/>
        <v>1.5707963267948966</v>
      </c>
      <c r="AJ381" s="98" t="str">
        <f t="shared" si="216"/>
        <v>1+1.91953538361256i</v>
      </c>
      <c r="AK381" s="98">
        <f t="shared" si="231"/>
        <v>2.1643973962608203</v>
      </c>
      <c r="AL381" s="98">
        <f t="shared" si="232"/>
        <v>1.0905221368885358</v>
      </c>
      <c r="AM381" s="98" t="str">
        <f t="shared" si="217"/>
        <v>1+30.0727210099302i</v>
      </c>
      <c r="AN381" s="98">
        <f t="shared" si="233"/>
        <v>30.089342780145554</v>
      </c>
      <c r="AO381" s="98">
        <f t="shared" si="234"/>
        <v>1.5375558474011899</v>
      </c>
      <c r="AP381" s="168" t="str">
        <f t="shared" si="235"/>
        <v>-0.0778878505463243+0.162468818683679i</v>
      </c>
      <c r="AQ381" s="98">
        <f t="shared" si="236"/>
        <v>-14.886162405585209</v>
      </c>
      <c r="AR381" s="169">
        <f t="shared" si="237"/>
        <v>115.61314491244811</v>
      </c>
      <c r="AS381" s="168" t="str">
        <f t="shared" si="238"/>
        <v>0.0428771353930224-0.0493110979685051i</v>
      </c>
      <c r="AT381" s="190">
        <f t="shared" si="239"/>
        <v>-23.695687561676699</v>
      </c>
      <c r="AU381" s="169">
        <f t="shared" si="240"/>
        <v>-48.992289479570388</v>
      </c>
      <c r="AV381" s="225"/>
      <c r="AX381">
        <f t="shared" si="241"/>
        <v>0</v>
      </c>
      <c r="AY381">
        <f t="shared" si="242"/>
        <v>0</v>
      </c>
    </row>
    <row r="382" spans="14:51" x14ac:dyDescent="0.25">
      <c r="N382" s="170">
        <v>64</v>
      </c>
      <c r="O382" s="199">
        <f t="shared" si="208"/>
        <v>43651.583224016598</v>
      </c>
      <c r="P382" s="189" t="str">
        <f t="shared" si="209"/>
        <v>18.0065359477124</v>
      </c>
      <c r="Q382" s="160" t="str">
        <f t="shared" si="210"/>
        <v>1+86.0457996386723i</v>
      </c>
      <c r="R382" s="160">
        <f t="shared" si="218"/>
        <v>86.0516103013682</v>
      </c>
      <c r="S382" s="160">
        <f t="shared" si="219"/>
        <v>1.559175132193815</v>
      </c>
      <c r="T382" s="160" t="str">
        <f t="shared" si="211"/>
        <v>1+0.109708394539307i</v>
      </c>
      <c r="U382" s="160">
        <f t="shared" si="220"/>
        <v>1.0059999661194787</v>
      </c>
      <c r="V382" s="160">
        <f t="shared" si="221"/>
        <v>0.10927139843207964</v>
      </c>
      <c r="W382" s="98" t="str">
        <f t="shared" si="212"/>
        <v>1-1.54989698656639i</v>
      </c>
      <c r="X382" s="160">
        <f t="shared" si="222"/>
        <v>1.8445001135721235</v>
      </c>
      <c r="Y382" s="160">
        <f t="shared" si="223"/>
        <v>-0.99779990667827911</v>
      </c>
      <c r="Z382" s="98" t="str">
        <f t="shared" si="213"/>
        <v>0.976947167117269+0.463272017402771i</v>
      </c>
      <c r="AA382" s="160">
        <f t="shared" si="224"/>
        <v>1.0812246433775408</v>
      </c>
      <c r="AB382" s="160">
        <f t="shared" si="225"/>
        <v>0.44279847345013529</v>
      </c>
      <c r="AC382" s="171" t="str">
        <f t="shared" si="226"/>
        <v>-0.34785255856578-0.0892255335776876i</v>
      </c>
      <c r="AD382" s="190">
        <f t="shared" si="227"/>
        <v>-8.8953622527028635</v>
      </c>
      <c r="AE382" s="169">
        <f t="shared" si="228"/>
        <v>-165.61357179954848</v>
      </c>
      <c r="AF382" s="98" t="str">
        <f t="shared" si="214"/>
        <v>-0.0000816326530612245</v>
      </c>
      <c r="AG382" s="98" t="str">
        <f t="shared" si="215"/>
        <v>0.0064453681791843i</v>
      </c>
      <c r="AH382" s="98">
        <f t="shared" si="229"/>
        <v>6.4453681791843001E-3</v>
      </c>
      <c r="AI382" s="98">
        <f t="shared" si="230"/>
        <v>1.5707963267948966</v>
      </c>
      <c r="AJ382" s="98" t="str">
        <f t="shared" si="216"/>
        <v>1+1.96424710648567i</v>
      </c>
      <c r="AK382" s="98">
        <f t="shared" si="231"/>
        <v>2.2041476119664325</v>
      </c>
      <c r="AL382" s="98">
        <f t="shared" si="232"/>
        <v>1.0998945211122471</v>
      </c>
      <c r="AM382" s="98" t="str">
        <f t="shared" si="217"/>
        <v>1+30.7732046682757i</v>
      </c>
      <c r="AN382" s="98">
        <f t="shared" si="233"/>
        <v>30.789448282741045</v>
      </c>
      <c r="AO382" s="98">
        <f t="shared" si="234"/>
        <v>1.5383119547179958</v>
      </c>
      <c r="AP382" s="168" t="str">
        <f t="shared" si="235"/>
        <v>-0.0751038797751666+0.160187898930478i</v>
      </c>
      <c r="AQ382" s="98">
        <f t="shared" si="236"/>
        <v>-15.044451767820808</v>
      </c>
      <c r="AR382" s="169">
        <f t="shared" si="237"/>
        <v>115.1194686105664</v>
      </c>
      <c r="AS382" s="168" t="str">
        <f t="shared" si="238"/>
        <v>0.040417927492769-0.0490205867475496i</v>
      </c>
      <c r="AT382" s="190">
        <f t="shared" si="239"/>
        <v>-23.939814020523677</v>
      </c>
      <c r="AU382" s="169">
        <f t="shared" si="240"/>
        <v>-50.494103188982116</v>
      </c>
      <c r="AV382" s="225"/>
      <c r="AX382">
        <f t="shared" si="241"/>
        <v>0</v>
      </c>
      <c r="AY382">
        <f t="shared" si="242"/>
        <v>0</v>
      </c>
    </row>
    <row r="383" spans="14:51" x14ac:dyDescent="0.25">
      <c r="N383" s="170">
        <v>65</v>
      </c>
      <c r="O383" s="199">
        <f t="shared" si="208"/>
        <v>44668.359215096389</v>
      </c>
      <c r="P383" s="189" t="str">
        <f t="shared" si="209"/>
        <v>18.0065359477124</v>
      </c>
      <c r="Q383" s="160" t="str">
        <f t="shared" si="210"/>
        <v>1+88.0500637854475i</v>
      </c>
      <c r="R383" s="160">
        <f t="shared" si="218"/>
        <v>88.055742189941114</v>
      </c>
      <c r="S383" s="160">
        <f t="shared" si="219"/>
        <v>1.5594396398693655</v>
      </c>
      <c r="T383" s="160" t="str">
        <f t="shared" si="211"/>
        <v>1+0.112263831326446i</v>
      </c>
      <c r="U383" s="160">
        <f t="shared" si="220"/>
        <v>1.0062818530730309</v>
      </c>
      <c r="V383" s="160">
        <f t="shared" si="221"/>
        <v>0.11179573929052423</v>
      </c>
      <c r="W383" s="98" t="str">
        <f t="shared" si="212"/>
        <v>1-1.58599872511045i</v>
      </c>
      <c r="X383" s="160">
        <f t="shared" si="222"/>
        <v>1.8749378539172898</v>
      </c>
      <c r="Y383" s="160">
        <f t="shared" si="223"/>
        <v>-1.0082391841515925</v>
      </c>
      <c r="Z383" s="98" t="str">
        <f t="shared" si="213"/>
        <v>0.975860720575045+0.474063008928025i</v>
      </c>
      <c r="AA383" s="160">
        <f t="shared" si="224"/>
        <v>1.0849146889940882</v>
      </c>
      <c r="AB383" s="160">
        <f t="shared" si="225"/>
        <v>0.45221481483072645</v>
      </c>
      <c r="AC383" s="171" t="str">
        <f t="shared" si="226"/>
        <v>-0.345967600702826-0.0822824236793731i</v>
      </c>
      <c r="AD383" s="190">
        <f t="shared" si="227"/>
        <v>-8.9803316137516465</v>
      </c>
      <c r="AE383" s="169">
        <f t="shared" si="228"/>
        <v>-166.62173605571408</v>
      </c>
      <c r="AF383" s="98" t="str">
        <f t="shared" si="214"/>
        <v>-0.0000816326530612245</v>
      </c>
      <c r="AG383" s="98" t="str">
        <f t="shared" si="215"/>
        <v>0.00659550009042867i</v>
      </c>
      <c r="AH383" s="98">
        <f t="shared" si="229"/>
        <v>6.5955000904286704E-3</v>
      </c>
      <c r="AI383" s="98">
        <f t="shared" si="230"/>
        <v>1.5707963267948966</v>
      </c>
      <c r="AJ383" s="98" t="str">
        <f t="shared" si="216"/>
        <v>1+2.01000029917455i</v>
      </c>
      <c r="AK383" s="98">
        <f t="shared" si="231"/>
        <v>2.2450169715798989</v>
      </c>
      <c r="AL383" s="98">
        <f t="shared" si="232"/>
        <v>1.1091408063905306</v>
      </c>
      <c r="AM383" s="98" t="str">
        <f t="shared" si="217"/>
        <v>1+31.490004687068i</v>
      </c>
      <c r="AN383" s="98">
        <f t="shared" si="233"/>
        <v>31.505878740190138</v>
      </c>
      <c r="AO383" s="98">
        <f t="shared" si="234"/>
        <v>1.5390508868356598</v>
      </c>
      <c r="AP383" s="168" t="str">
        <f t="shared" si="235"/>
        <v>-0.0723943157348044+0.157889618792049i</v>
      </c>
      <c r="AQ383" s="98">
        <f t="shared" si="236"/>
        <v>-15.204237012842439</v>
      </c>
      <c r="AR383" s="169">
        <f t="shared" si="237"/>
        <v>114.63203317963561</v>
      </c>
      <c r="AS383" s="168" t="str">
        <f t="shared" si="238"/>
        <v>0.0380376282273152-0.0486679128300995i</v>
      </c>
      <c r="AT383" s="190">
        <f t="shared" si="239"/>
        <v>-24.184568626594086</v>
      </c>
      <c r="AU383" s="169">
        <f t="shared" si="240"/>
        <v>-51.989702876078454</v>
      </c>
      <c r="AV383" s="225"/>
      <c r="AX383">
        <f t="shared" si="241"/>
        <v>0</v>
      </c>
      <c r="AY383">
        <f t="shared" si="242"/>
        <v>0</v>
      </c>
    </row>
    <row r="384" spans="14:51" x14ac:dyDescent="0.25">
      <c r="N384" s="170">
        <v>66</v>
      </c>
      <c r="O384" s="199">
        <f t="shared" ref="O384:O418" si="243">10^(4+(N384/100))</f>
        <v>45708.818961487581</v>
      </c>
      <c r="P384" s="189" t="str">
        <f t="shared" si="209"/>
        <v>18.0065359477124</v>
      </c>
      <c r="Q384" s="160" t="str">
        <f t="shared" si="210"/>
        <v>1+90.1010132415216i</v>
      </c>
      <c r="R384" s="160">
        <f t="shared" si="218"/>
        <v>90.106562397801241</v>
      </c>
      <c r="S384" s="160">
        <f t="shared" si="219"/>
        <v>1.5596981281507662</v>
      </c>
      <c r="T384" s="160" t="str">
        <f t="shared" si="211"/>
        <v>1+0.11487879188294i</v>
      </c>
      <c r="U384" s="160">
        <f t="shared" si="220"/>
        <v>1.0065769403401232</v>
      </c>
      <c r="V384" s="160">
        <f t="shared" si="221"/>
        <v>0.11437739905991781</v>
      </c>
      <c r="W384" s="98" t="str">
        <f t="shared" si="212"/>
        <v>1-1.62294138117172i</v>
      </c>
      <c r="X384" s="160">
        <f t="shared" si="222"/>
        <v>1.9062892557845383</v>
      </c>
      <c r="Y384" s="160">
        <f t="shared" si="223"/>
        <v>-1.018575366735577</v>
      </c>
      <c r="Z384" s="98" t="str">
        <f t="shared" si="213"/>
        <v>0.974723071384753+0.485105354935575i</v>
      </c>
      <c r="AA384" s="160">
        <f t="shared" si="224"/>
        <v>1.0887663988555563</v>
      </c>
      <c r="AB384" s="160">
        <f t="shared" si="225"/>
        <v>0.46179414385509016</v>
      </c>
      <c r="AC384" s="171" t="str">
        <f t="shared" si="226"/>
        <v>-0.344011625624162-0.0754489213550708i</v>
      </c>
      <c r="AD384" s="190">
        <f t="shared" si="227"/>
        <v>-9.0645036287133518</v>
      </c>
      <c r="AE384" s="169">
        <f t="shared" si="228"/>
        <v>-167.62970289636911</v>
      </c>
      <c r="AF384" s="98" t="str">
        <f t="shared" si="214"/>
        <v>-0.0000816326530612245</v>
      </c>
      <c r="AG384" s="98" t="str">
        <f t="shared" si="215"/>
        <v>0.00674912902312274i</v>
      </c>
      <c r="AH384" s="98">
        <f t="shared" si="229"/>
        <v>6.7491290231227402E-3</v>
      </c>
      <c r="AI384" s="98">
        <f t="shared" si="230"/>
        <v>1.5707963267948966</v>
      </c>
      <c r="AJ384" s="98" t="str">
        <f t="shared" si="216"/>
        <v>1+2.05681922062753i</v>
      </c>
      <c r="AK384" s="98">
        <f t="shared" si="231"/>
        <v>2.2870298000557057</v>
      </c>
      <c r="AL384" s="98">
        <f t="shared" si="232"/>
        <v>1.1182595702977047</v>
      </c>
      <c r="AM384" s="98" t="str">
        <f t="shared" si="217"/>
        <v>1+32.2235011231647i</v>
      </c>
      <c r="AN384" s="98">
        <f t="shared" si="233"/>
        <v>32.239014014615847</v>
      </c>
      <c r="AO384" s="98">
        <f t="shared" si="234"/>
        <v>1.5397730323161478</v>
      </c>
      <c r="AP384" s="168" t="str">
        <f t="shared" si="235"/>
        <v>-0.0697589728777905+0.155576883304288i</v>
      </c>
      <c r="AQ384" s="98">
        <f t="shared" si="236"/>
        <v>-15.365477835965734</v>
      </c>
      <c r="AR384" s="169">
        <f t="shared" si="237"/>
        <v>114.15094238160468</v>
      </c>
      <c r="AS384" s="168" t="str">
        <f t="shared" si="238"/>
        <v>0.0357360056946528-0.0482570172765817i</v>
      </c>
      <c r="AT384" s="190">
        <f t="shared" si="239"/>
        <v>-24.429981464679091</v>
      </c>
      <c r="AU384" s="169">
        <f t="shared" si="240"/>
        <v>-53.478760514764396</v>
      </c>
      <c r="AV384" s="225"/>
      <c r="AX384">
        <f t="shared" si="241"/>
        <v>0</v>
      </c>
      <c r="AY384">
        <f t="shared" si="242"/>
        <v>0</v>
      </c>
    </row>
    <row r="385" spans="14:51" x14ac:dyDescent="0.25">
      <c r="N385" s="170">
        <v>67</v>
      </c>
      <c r="O385" s="199">
        <f t="shared" si="243"/>
        <v>46773.514128719893</v>
      </c>
      <c r="P385" s="189" t="str">
        <f t="shared" si="209"/>
        <v>18.0065359477124</v>
      </c>
      <c r="Q385" s="160" t="str">
        <f t="shared" si="210"/>
        <v>1+92.1997354474447i</v>
      </c>
      <c r="R385" s="160">
        <f t="shared" si="218"/>
        <v>92.205158297021484</v>
      </c>
      <c r="S385" s="160">
        <f t="shared" si="219"/>
        <v>1.5599507339536769</v>
      </c>
      <c r="T385" s="160" t="str">
        <f t="shared" si="211"/>
        <v>1+0.117554662695492i</v>
      </c>
      <c r="U385" s="160">
        <f t="shared" si="220"/>
        <v>1.006885841951038</v>
      </c>
      <c r="V385" s="160">
        <f t="shared" si="221"/>
        <v>0.11701760884253365</v>
      </c>
      <c r="W385" s="98" t="str">
        <f t="shared" si="212"/>
        <v>1-1.66074454223548i</v>
      </c>
      <c r="X385" s="160">
        <f t="shared" si="222"/>
        <v>1.9385748462633405</v>
      </c>
      <c r="Y385" s="160">
        <f t="shared" si="223"/>
        <v>-1.0288051001897285</v>
      </c>
      <c r="Z385" s="98" t="str">
        <f t="shared" si="213"/>
        <v>0.97353180643993+0.496404910223443i</v>
      </c>
      <c r="AA385" s="160">
        <f t="shared" si="224"/>
        <v>1.09278635288154</v>
      </c>
      <c r="AB385" s="160">
        <f t="shared" si="225"/>
        <v>0.47153705543601471</v>
      </c>
      <c r="AC385" s="171" t="str">
        <f t="shared" si="226"/>
        <v>-0.341983828656457-0.0687246812252081i</v>
      </c>
      <c r="AD385" s="190">
        <f t="shared" si="227"/>
        <v>-9.1479500130198801</v>
      </c>
      <c r="AE385" s="169">
        <f t="shared" si="228"/>
        <v>-168.63725153140626</v>
      </c>
      <c r="AF385" s="98" t="str">
        <f t="shared" si="214"/>
        <v>-0.0000816326530612245</v>
      </c>
      <c r="AG385" s="98" t="str">
        <f t="shared" si="215"/>
        <v>0.00690633643336015i</v>
      </c>
      <c r="AH385" s="98">
        <f t="shared" si="229"/>
        <v>6.9063364333601497E-3</v>
      </c>
      <c r="AI385" s="98">
        <f t="shared" si="230"/>
        <v>1.5707963267948966</v>
      </c>
      <c r="AJ385" s="98" t="str">
        <f t="shared" si="216"/>
        <v>1+2.10472869485651i</v>
      </c>
      <c r="AK385" s="98">
        <f t="shared" si="231"/>
        <v>2.3302109086845308</v>
      </c>
      <c r="AL385" s="98">
        <f t="shared" si="232"/>
        <v>1.1272495808242453</v>
      </c>
      <c r="AM385" s="98" t="str">
        <f t="shared" si="217"/>
        <v>1+32.9740828860855i</v>
      </c>
      <c r="AN385" s="98">
        <f t="shared" si="233"/>
        <v>32.989242825176156</v>
      </c>
      <c r="AO385" s="98">
        <f t="shared" si="234"/>
        <v>1.5404787710360728</v>
      </c>
      <c r="AP385" s="168" t="str">
        <f t="shared" si="235"/>
        <v>-0.0671975226605086+0.153252518897625i</v>
      </c>
      <c r="AQ385" s="98">
        <f t="shared" si="236"/>
        <v>-15.528134054258603</v>
      </c>
      <c r="AR385" s="169">
        <f t="shared" si="237"/>
        <v>113.67628857074627</v>
      </c>
      <c r="AS385" s="168" t="str">
        <f t="shared" si="238"/>
        <v>0.0335126965838692-0.0477917548398887i</v>
      </c>
      <c r="AT385" s="190">
        <f t="shared" si="239"/>
        <v>-24.676084067278481</v>
      </c>
      <c r="AU385" s="169">
        <f t="shared" si="240"/>
        <v>-54.960962960659991</v>
      </c>
      <c r="AV385" s="225"/>
      <c r="AX385">
        <f t="shared" si="241"/>
        <v>0</v>
      </c>
      <c r="AY385">
        <f t="shared" si="242"/>
        <v>0</v>
      </c>
    </row>
    <row r="386" spans="14:51" x14ac:dyDescent="0.25">
      <c r="N386" s="170">
        <v>68</v>
      </c>
      <c r="O386" s="199">
        <f t="shared" si="243"/>
        <v>47863.009232263823</v>
      </c>
      <c r="P386" s="189" t="str">
        <f t="shared" si="209"/>
        <v>18.0065359477124</v>
      </c>
      <c r="Q386" s="160" t="str">
        <f t="shared" si="210"/>
        <v>1+94.3473431735093i</v>
      </c>
      <c r="R386" s="160">
        <f t="shared" si="218"/>
        <v>94.352642590973218</v>
      </c>
      <c r="S386" s="160">
        <f t="shared" si="219"/>
        <v>1.5601975910840133</v>
      </c>
      <c r="T386" s="160" t="str">
        <f t="shared" si="211"/>
        <v>1+0.120292862546224i</v>
      </c>
      <c r="U386" s="160">
        <f t="shared" si="220"/>
        <v>1.0072092001066932</v>
      </c>
      <c r="V386" s="160">
        <f t="shared" si="221"/>
        <v>0.1197176212000489</v>
      </c>
      <c r="W386" s="98" t="str">
        <f t="shared" si="212"/>
        <v>1-1.69942825203807i</v>
      </c>
      <c r="X386" s="160">
        <f t="shared" si="222"/>
        <v>1.9718155045097827</v>
      </c>
      <c r="Y386" s="160">
        <f t="shared" si="223"/>
        <v>-1.0389252438926897</v>
      </c>
      <c r="Z386" s="98" t="str">
        <f t="shared" si="213"/>
        <v>0.972284398907914+0.507967665965405i</v>
      </c>
      <c r="AA386" s="160">
        <f t="shared" si="224"/>
        <v>1.0969813590148489</v>
      </c>
      <c r="AB386" s="160">
        <f t="shared" si="225"/>
        <v>0.48144401093537276</v>
      </c>
      <c r="AC386" s="171" t="str">
        <f t="shared" si="226"/>
        <v>-0.339883473189196-0.0621095170445192i</v>
      </c>
      <c r="AD386" s="190">
        <f t="shared" si="227"/>
        <v>-9.2307436454874239</v>
      </c>
      <c r="AE386" s="169">
        <f t="shared" si="228"/>
        <v>-169.64416435058095</v>
      </c>
      <c r="AF386" s="98" t="str">
        <f t="shared" si="214"/>
        <v>-0.0000816326530612245</v>
      </c>
      <c r="AG386" s="98" t="str">
        <f t="shared" si="215"/>
        <v>0.00706720567459068i</v>
      </c>
      <c r="AH386" s="98">
        <f t="shared" si="229"/>
        <v>7.0672056745906802E-3</v>
      </c>
      <c r="AI386" s="98">
        <f t="shared" si="230"/>
        <v>1.5707963267948966</v>
      </c>
      <c r="AJ386" s="98" t="str">
        <f t="shared" si="216"/>
        <v>1+2.15375412409888i</v>
      </c>
      <c r="AK386" s="98">
        <f t="shared" si="231"/>
        <v>2.3745856116537332</v>
      </c>
      <c r="AL386" s="98">
        <f t="shared" si="232"/>
        <v>1.1361097910013598</v>
      </c>
      <c r="AM386" s="98" t="str">
        <f t="shared" si="217"/>
        <v>1+33.742147944216i</v>
      </c>
      <c r="AN386" s="98">
        <f t="shared" si="233"/>
        <v>33.75696295417228</v>
      </c>
      <c r="AO386" s="98">
        <f t="shared" si="234"/>
        <v>1.541168474373795</v>
      </c>
      <c r="AP386" s="168" t="str">
        <f t="shared" si="235"/>
        <v>-0.0647095024564069+0.150919267269177i</v>
      </c>
      <c r="AQ386" s="98">
        <f t="shared" si="236"/>
        <v>-15.692165683359573</v>
      </c>
      <c r="AR386" s="169">
        <f t="shared" si="237"/>
        <v>113.20815301236647</v>
      </c>
      <c r="AS386" s="168" t="str">
        <f t="shared" si="238"/>
        <v>0.0313672132460297-0.0472758887848579i</v>
      </c>
      <c r="AT386" s="190">
        <f t="shared" si="239"/>
        <v>-24.922909328846995</v>
      </c>
      <c r="AU386" s="169">
        <f t="shared" si="240"/>
        <v>-56.436011338214477</v>
      </c>
      <c r="AV386" s="225"/>
      <c r="AX386">
        <f t="shared" si="241"/>
        <v>0</v>
      </c>
      <c r="AY386">
        <f t="shared" si="242"/>
        <v>0</v>
      </c>
    </row>
    <row r="387" spans="14:51" x14ac:dyDescent="0.25">
      <c r="N387" s="170">
        <v>69</v>
      </c>
      <c r="O387" s="199">
        <f t="shared" si="243"/>
        <v>48977.881936844598</v>
      </c>
      <c r="P387" s="189" t="str">
        <f t="shared" si="209"/>
        <v>18.0065359477124</v>
      </c>
      <c r="Q387" s="160" t="str">
        <f t="shared" si="210"/>
        <v>1+96.5449751097594i</v>
      </c>
      <c r="R387" s="160">
        <f t="shared" si="218"/>
        <v>96.550153904300231</v>
      </c>
      <c r="S387" s="160">
        <f t="shared" si="219"/>
        <v>1.5604388303082806</v>
      </c>
      <c r="T387" s="160" t="str">
        <f t="shared" si="211"/>
        <v>1+0.123094843264943i</v>
      </c>
      <c r="U387" s="160">
        <f t="shared" si="220"/>
        <v>1.0075476864339576</v>
      </c>
      <c r="V387" s="160">
        <f t="shared" si="221"/>
        <v>0.12247871016387424</v>
      </c>
      <c r="W387" s="98" t="str">
        <f t="shared" si="212"/>
        <v>1-1.73901302119448i</v>
      </c>
      <c r="X387" s="160">
        <f t="shared" si="222"/>
        <v>2.0060324742844902</v>
      </c>
      <c r="Y387" s="160">
        <f t="shared" si="223"/>
        <v>-1.0489328713394952</v>
      </c>
      <c r="Z387" s="98" t="str">
        <f t="shared" si="213"/>
        <v>0.970978202870086+0.519799752887608i</v>
      </c>
      <c r="AA387" s="160">
        <f t="shared" si="224"/>
        <v>1.1013584582463787</v>
      </c>
      <c r="AB387" s="160">
        <f t="shared" si="225"/>
        <v>0.49151533170313277</v>
      </c>
      <c r="AC387" s="171" t="str">
        <f t="shared" si="226"/>
        <v>-0.337709899382389-0.0556033988602679i</v>
      </c>
      <c r="AD387" s="190">
        <f t="shared" si="227"/>
        <v>-9.3129584025750631</v>
      </c>
      <c r="AE387" s="169">
        <f t="shared" si="228"/>
        <v>-170.65022658525342</v>
      </c>
      <c r="AF387" s="98" t="str">
        <f t="shared" si="214"/>
        <v>-0.0000816326530612245</v>
      </c>
      <c r="AG387" s="98" t="str">
        <f t="shared" si="215"/>
        <v>0.00723182204181542i</v>
      </c>
      <c r="AH387" s="98">
        <f t="shared" si="229"/>
        <v>7.2318220418154198E-3</v>
      </c>
      <c r="AI387" s="98">
        <f t="shared" si="230"/>
        <v>1.5707963267948966</v>
      </c>
      <c r="AJ387" s="98" t="str">
        <f t="shared" si="216"/>
        <v>1+2.20392150228616i</v>
      </c>
      <c r="AK387" s="98">
        <f t="shared" si="231"/>
        <v>2.4201797429611061</v>
      </c>
      <c r="AL387" s="98">
        <f t="shared" si="232"/>
        <v>1.1448393331705491</v>
      </c>
      <c r="AM387" s="98" t="str">
        <f t="shared" si="217"/>
        <v>1+34.5281035358166i</v>
      </c>
      <c r="AN387" s="98">
        <f t="shared" si="233"/>
        <v>34.542581457963891</v>
      </c>
      <c r="AO387" s="98">
        <f t="shared" si="234"/>
        <v>1.5418425053929676</v>
      </c>
      <c r="AP387" s="168" t="str">
        <f t="shared" si="235"/>
        <v>-0.0622943245803826+0.148579780098029i</v>
      </c>
      <c r="AQ387" s="98">
        <f t="shared" si="236"/>
        <v>-15.857533009336834</v>
      </c>
      <c r="AR387" s="169">
        <f t="shared" si="237"/>
        <v>112.74660622164997</v>
      </c>
      <c r="AS387" s="168" t="str">
        <f t="shared" si="238"/>
        <v>0.0292989508614965-0.0467130864107888i</v>
      </c>
      <c r="AT387" s="190">
        <f t="shared" si="239"/>
        <v>-25.1704914119119</v>
      </c>
      <c r="AU387" s="169">
        <f t="shared" si="240"/>
        <v>-57.90362036360343</v>
      </c>
      <c r="AV387" s="225"/>
      <c r="AX387">
        <f t="shared" si="241"/>
        <v>0</v>
      </c>
      <c r="AY387">
        <f t="shared" si="242"/>
        <v>0</v>
      </c>
    </row>
    <row r="388" spans="14:51" x14ac:dyDescent="0.25">
      <c r="N388" s="170">
        <v>70</v>
      </c>
      <c r="O388" s="199">
        <f t="shared" si="243"/>
        <v>50118.723362727294</v>
      </c>
      <c r="P388" s="189" t="str">
        <f t="shared" si="209"/>
        <v>18.0065359477124</v>
      </c>
      <c r="Q388" s="160" t="str">
        <f t="shared" si="210"/>
        <v>1+98.7937964697368i</v>
      </c>
      <c r="R388" s="160">
        <f t="shared" si="218"/>
        <v>98.798857386630644</v>
      </c>
      <c r="S388" s="160">
        <f t="shared" si="219"/>
        <v>1.5606745794223298</v>
      </c>
      <c r="T388" s="160" t="str">
        <f t="shared" si="211"/>
        <v>1+0.125962090498914i</v>
      </c>
      <c r="U388" s="160">
        <f t="shared" si="220"/>
        <v>1.0079020032934038</v>
      </c>
      <c r="V388" s="160">
        <f t="shared" si="221"/>
        <v>0.12530217121383228</v>
      </c>
      <c r="W388" s="98" t="str">
        <f t="shared" si="212"/>
        <v>1-1.7795198380733i</v>
      </c>
      <c r="X388" s="160">
        <f t="shared" si="222"/>
        <v>2.041247376996826</v>
      </c>
      <c r="Y388" s="160">
        <f t="shared" si="223"/>
        <v>-1.0588252697970257</v>
      </c>
      <c r="Z388" s="98" t="str">
        <f t="shared" si="213"/>
        <v>0.969610447709525+0.531907444519159i</v>
      </c>
      <c r="AA388" s="160">
        <f t="shared" si="224"/>
        <v>1.105924929569077</v>
      </c>
      <c r="AB388" s="160">
        <f t="shared" si="225"/>
        <v>0.50175119274226276</v>
      </c>
      <c r="AC388" s="171" t="str">
        <f t="shared" si="226"/>
        <v>-0.335462533025118-0.0492064495526153i</v>
      </c>
      <c r="AD388" s="190">
        <f t="shared" si="227"/>
        <v>-9.3946689899114819</v>
      </c>
      <c r="AE388" s="169">
        <f t="shared" si="228"/>
        <v>-171.65522593083313</v>
      </c>
      <c r="AF388" s="98" t="str">
        <f t="shared" si="214"/>
        <v>-0.0000816326530612245</v>
      </c>
      <c r="AG388" s="98" t="str">
        <f t="shared" si="215"/>
        <v>0.00740027281681123i</v>
      </c>
      <c r="AH388" s="98">
        <f t="shared" si="229"/>
        <v>7.40027281681123E-3</v>
      </c>
      <c r="AI388" s="98">
        <f t="shared" si="230"/>
        <v>1.5707963267948966</v>
      </c>
      <c r="AJ388" s="98" t="str">
        <f t="shared" si="216"/>
        <v>1+2.2552574288263i</v>
      </c>
      <c r="AK388" s="98">
        <f t="shared" si="231"/>
        <v>2.4670196736702796</v>
      </c>
      <c r="AL388" s="98">
        <f t="shared" si="232"/>
        <v>1.1534375129504137</v>
      </c>
      <c r="AM388" s="98" t="str">
        <f t="shared" si="217"/>
        <v>1+35.3323663849455i</v>
      </c>
      <c r="AN388" s="98">
        <f t="shared" si="233"/>
        <v>35.346514882800356</v>
      </c>
      <c r="AO388" s="98">
        <f t="shared" si="234"/>
        <v>1.5425012190225633</v>
      </c>
      <c r="AP388" s="168" t="str">
        <f t="shared" si="235"/>
        <v>-0.0599512853516407+0.146236614577243i</v>
      </c>
      <c r="AQ388" s="98">
        <f t="shared" si="236"/>
        <v>-16.024196655551041</v>
      </c>
      <c r="AR388" s="169">
        <f t="shared" si="237"/>
        <v>112.29170831965256</v>
      </c>
      <c r="AS388" s="168" t="str">
        <f t="shared" si="238"/>
        <v>0.0273071946401134-0.0461069152488299i</v>
      </c>
      <c r="AT388" s="190">
        <f t="shared" si="239"/>
        <v>-25.418865645462517</v>
      </c>
      <c r="AU388" s="169">
        <f t="shared" si="240"/>
        <v>-59.363517611180576</v>
      </c>
      <c r="AV388" s="225"/>
      <c r="AX388">
        <f t="shared" si="241"/>
        <v>0</v>
      </c>
      <c r="AY388">
        <f t="shared" si="242"/>
        <v>0</v>
      </c>
    </row>
    <row r="389" spans="14:51" x14ac:dyDescent="0.25">
      <c r="N389" s="170">
        <v>71</v>
      </c>
      <c r="O389" s="199">
        <f t="shared" si="243"/>
        <v>51286.138399136544</v>
      </c>
      <c r="P389" s="189" t="str">
        <f t="shared" si="209"/>
        <v>18.0065359477124</v>
      </c>
      <c r="Q389" s="160" t="str">
        <f t="shared" si="210"/>
        <v>1+101.094999608293i</v>
      </c>
      <c r="R389" s="160">
        <f t="shared" si="218"/>
        <v>101.09994533035497</v>
      </c>
      <c r="S389" s="160">
        <f t="shared" si="219"/>
        <v>1.5609049633185823</v>
      </c>
      <c r="T389" s="160" t="str">
        <f t="shared" si="211"/>
        <v>1+0.128896124500574i</v>
      </c>
      <c r="U389" s="160">
        <f t="shared" si="220"/>
        <v>1.0082728851413527</v>
      </c>
      <c r="V389" s="160">
        <f t="shared" si="221"/>
        <v>0.12818932122255755</v>
      </c>
      <c r="W389" s="98" t="str">
        <f t="shared" si="212"/>
        <v>1-1.820970179925i</v>
      </c>
      <c r="X389" s="160">
        <f t="shared" si="222"/>
        <v>2.0774822252370986</v>
      </c>
      <c r="Y389" s="160">
        <f t="shared" si="223"/>
        <v>-1.0685999391623513</v>
      </c>
      <c r="Z389" s="98" t="str">
        <f t="shared" si="213"/>
        <v>0.968178232234158+0.54429716051842i</v>
      </c>
      <c r="AA389" s="160">
        <f t="shared" si="224"/>
        <v>1.1106882948516537</v>
      </c>
      <c r="AB389" s="160">
        <f t="shared" si="225"/>
        <v>0.51215161654315311</v>
      </c>
      <c r="AC389" s="171" t="str">
        <f t="shared" si="226"/>
        <v>-0.333140894498448-0.0429189407165481i</v>
      </c>
      <c r="AD389" s="190">
        <f t="shared" si="227"/>
        <v>-9.47595077150158</v>
      </c>
      <c r="AE389" s="169">
        <f t="shared" si="228"/>
        <v>-172.65895213514241</v>
      </c>
      <c r="AF389" s="98" t="str">
        <f t="shared" si="214"/>
        <v>-0.0000816326530612245</v>
      </c>
      <c r="AG389" s="98" t="str">
        <f t="shared" si="215"/>
        <v>0.00757264731440869i</v>
      </c>
      <c r="AH389" s="98">
        <f t="shared" si="229"/>
        <v>7.5726473144086901E-3</v>
      </c>
      <c r="AI389" s="98">
        <f t="shared" si="230"/>
        <v>1.5707963267948966</v>
      </c>
      <c r="AJ389" s="98" t="str">
        <f t="shared" si="216"/>
        <v>1+2.30778912270707i</v>
      </c>
      <c r="AK389" s="98">
        <f t="shared" si="231"/>
        <v>2.5151323294978076</v>
      </c>
      <c r="AL389" s="98">
        <f t="shared" si="232"/>
        <v>1.1619038029511795</v>
      </c>
      <c r="AM389" s="98" t="str">
        <f t="shared" si="217"/>
        <v>1+36.1553629224109i</v>
      </c>
      <c r="AN389" s="98">
        <f t="shared" si="233"/>
        <v>36.169189485683049</v>
      </c>
      <c r="AO389" s="98">
        <f t="shared" si="234"/>
        <v>1.5431449622334126</v>
      </c>
      <c r="AP389" s="168" t="str">
        <f t="shared" si="235"/>
        <v>-0.0576795741282905+0.143892229730922i</v>
      </c>
      <c r="AQ389" s="98">
        <f t="shared" si="236"/>
        <v>-16.192117644519193</v>
      </c>
      <c r="AR389" s="169">
        <f t="shared" si="237"/>
        <v>111.84350940354669</v>
      </c>
      <c r="AS389" s="168" t="str">
        <f t="shared" si="238"/>
        <v>0.0253911269967816-0.0454608399013677i</v>
      </c>
      <c r="AT389" s="190">
        <f t="shared" si="239"/>
        <v>-25.66806841602077</v>
      </c>
      <c r="AU389" s="169">
        <f t="shared" si="240"/>
        <v>-60.815442731595731</v>
      </c>
      <c r="AV389" s="225"/>
      <c r="AX389">
        <f t="shared" si="241"/>
        <v>0</v>
      </c>
      <c r="AY389">
        <f t="shared" si="242"/>
        <v>0</v>
      </c>
    </row>
    <row r="390" spans="14:51" x14ac:dyDescent="0.25">
      <c r="N390" s="170">
        <v>72</v>
      </c>
      <c r="O390" s="199">
        <f t="shared" si="243"/>
        <v>52480.746024977314</v>
      </c>
      <c r="P390" s="189" t="str">
        <f t="shared" si="209"/>
        <v>18.0065359477124</v>
      </c>
      <c r="Q390" s="160" t="str">
        <f t="shared" si="210"/>
        <v>1+103.449804653792i</v>
      </c>
      <c r="R390" s="160">
        <f t="shared" si="218"/>
        <v>103.45463780279609</v>
      </c>
      <c r="S390" s="160">
        <f t="shared" si="219"/>
        <v>1.5611301040517493</v>
      </c>
      <c r="T390" s="160" t="str">
        <f t="shared" si="211"/>
        <v>1+0.131898500933584i</v>
      </c>
      <c r="U390" s="160">
        <f t="shared" si="220"/>
        <v>1.0086610999481078</v>
      </c>
      <c r="V390" s="160">
        <f t="shared" si="221"/>
        <v>0.13114149836278671</v>
      </c>
      <c r="W390" s="98" t="str">
        <f t="shared" si="212"/>
        <v>1-1.86338602426947i</v>
      </c>
      <c r="X390" s="160">
        <f t="shared" si="222"/>
        <v>2.1147594367782783</v>
      </c>
      <c r="Y390" s="160">
        <f t="shared" si="223"/>
        <v>-1.0782545900721587</v>
      </c>
      <c r="Z390" s="98" t="str">
        <f t="shared" si="213"/>
        <v>0.966678518522941+0.556975470076812i</v>
      </c>
      <c r="AA390" s="160">
        <f t="shared" si="224"/>
        <v>1.1156563236234507</v>
      </c>
      <c r="AB390" s="160">
        <f t="shared" si="225"/>
        <v>0.52271646713372677</v>
      </c>
      <c r="AC390" s="171" t="str">
        <f t="shared" si="226"/>
        <v>-0.330744607790145-0.0367412878476462i</v>
      </c>
      <c r="AD390" s="190">
        <f t="shared" si="227"/>
        <v>-9.5568795970034888</v>
      </c>
      <c r="AE390" s="169">
        <f t="shared" si="228"/>
        <v>-173.66119655826952</v>
      </c>
      <c r="AF390" s="98" t="str">
        <f t="shared" si="214"/>
        <v>-0.0000816326530612245</v>
      </c>
      <c r="AG390" s="98" t="str">
        <f t="shared" si="215"/>
        <v>0.00774903692984808i</v>
      </c>
      <c r="AH390" s="98">
        <f t="shared" si="229"/>
        <v>7.7490369298480804E-3</v>
      </c>
      <c r="AI390" s="98">
        <f t="shared" si="230"/>
        <v>1.5707963267948966</v>
      </c>
      <c r="AJ390" s="98" t="str">
        <f t="shared" si="216"/>
        <v>1+2.36154443692789i</v>
      </c>
      <c r="AK390" s="98">
        <f t="shared" si="231"/>
        <v>2.5645452087231893</v>
      </c>
      <c r="AL390" s="98">
        <f t="shared" si="232"/>
        <v>1.1702378362852359</v>
      </c>
      <c r="AM390" s="98" t="str">
        <f t="shared" si="217"/>
        <v>1+36.9975295118704i</v>
      </c>
      <c r="AN390" s="98">
        <f t="shared" si="233"/>
        <v>37.011041460376667</v>
      </c>
      <c r="AO390" s="98">
        <f t="shared" si="234"/>
        <v>1.5437740742113</v>
      </c>
      <c r="AP390" s="168" t="str">
        <f t="shared" si="235"/>
        <v>-0.0554782822530933+0.141548983480124i</v>
      </c>
      <c r="AQ390" s="98">
        <f t="shared" si="236"/>
        <v>-16.361257454814925</v>
      </c>
      <c r="AR390" s="169">
        <f t="shared" si="237"/>
        <v>111.40204992835804</v>
      </c>
      <c r="AS390" s="168" t="str">
        <f t="shared" si="238"/>
        <v>0.0235498346512553-0.0447782194866735i</v>
      </c>
      <c r="AT390" s="190">
        <f t="shared" si="239"/>
        <v>-25.918137051818402</v>
      </c>
      <c r="AU390" s="169">
        <f t="shared" si="240"/>
        <v>-62.259146629911463</v>
      </c>
      <c r="AV390" s="225"/>
      <c r="AX390">
        <f t="shared" si="241"/>
        <v>0</v>
      </c>
      <c r="AY390">
        <f t="shared" si="242"/>
        <v>0</v>
      </c>
    </row>
    <row r="391" spans="14:51" x14ac:dyDescent="0.25">
      <c r="N391" s="170">
        <v>73</v>
      </c>
      <c r="O391" s="199">
        <f t="shared" si="243"/>
        <v>53703.179637025423</v>
      </c>
      <c r="P391" s="189" t="str">
        <f t="shared" si="209"/>
        <v>18.0065359477124</v>
      </c>
      <c r="Q391" s="160" t="str">
        <f t="shared" si="210"/>
        <v>1+105.859460155038i</v>
      </c>
      <c r="R391" s="160">
        <f t="shared" si="218"/>
        <v>105.86418329310473</v>
      </c>
      <c r="S391" s="160">
        <f t="shared" si="219"/>
        <v>1.5613501209030791</v>
      </c>
      <c r="T391" s="160" t="str">
        <f t="shared" si="211"/>
        <v>1+0.134970811697674i</v>
      </c>
      <c r="U391" s="160">
        <f t="shared" si="220"/>
        <v>1.0090674506742991</v>
      </c>
      <c r="V391" s="160">
        <f t="shared" si="221"/>
        <v>0.13416006197459243</v>
      </c>
      <c r="W391" s="98" t="str">
        <f t="shared" si="212"/>
        <v>1-1.90678986054885i</v>
      </c>
      <c r="X391" s="160">
        <f t="shared" si="222"/>
        <v>2.1531018490289546</v>
      </c>
      <c r="Y391" s="160">
        <f t="shared" si="223"/>
        <v>-1.0877871413142732</v>
      </c>
      <c r="Z391" s="98" t="str">
        <f t="shared" si="213"/>
        <v>0.965108125482022+0.569949095401881i</v>
      </c>
      <c r="AA391" s="160">
        <f t="shared" si="224"/>
        <v>1.1208370377627805</v>
      </c>
      <c r="AB391" s="160">
        <f t="shared" si="225"/>
        <v>0.53344544439364405</v>
      </c>
      <c r="AC391" s="171" t="str">
        <f t="shared" si="226"/>
        <v>-0.328273409502657-0.0306740447976608i</v>
      </c>
      <c r="AD391" s="190">
        <f t="shared" si="227"/>
        <v>-9.6375316274463891</v>
      </c>
      <c r="AE391" s="169">
        <f t="shared" si="228"/>
        <v>-174.66175170977479</v>
      </c>
      <c r="AF391" s="98" t="str">
        <f t="shared" si="214"/>
        <v>-0.0000816326530612245</v>
      </c>
      <c r="AG391" s="98" t="str">
        <f t="shared" si="215"/>
        <v>0.00792953518723833i</v>
      </c>
      <c r="AH391" s="98">
        <f t="shared" si="229"/>
        <v>7.9295351872383305E-3</v>
      </c>
      <c r="AI391" s="98">
        <f t="shared" si="230"/>
        <v>1.5707963267948966</v>
      </c>
      <c r="AJ391" s="98" t="str">
        <f t="shared" si="216"/>
        <v>1+2.41655187326791i</v>
      </c>
      <c r="AK391" s="98">
        <f t="shared" si="231"/>
        <v>2.6152864004148086</v>
      </c>
      <c r="AL391" s="98">
        <f t="shared" si="232"/>
        <v>1.1784393999196296</v>
      </c>
      <c r="AM391" s="98" t="str">
        <f t="shared" si="217"/>
        <v>1+37.8593126811975i</v>
      </c>
      <c r="AN391" s="98">
        <f t="shared" si="233"/>
        <v>37.872517168689519</v>
      </c>
      <c r="AO391" s="98">
        <f t="shared" si="234"/>
        <v>1.5443888865266546</v>
      </c>
      <c r="AP391" s="168" t="str">
        <f t="shared" si="235"/>
        <v>-0.0533464118560314+0.139209130417889i</v>
      </c>
      <c r="AQ391" s="98">
        <f t="shared" si="236"/>
        <v>-16.531578073068996</v>
      </c>
      <c r="AR391" s="169">
        <f t="shared" si="237"/>
        <v>110.96736109756182</v>
      </c>
      <c r="AS391" s="168" t="str">
        <f t="shared" si="238"/>
        <v>0.0217823156073941-0.0440623056491141i</v>
      </c>
      <c r="AT391" s="190">
        <f t="shared" si="239"/>
        <v>-26.169109700515385</v>
      </c>
      <c r="AU391" s="169">
        <f t="shared" si="240"/>
        <v>-63.694390612213027</v>
      </c>
      <c r="AV391" s="225"/>
      <c r="AX391">
        <f t="shared" si="241"/>
        <v>0</v>
      </c>
      <c r="AY391">
        <f t="shared" si="242"/>
        <v>0</v>
      </c>
    </row>
    <row r="392" spans="14:51" x14ac:dyDescent="0.25">
      <c r="N392" s="170">
        <v>74</v>
      </c>
      <c r="O392" s="199">
        <f t="shared" si="243"/>
        <v>54954.087385762505</v>
      </c>
      <c r="P392" s="189" t="str">
        <f t="shared" si="209"/>
        <v>18.0065359477124</v>
      </c>
      <c r="Q392" s="160" t="str">
        <f t="shared" si="210"/>
        <v>1+108.325243743274i</v>
      </c>
      <c r="R392" s="160">
        <f t="shared" si="218"/>
        <v>108.32985937422667</v>
      </c>
      <c r="S392" s="160">
        <f t="shared" si="219"/>
        <v>1.5615651304431657</v>
      </c>
      <c r="T392" s="160" t="str">
        <f t="shared" si="211"/>
        <v>1+0.138114685772674i</v>
      </c>
      <c r="U392" s="160">
        <f t="shared" si="220"/>
        <v>1.0094927768072859</v>
      </c>
      <c r="V392" s="160">
        <f t="shared" si="221"/>
        <v>0.13724639238937308</v>
      </c>
      <c r="W392" s="98" t="str">
        <f t="shared" si="212"/>
        <v>1-1.95120470205163i</v>
      </c>
      <c r="X392" s="160">
        <f t="shared" si="222"/>
        <v>2.1925327339194709</v>
      </c>
      <c r="Y392" s="160">
        <f t="shared" si="223"/>
        <v>-1.0971957165943471</v>
      </c>
      <c r="Z392" s="98" t="str">
        <f t="shared" si="213"/>
        <v>0.963463722097216+0.583224915281499i</v>
      </c>
      <c r="AA392" s="160">
        <f t="shared" si="224"/>
        <v>1.1262387160822225</v>
      </c>
      <c r="AB392" s="160">
        <f t="shared" si="225"/>
        <v>0.54433807868311324</v>
      </c>
      <c r="AC392" s="171" t="str">
        <f t="shared" si="226"/>
        <v>-0.32572715778988-0.0247178974702822i</v>
      </c>
      <c r="AD392" s="190">
        <f t="shared" si="227"/>
        <v>-9.7179831597444775</v>
      </c>
      <c r="AE392" s="169">
        <f t="shared" si="228"/>
        <v>-175.66041076937248</v>
      </c>
      <c r="AF392" s="98" t="str">
        <f t="shared" si="214"/>
        <v>-0.0000816326530612245</v>
      </c>
      <c r="AG392" s="98" t="str">
        <f t="shared" si="215"/>
        <v>0.00811423778914462i</v>
      </c>
      <c r="AH392" s="98">
        <f t="shared" si="229"/>
        <v>8.1142377891446193E-3</v>
      </c>
      <c r="AI392" s="98">
        <f t="shared" si="230"/>
        <v>1.5707963267948966</v>
      </c>
      <c r="AJ392" s="98" t="str">
        <f t="shared" si="216"/>
        <v>1+2.47284059739798i</v>
      </c>
      <c r="AK392" s="98">
        <f t="shared" si="231"/>
        <v>2.667384602965909</v>
      </c>
      <c r="AL392" s="98">
        <f t="shared" si="232"/>
        <v>1.1865084279137961</v>
      </c>
      <c r="AM392" s="98" t="str">
        <f t="shared" si="217"/>
        <v>1+38.7411693592352i</v>
      </c>
      <c r="AN392" s="98">
        <f t="shared" si="233"/>
        <v>38.75407337714249</v>
      </c>
      <c r="AO392" s="98">
        <f t="shared" si="234"/>
        <v>1.5449897233008754</v>
      </c>
      <c r="AP392" s="168" t="str">
        <f t="shared" si="235"/>
        <v>-0.0512828844656127+0.136874820250816i</v>
      </c>
      <c r="AQ392" s="98">
        <f t="shared" si="236"/>
        <v>-16.70304204116492</v>
      </c>
      <c r="AR392" s="169">
        <f t="shared" si="237"/>
        <v>110.53946526006217</v>
      </c>
      <c r="AS392" s="168" t="str">
        <f t="shared" si="238"/>
        <v>0.0200874859734738-0.0433162410930977i</v>
      </c>
      <c r="AT392" s="190">
        <f t="shared" si="239"/>
        <v>-26.421025200909387</v>
      </c>
      <c r="AU392" s="169">
        <f t="shared" si="240"/>
        <v>-65.120945509310303</v>
      </c>
      <c r="AV392" s="225"/>
      <c r="AX392">
        <f t="shared" si="241"/>
        <v>0</v>
      </c>
      <c r="AY392">
        <f t="shared" si="242"/>
        <v>0</v>
      </c>
    </row>
    <row r="393" spans="14:51" x14ac:dyDescent="0.25">
      <c r="N393" s="170">
        <v>75</v>
      </c>
      <c r="O393" s="199">
        <f t="shared" si="243"/>
        <v>56234.132519034953</v>
      </c>
      <c r="P393" s="189" t="str">
        <f t="shared" si="209"/>
        <v>18.0065359477124</v>
      </c>
      <c r="Q393" s="160" t="str">
        <f t="shared" si="210"/>
        <v>1+110.848462809597i</v>
      </c>
      <c r="R393" s="160">
        <f t="shared" si="218"/>
        <v>110.85297338028697</v>
      </c>
      <c r="S393" s="160">
        <f t="shared" si="219"/>
        <v>1.5617752465933503</v>
      </c>
      <c r="T393" s="160" t="str">
        <f t="shared" si="211"/>
        <v>1+0.141331790082236i</v>
      </c>
      <c r="U393" s="160">
        <f t="shared" si="220"/>
        <v>1.0099379559595971</v>
      </c>
      <c r="V393" s="160">
        <f t="shared" si="221"/>
        <v>0.14040189070733625</v>
      </c>
      <c r="W393" s="98" t="str">
        <f t="shared" si="212"/>
        <v>1-1.99665409811469i</v>
      </c>
      <c r="X393" s="160">
        <f t="shared" si="222"/>
        <v>2.2330758132043314</v>
      </c>
      <c r="Y393" s="160">
        <f t="shared" si="223"/>
        <v>-1.1064786407123148</v>
      </c>
      <c r="Z393" s="98" t="str">
        <f t="shared" si="213"/>
        <v>0.961741820368473+0.596809968731094i</v>
      </c>
      <c r="AA393" s="160">
        <f t="shared" si="224"/>
        <v>1.1318698988057212</v>
      </c>
      <c r="AB393" s="160">
        <f t="shared" si="225"/>
        <v>0.55539372583851876</v>
      </c>
      <c r="AC393" s="171" t="str">
        <f t="shared" si="226"/>
        <v>-0.323105841152701-0.0188736567328516i</v>
      </c>
      <c r="AD393" s="190">
        <f t="shared" si="227"/>
        <v>-9.7983104503467473</v>
      </c>
      <c r="AE393" s="169">
        <f t="shared" si="228"/>
        <v>-176.65696709739578</v>
      </c>
      <c r="AF393" s="98" t="str">
        <f t="shared" si="214"/>
        <v>-0.0000816326530612245</v>
      </c>
      <c r="AG393" s="98" t="str">
        <f t="shared" si="215"/>
        <v>0.00830324266733137i</v>
      </c>
      <c r="AH393" s="98">
        <f t="shared" si="229"/>
        <v>8.3032426673313696E-3</v>
      </c>
      <c r="AI393" s="98">
        <f t="shared" si="230"/>
        <v>1.5707963267948966</v>
      </c>
      <c r="AJ393" s="98" t="str">
        <f t="shared" si="216"/>
        <v>1+2.53044045434471i</v>
      </c>
      <c r="AK393" s="98">
        <f t="shared" si="231"/>
        <v>2.7208691429365475</v>
      </c>
      <c r="AL393" s="98">
        <f t="shared" si="232"/>
        <v>1.1944449945831261</v>
      </c>
      <c r="AM393" s="98" t="str">
        <f t="shared" si="217"/>
        <v>1+39.6435671180672i</v>
      </c>
      <c r="AN393" s="98">
        <f t="shared" si="233"/>
        <v>39.656177499157671</v>
      </c>
      <c r="AO393" s="98">
        <f t="shared" si="234"/>
        <v>1.5455769013693392</v>
      </c>
      <c r="AP393" s="168" t="str">
        <f t="shared" si="235"/>
        <v>-0.0492865493869885+0.134548096862669i</v>
      </c>
      <c r="AQ393" s="98">
        <f t="shared" si="236"/>
        <v>-16.875612498747184</v>
      </c>
      <c r="AR393" s="169">
        <f t="shared" si="237"/>
        <v>110.11837631123105</v>
      </c>
      <c r="AS393" s="168" t="str">
        <f t="shared" si="238"/>
        <v>0.0184641865914415-0.042543058597631i</v>
      </c>
      <c r="AT393" s="190">
        <f t="shared" si="239"/>
        <v>-26.673922949093935</v>
      </c>
      <c r="AU393" s="169">
        <f t="shared" si="240"/>
        <v>-66.538590786164775</v>
      </c>
      <c r="AV393" s="225"/>
      <c r="AX393">
        <f t="shared" si="241"/>
        <v>0</v>
      </c>
      <c r="AY393">
        <f t="shared" si="242"/>
        <v>0</v>
      </c>
    </row>
    <row r="394" spans="14:51" x14ac:dyDescent="0.25">
      <c r="N394" s="170">
        <v>76</v>
      </c>
      <c r="O394" s="199">
        <f t="shared" si="243"/>
        <v>57543.993733715732</v>
      </c>
      <c r="P394" s="189" t="str">
        <f t="shared" si="209"/>
        <v>18.0065359477124</v>
      </c>
      <c r="Q394" s="160" t="str">
        <f t="shared" si="210"/>
        <v>1+113.430455198154i</v>
      </c>
      <c r="R394" s="160">
        <f t="shared" si="218"/>
        <v>113.43486309975616</v>
      </c>
      <c r="S394" s="160">
        <f t="shared" si="219"/>
        <v>1.5619805806857432</v>
      </c>
      <c r="T394" s="160" t="str">
        <f t="shared" si="211"/>
        <v>1+0.144623830377647i</v>
      </c>
      <c r="U394" s="160">
        <f t="shared" si="220"/>
        <v>1.010403905531398</v>
      </c>
      <c r="V394" s="160">
        <f t="shared" si="221"/>
        <v>0.14362797852491943</v>
      </c>
      <c r="W394" s="98" t="str">
        <f t="shared" si="212"/>
        <v>1-2.04316214660941i</v>
      </c>
      <c r="X394" s="160">
        <f t="shared" si="222"/>
        <v>2.2747552741641401</v>
      </c>
      <c r="Y394" s="160">
        <f t="shared" si="223"/>
        <v>-1.1156344352038112</v>
      </c>
      <c r="Z394" s="98" t="str">
        <f t="shared" si="213"/>
        <v>0.959938767911369+0.610711458725825i</v>
      </c>
      <c r="AA394" s="160">
        <f t="shared" si="224"/>
        <v>1.1377393919339447</v>
      </c>
      <c r="AB394" s="160">
        <f t="shared" si="225"/>
        <v>0.5666115625883833</v>
      </c>
      <c r="AC394" s="171" t="str">
        <f t="shared" si="226"/>
        <v>-0.320409587017864-0.013142250526003i</v>
      </c>
      <c r="AD394" s="190">
        <f t="shared" si="227"/>
        <v>-9.8785895383578666</v>
      </c>
      <c r="AE394" s="169">
        <f t="shared" si="228"/>
        <v>-177.65121374147972</v>
      </c>
      <c r="AF394" s="98" t="str">
        <f t="shared" si="214"/>
        <v>-0.0000816326530612245</v>
      </c>
      <c r="AG394" s="98" t="str">
        <f t="shared" si="215"/>
        <v>0.00849665003468675i</v>
      </c>
      <c r="AH394" s="98">
        <f t="shared" si="229"/>
        <v>8.4966500346867497E-3</v>
      </c>
      <c r="AI394" s="98">
        <f t="shared" si="230"/>
        <v>1.5707963267948966</v>
      </c>
      <c r="AJ394" s="98" t="str">
        <f t="shared" si="216"/>
        <v>1+2.58938198431467i</v>
      </c>
      <c r="AK394" s="98">
        <f t="shared" si="231"/>
        <v>2.7757699941986149</v>
      </c>
      <c r="AL394" s="98">
        <f t="shared" si="232"/>
        <v>1.2022493076260645</v>
      </c>
      <c r="AM394" s="98" t="str">
        <f t="shared" si="217"/>
        <v>1+40.5669844209299i</v>
      </c>
      <c r="AN394" s="98">
        <f t="shared" si="233"/>
        <v>40.579307842889193</v>
      </c>
      <c r="AO394" s="98">
        <f t="shared" si="234"/>
        <v>1.5461507304411339</v>
      </c>
      <c r="AP394" s="168" t="str">
        <f t="shared" si="235"/>
        <v>-0.0473561918109638+0.132230897954222i</v>
      </c>
      <c r="AQ394" s="98">
        <f t="shared" si="236"/>
        <v>-17.049253221179711</v>
      </c>
      <c r="AR394" s="169">
        <f t="shared" si="237"/>
        <v>109.70410009584748</v>
      </c>
      <c r="AS394" s="168" t="str">
        <f t="shared" si="238"/>
        <v>0.0169111894490824-0.0417456804677764i</v>
      </c>
      <c r="AT394" s="190">
        <f t="shared" si="239"/>
        <v>-26.927842759537583</v>
      </c>
      <c r="AU394" s="169">
        <f t="shared" si="240"/>
        <v>-67.947113645632214</v>
      </c>
      <c r="AV394" s="225"/>
      <c r="AX394">
        <f t="shared" si="241"/>
        <v>0</v>
      </c>
      <c r="AY394">
        <f t="shared" si="242"/>
        <v>0</v>
      </c>
    </row>
    <row r="395" spans="14:51" x14ac:dyDescent="0.25">
      <c r="N395" s="170">
        <v>77</v>
      </c>
      <c r="O395" s="199">
        <f t="shared" si="243"/>
        <v>58884.365535558936</v>
      </c>
      <c r="P395" s="189" t="str">
        <f t="shared" si="209"/>
        <v>18.0065359477124</v>
      </c>
      <c r="Q395" s="160" t="str">
        <f t="shared" si="210"/>
        <v>1+116.072589915487i</v>
      </c>
      <c r="R395" s="160">
        <f t="shared" si="218"/>
        <v>116.07689748476572</v>
      </c>
      <c r="S395" s="160">
        <f t="shared" si="219"/>
        <v>1.5621812415218999</v>
      </c>
      <c r="T395" s="160" t="str">
        <f t="shared" si="211"/>
        <v>1+0.147992552142246i</v>
      </c>
      <c r="U395" s="160">
        <f t="shared" si="220"/>
        <v>1.0108915844389919</v>
      </c>
      <c r="V395" s="160">
        <f t="shared" si="221"/>
        <v>0.14692609760850719</v>
      </c>
      <c r="W395" s="98" t="str">
        <f t="shared" si="212"/>
        <v>1-2.09075350671871i</v>
      </c>
      <c r="X395" s="160">
        <f t="shared" si="222"/>
        <v>2.3175957856918412</v>
      </c>
      <c r="Y395" s="160">
        <f t="shared" si="223"/>
        <v>-1.1246618135020334</v>
      </c>
      <c r="Z395" s="98" t="str">
        <f t="shared" si="213"/>
        <v>0.958050740209902+0.624936756019693i</v>
      </c>
      <c r="AA395" s="160">
        <f t="shared" si="224"/>
        <v>1.1438562714961871</v>
      </c>
      <c r="AB395" s="160">
        <f t="shared" si="225"/>
        <v>0.57799058244411505</v>
      </c>
      <c r="AC395" s="171" t="str">
        <f t="shared" si="226"/>
        <v>-0.317638670019991-0.00752471516031447i</v>
      </c>
      <c r="AD395" s="190">
        <f t="shared" si="227"/>
        <v>-9.9588960684595484</v>
      </c>
      <c r="AE395" s="169">
        <f t="shared" si="228"/>
        <v>-178.64294294596928</v>
      </c>
      <c r="AF395" s="98" t="str">
        <f t="shared" si="214"/>
        <v>-0.0000816326530612245</v>
      </c>
      <c r="AG395" s="98" t="str">
        <f t="shared" si="215"/>
        <v>0.00869456243835698i</v>
      </c>
      <c r="AH395" s="98">
        <f t="shared" si="229"/>
        <v>8.6945624383569804E-3</v>
      </c>
      <c r="AI395" s="98">
        <f t="shared" si="230"/>
        <v>1.5707963267948966</v>
      </c>
      <c r="AJ395" s="98" t="str">
        <f t="shared" si="216"/>
        <v>1+2.64969643888723i</v>
      </c>
      <c r="AK395" s="98">
        <f t="shared" si="231"/>
        <v>2.8321177973826703</v>
      </c>
      <c r="AL395" s="98">
        <f t="shared" si="232"/>
        <v>1.2099217012495542</v>
      </c>
      <c r="AM395" s="98" t="str">
        <f t="shared" si="217"/>
        <v>1+41.5119108759001i</v>
      </c>
      <c r="AN395" s="98">
        <f t="shared" si="233"/>
        <v>41.523953864831718</v>
      </c>
      <c r="AO395" s="98">
        <f t="shared" si="234"/>
        <v>1.5467115132555602</v>
      </c>
      <c r="AP395" s="168" t="str">
        <f t="shared" si="235"/>
        <v>-0.0454905406237192+0.129925055212829i</v>
      </c>
      <c r="AQ395" s="98">
        <f t="shared" si="236"/>
        <v>-17.223928653115369</v>
      </c>
      <c r="AR395" s="169">
        <f t="shared" si="237"/>
        <v>109.29663481094845</v>
      </c>
      <c r="AS395" s="168" t="str">
        <f t="shared" si="238"/>
        <v>0.0154272038548732-0.0409269183793947i</v>
      </c>
      <c r="AT395" s="190">
        <f t="shared" si="239"/>
        <v>-27.182824721574921</v>
      </c>
      <c r="AU395" s="169">
        <f t="shared" si="240"/>
        <v>-69.346308135020863</v>
      </c>
      <c r="AV395" s="225"/>
      <c r="AX395">
        <f t="shared" si="241"/>
        <v>0</v>
      </c>
      <c r="AY395">
        <f t="shared" si="242"/>
        <v>0</v>
      </c>
    </row>
    <row r="396" spans="14:51" x14ac:dyDescent="0.25">
      <c r="N396" s="170">
        <v>78</v>
      </c>
      <c r="O396" s="199">
        <f t="shared" si="243"/>
        <v>60255.95860743591</v>
      </c>
      <c r="P396" s="189" t="str">
        <f t="shared" si="209"/>
        <v>18.0065359477124</v>
      </c>
      <c r="Q396" s="160" t="str">
        <f t="shared" si="210"/>
        <v>1+118.776267856396i</v>
      </c>
      <c r="R396" s="160">
        <f t="shared" si="218"/>
        <v>118.78047737694241</v>
      </c>
      <c r="S396" s="160">
        <f t="shared" si="219"/>
        <v>1.5623773354301782</v>
      </c>
      <c r="T396" s="160" t="str">
        <f t="shared" si="211"/>
        <v>1+0.151439741516905i</v>
      </c>
      <c r="U396" s="160">
        <f t="shared" si="220"/>
        <v>1.0114019949113739</v>
      </c>
      <c r="V396" s="160">
        <f t="shared" si="221"/>
        <v>0.15029770951055005</v>
      </c>
      <c r="W396" s="98" t="str">
        <f t="shared" si="212"/>
        <v>1-2.13945341201167i</v>
      </c>
      <c r="X396" s="160">
        <f t="shared" si="222"/>
        <v>2.3616225147487855</v>
      </c>
      <c r="Y396" s="160">
        <f t="shared" si="223"/>
        <v>-1.1335596756750277</v>
      </c>
      <c r="Z396" s="98" t="str">
        <f t="shared" si="213"/>
        <v>0.956073732504184+0.639493403053621i</v>
      </c>
      <c r="AA396" s="160">
        <f t="shared" si="224"/>
        <v>1.1502298876892318</v>
      </c>
      <c r="AB396" s="160">
        <f t="shared" si="225"/>
        <v>0.58952959212035183</v>
      </c>
      <c r="AC396" s="171" t="str">
        <f t="shared" si="226"/>
        <v>-0.314793519902398-0.00202218579702543i</v>
      </c>
      <c r="AD396" s="190">
        <f t="shared" si="227"/>
        <v>-10.03930511396325</v>
      </c>
      <c r="AE396" s="169">
        <f t="shared" si="228"/>
        <v>-179.63194567056931</v>
      </c>
      <c r="AF396" s="98" t="str">
        <f t="shared" si="214"/>
        <v>-0.0000816326530612245</v>
      </c>
      <c r="AG396" s="98" t="str">
        <f t="shared" si="215"/>
        <v>0.00889708481411817i</v>
      </c>
      <c r="AH396" s="98">
        <f t="shared" si="229"/>
        <v>8.89708481411817E-3</v>
      </c>
      <c r="AI396" s="98">
        <f t="shared" si="230"/>
        <v>1.5707963267948966</v>
      </c>
      <c r="AJ396" s="98" t="str">
        <f t="shared" si="216"/>
        <v>1+2.71141579758458i</v>
      </c>
      <c r="AK396" s="98">
        <f t="shared" si="231"/>
        <v>2.8899438796265966</v>
      </c>
      <c r="AL396" s="98">
        <f t="shared" si="232"/>
        <v>1.2174626293246904</v>
      </c>
      <c r="AM396" s="98" t="str">
        <f t="shared" si="217"/>
        <v>1+42.4788474954919i</v>
      </c>
      <c r="AN396" s="98">
        <f t="shared" si="233"/>
        <v>42.490616429339532</v>
      </c>
      <c r="AO396" s="98">
        <f t="shared" si="234"/>
        <v>1.5472595457354528</v>
      </c>
      <c r="AP396" s="168" t="str">
        <f t="shared" si="235"/>
        <v>-0.0436882758925702+0.12763229496527i</v>
      </c>
      <c r="AQ396" s="98">
        <f t="shared" si="236"/>
        <v>-17.399603937845079</v>
      </c>
      <c r="AR396" s="169">
        <f t="shared" si="237"/>
        <v>108.89597140676547</v>
      </c>
      <c r="AS396" s="168" t="str">
        <f t="shared" si="238"/>
        <v>0.0140108823608098-0.040089473574332i</v>
      </c>
      <c r="AT396" s="190">
        <f t="shared" si="239"/>
        <v>-27.438909051808324</v>
      </c>
      <c r="AU396" s="169">
        <f t="shared" si="240"/>
        <v>-70.735974263803797</v>
      </c>
      <c r="AV396" s="225"/>
      <c r="AX396">
        <f t="shared" si="241"/>
        <v>0</v>
      </c>
      <c r="AY396">
        <f t="shared" si="242"/>
        <v>0</v>
      </c>
    </row>
    <row r="397" spans="14:51" x14ac:dyDescent="0.25">
      <c r="N397" s="170">
        <v>79</v>
      </c>
      <c r="O397" s="199">
        <f t="shared" si="243"/>
        <v>61659.500186148245</v>
      </c>
      <c r="P397" s="189" t="str">
        <f t="shared" si="209"/>
        <v>18.0065359477124</v>
      </c>
      <c r="Q397" s="160" t="str">
        <f t="shared" si="210"/>
        <v>1+121.542922546712i</v>
      </c>
      <c r="R397" s="160">
        <f t="shared" si="218"/>
        <v>121.54703625015311</v>
      </c>
      <c r="S397" s="160">
        <f t="shared" si="219"/>
        <v>1.5625689663218061</v>
      </c>
      <c r="T397" s="160" t="str">
        <f t="shared" si="211"/>
        <v>1+0.154967226247058i</v>
      </c>
      <c r="U397" s="160">
        <f t="shared" si="220"/>
        <v>1.0119361843568531</v>
      </c>
      <c r="V397" s="160">
        <f t="shared" si="221"/>
        <v>0.15374429512401089</v>
      </c>
      <c r="W397" s="98" t="str">
        <f t="shared" si="212"/>
        <v>1-2.18928768382269i</v>
      </c>
      <c r="X397" s="160">
        <f t="shared" si="222"/>
        <v>2.4068611431775029</v>
      </c>
      <c r="Y397" s="160">
        <f t="shared" si="223"/>
        <v>-1.142327102792517</v>
      </c>
      <c r="Z397" s="98" t="str">
        <f t="shared" si="213"/>
        <v>0.954003551295811+0.654389117954541i</v>
      </c>
      <c r="AA397" s="160">
        <f t="shared" si="224"/>
        <v>1.1568698689058943</v>
      </c>
      <c r="AB397" s="160">
        <f t="shared" si="225"/>
        <v>0.60122720853954048</v>
      </c>
      <c r="AC397" s="171" t="str">
        <f t="shared" si="226"/>
        <v>-0.311874728948904+0.00336411388136978i</v>
      </c>
      <c r="AD397" s="190">
        <f t="shared" si="227"/>
        <v>-10.119891000331489</v>
      </c>
      <c r="AE397" s="169">
        <f t="shared" si="228"/>
        <v>179.38198887529458</v>
      </c>
      <c r="AF397" s="98" t="str">
        <f t="shared" si="214"/>
        <v>-0.0000816326530612245</v>
      </c>
      <c r="AG397" s="98" t="str">
        <f t="shared" si="215"/>
        <v>0.00910432454201462i</v>
      </c>
      <c r="AH397" s="98">
        <f t="shared" si="229"/>
        <v>9.1043245420146194E-3</v>
      </c>
      <c r="AI397" s="98">
        <f t="shared" si="230"/>
        <v>1.5707963267948966</v>
      </c>
      <c r="AJ397" s="98" t="str">
        <f t="shared" si="216"/>
        <v>1+2.77457278482763i</v>
      </c>
      <c r="AK397" s="98">
        <f t="shared" si="231"/>
        <v>2.9492802746273794</v>
      </c>
      <c r="AL397" s="98">
        <f t="shared" si="232"/>
        <v>1.2248726586015235</v>
      </c>
      <c r="AM397" s="98" t="str">
        <f t="shared" si="217"/>
        <v>1+43.4683069622997i</v>
      </c>
      <c r="AN397" s="98">
        <f t="shared" si="233"/>
        <v>43.479808074193613</v>
      </c>
      <c r="AO397" s="98">
        <f t="shared" si="234"/>
        <v>1.5477951171373652</v>
      </c>
      <c r="AP397" s="168" t="str">
        <f t="shared" si="235"/>
        <v>-0.0419480360082198+0.125354239267782i</v>
      </c>
      <c r="AQ397" s="98">
        <f t="shared" si="236"/>
        <v>-17.576244942612632</v>
      </c>
      <c r="AR397" s="169">
        <f t="shared" si="237"/>
        <v>108.5020939840921</v>
      </c>
      <c r="AS397" s="168" t="str">
        <f t="shared" si="238"/>
        <v>0.0126608264235931-0.039235937364467i</v>
      </c>
      <c r="AT397" s="190">
        <f t="shared" si="239"/>
        <v>-27.696135942944128</v>
      </c>
      <c r="AU397" s="169">
        <f t="shared" si="240"/>
        <v>-72.11591714061332</v>
      </c>
      <c r="AV397" s="225"/>
      <c r="AX397">
        <f t="shared" si="241"/>
        <v>0</v>
      </c>
      <c r="AY397">
        <f t="shared" si="242"/>
        <v>0</v>
      </c>
    </row>
    <row r="398" spans="14:51" x14ac:dyDescent="0.25">
      <c r="N398" s="170">
        <v>80</v>
      </c>
      <c r="O398" s="199">
        <f t="shared" si="243"/>
        <v>63095.734448019342</v>
      </c>
      <c r="P398" s="189" t="str">
        <f t="shared" si="209"/>
        <v>18.0065359477124</v>
      </c>
      <c r="Q398" s="160" t="str">
        <f t="shared" si="210"/>
        <v>1+124.374020903373i</v>
      </c>
      <c r="R398" s="160">
        <f t="shared" si="218"/>
        <v>124.3780409705534</v>
      </c>
      <c r="S398" s="160">
        <f t="shared" si="219"/>
        <v>1.5627562357456894</v>
      </c>
      <c r="T398" s="160" t="str">
        <f t="shared" si="211"/>
        <v>1+0.1585768766518i</v>
      </c>
      <c r="U398" s="160">
        <f t="shared" si="220"/>
        <v>1.0124952473017541</v>
      </c>
      <c r="V398" s="160">
        <f t="shared" si="221"/>
        <v>0.15726735417089235</v>
      </c>
      <c r="W398" s="98" t="str">
        <f t="shared" si="212"/>
        <v>1-2.24028274494232i</v>
      </c>
      <c r="X398" s="160">
        <f t="shared" si="222"/>
        <v>2.4533378848593799</v>
      </c>
      <c r="Y398" s="160">
        <f t="shared" si="223"/>
        <v>-1.1509633509750326</v>
      </c>
      <c r="Z398" s="98" t="str">
        <f t="shared" si="213"/>
        <v>0.951835805452885+0.669631798627665i</v>
      </c>
      <c r="AA398" s="160">
        <f t="shared" si="224"/>
        <v>1.163786125658604</v>
      </c>
      <c r="AB398" s="160">
        <f t="shared" si="225"/>
        <v>0.61308185647467894</v>
      </c>
      <c r="AC398" s="171" t="str">
        <f t="shared" si="226"/>
        <v>-0.308883058856258+0.00863288279524524i</v>
      </c>
      <c r="AD398" s="190">
        <f t="shared" si="227"/>
        <v>-10.20072712951761</v>
      </c>
      <c r="AE398" s="169">
        <f t="shared" si="228"/>
        <v>178.39907367605363</v>
      </c>
      <c r="AF398" s="98" t="str">
        <f t="shared" si="214"/>
        <v>-0.0000816326530612245</v>
      </c>
      <c r="AG398" s="98" t="str">
        <f t="shared" si="215"/>
        <v>0.00931639150329325i</v>
      </c>
      <c r="AH398" s="98">
        <f t="shared" si="229"/>
        <v>9.3163915032932493E-3</v>
      </c>
      <c r="AI398" s="98">
        <f t="shared" si="230"/>
        <v>1.5707963267948966</v>
      </c>
      <c r="AJ398" s="98" t="str">
        <f t="shared" si="216"/>
        <v>1+2.839200887287i</v>
      </c>
      <c r="AK398" s="98">
        <f t="shared" si="231"/>
        <v>3.0101597429989138</v>
      </c>
      <c r="AL398" s="98">
        <f t="shared" si="232"/>
        <v>1.2321524620091053</v>
      </c>
      <c r="AM398" s="98" t="str">
        <f t="shared" si="217"/>
        <v>1+44.4808139008299i</v>
      </c>
      <c r="AN398" s="98">
        <f t="shared" si="233"/>
        <v>44.492053282358889</v>
      </c>
      <c r="AO398" s="98">
        <f t="shared" si="234"/>
        <v>1.5483185101986672</v>
      </c>
      <c r="AP398" s="168" t="str">
        <f t="shared" si="235"/>
        <v>-0.0402684244687645+0.123092407388109i</v>
      </c>
      <c r="AQ398" s="98">
        <f t="shared" si="236"/>
        <v>-17.753818280089344</v>
      </c>
      <c r="AR398" s="169">
        <f t="shared" si="237"/>
        <v>108.11498018659172</v>
      </c>
      <c r="AS398" s="168" t="str">
        <f t="shared" si="238"/>
        <v>0.011375591799268-0.0383687919048078i</v>
      </c>
      <c r="AT398" s="190">
        <f t="shared" si="239"/>
        <v>-27.954545409606958</v>
      </c>
      <c r="AU398" s="169">
        <f t="shared" si="240"/>
        <v>-73.485946137354688</v>
      </c>
      <c r="AV398" s="225"/>
      <c r="AX398">
        <f t="shared" si="241"/>
        <v>0</v>
      </c>
      <c r="AY398">
        <f t="shared" si="242"/>
        <v>0</v>
      </c>
    </row>
    <row r="399" spans="14:51" x14ac:dyDescent="0.25">
      <c r="N399" s="170">
        <v>81</v>
      </c>
      <c r="O399" s="199">
        <f t="shared" si="243"/>
        <v>64565.422903465682</v>
      </c>
      <c r="P399" s="189" t="str">
        <f t="shared" si="209"/>
        <v>18.0065359477124</v>
      </c>
      <c r="Q399" s="160" t="str">
        <f t="shared" si="210"/>
        <v>1+127.271064012201i</v>
      </c>
      <c r="R399" s="160">
        <f t="shared" si="218"/>
        <v>127.27499257433789</v>
      </c>
      <c r="S399" s="160">
        <f t="shared" si="219"/>
        <v>1.5629392429419855</v>
      </c>
      <c r="T399" s="160" t="str">
        <f t="shared" si="211"/>
        <v>1+0.162270606615557i</v>
      </c>
      <c r="U399" s="160">
        <f t="shared" si="220"/>
        <v>1.013080327403203</v>
      </c>
      <c r="V399" s="160">
        <f t="shared" si="221"/>
        <v>0.16086840462036808</v>
      </c>
      <c r="W399" s="98" t="str">
        <f t="shared" si="212"/>
        <v>1-2.29246563362697i</v>
      </c>
      <c r="X399" s="160">
        <f t="shared" si="222"/>
        <v>2.5010795032067064</v>
      </c>
      <c r="Y399" s="160">
        <f t="shared" si="223"/>
        <v>-1.1594678451763603</v>
      </c>
      <c r="Z399" s="98" t="str">
        <f t="shared" si="213"/>
        <v>0.949565896895838+0.685229526944048i</v>
      </c>
      <c r="AA399" s="160">
        <f t="shared" si="224"/>
        <v>1.170988854406207</v>
      </c>
      <c r="AB399" s="160">
        <f t="shared" si="225"/>
        <v>0.6250917668826288</v>
      </c>
      <c r="AC399" s="171" t="str">
        <f t="shared" si="226"/>
        <v>-0.305819446955471+0.0137827543611554i</v>
      </c>
      <c r="AD399" s="190">
        <f t="shared" si="227"/>
        <v>-10.281885805485144</v>
      </c>
      <c r="AE399" s="169">
        <f t="shared" si="228"/>
        <v>177.41952432531846</v>
      </c>
      <c r="AF399" s="98" t="str">
        <f t="shared" si="214"/>
        <v>-0.0000816326530612245</v>
      </c>
      <c r="AG399" s="98" t="str">
        <f t="shared" si="215"/>
        <v>0.00953339813866396i</v>
      </c>
      <c r="AH399" s="98">
        <f t="shared" si="229"/>
        <v>9.5333981386639607E-3</v>
      </c>
      <c r="AI399" s="98">
        <f t="shared" si="230"/>
        <v>1.5707963267948966</v>
      </c>
      <c r="AJ399" s="98" t="str">
        <f t="shared" si="216"/>
        <v>1+2.9053343716381i</v>
      </c>
      <c r="AK399" s="98">
        <f t="shared" si="231"/>
        <v>3.0726157929395854</v>
      </c>
      <c r="AL399" s="98">
        <f t="shared" si="232"/>
        <v>1.239302812064013</v>
      </c>
      <c r="AM399" s="98" t="str">
        <f t="shared" si="217"/>
        <v>1+45.5169051556637i</v>
      </c>
      <c r="AN399" s="98">
        <f t="shared" si="233"/>
        <v>45.527888760074134</v>
      </c>
      <c r="AO399" s="98">
        <f t="shared" si="234"/>
        <v>1.548830001281603</v>
      </c>
      <c r="AP399" s="168" t="str">
        <f t="shared" si="235"/>
        <v>-0.0386480162951454+0.120848217635711i</v>
      </c>
      <c r="AQ399" s="98">
        <f t="shared" si="236"/>
        <v>-17.932291326207309</v>
      </c>
      <c r="AR399" s="169">
        <f t="shared" si="237"/>
        <v>107.73460158671516</v>
      </c>
      <c r="AS399" s="168" t="str">
        <f t="shared" si="238"/>
        <v>0.0101536936706509-0.0374904111980495i</v>
      </c>
      <c r="AT399" s="190">
        <f t="shared" si="239"/>
        <v>-28.214177131692445</v>
      </c>
      <c r="AU399" s="169">
        <f t="shared" si="240"/>
        <v>-74.84587408796645</v>
      </c>
      <c r="AV399" s="225"/>
      <c r="AX399">
        <f t="shared" si="241"/>
        <v>0</v>
      </c>
      <c r="AY399">
        <f t="shared" si="242"/>
        <v>0</v>
      </c>
    </row>
    <row r="400" spans="14:51" x14ac:dyDescent="0.25">
      <c r="N400" s="170">
        <v>82</v>
      </c>
      <c r="O400" s="199">
        <f t="shared" si="243"/>
        <v>66069.344800759733</v>
      </c>
      <c r="P400" s="189" t="str">
        <f t="shared" si="209"/>
        <v>18.0065359477124</v>
      </c>
      <c r="Q400" s="160" t="str">
        <f t="shared" si="210"/>
        <v>1+130.235587923801i</v>
      </c>
      <c r="R400" s="160">
        <f t="shared" si="218"/>
        <v>130.23942706361274</v>
      </c>
      <c r="S400" s="160">
        <f t="shared" si="219"/>
        <v>1.5631180848944701</v>
      </c>
      <c r="T400" s="160" t="str">
        <f t="shared" si="211"/>
        <v>1+0.166050374602846i</v>
      </c>
      <c r="U400" s="160">
        <f t="shared" si="220"/>
        <v>1.013692619537967</v>
      </c>
      <c r="V400" s="160">
        <f t="shared" si="221"/>
        <v>0.16454898203184587</v>
      </c>
      <c r="W400" s="98" t="str">
        <f t="shared" si="212"/>
        <v>1-2.34586401793494i</v>
      </c>
      <c r="X400" s="160">
        <f t="shared" si="222"/>
        <v>2.5501133289800788</v>
      </c>
      <c r="Y400" s="160">
        <f t="shared" si="223"/>
        <v>-1.1678401727482708</v>
      </c>
      <c r="Z400" s="98" t="str">
        <f t="shared" si="213"/>
        <v>0.94718901084429+0.701190573025701i</v>
      </c>
      <c r="AA400" s="160">
        <f t="shared" si="224"/>
        <v>1.1784885412952879</v>
      </c>
      <c r="AB400" s="160">
        <f t="shared" si="225"/>
        <v>0.63725497597837089</v>
      </c>
      <c r="AC400" s="171" t="str">
        <f t="shared" si="226"/>
        <v>-0.30268501168984+0.0188123091179477i</v>
      </c>
      <c r="AD400" s="190">
        <f t="shared" si="227"/>
        <v>-10.363438061292662</v>
      </c>
      <c r="AE400" s="169">
        <f t="shared" si="228"/>
        <v>176.44355940699748</v>
      </c>
      <c r="AF400" s="98" t="str">
        <f t="shared" si="214"/>
        <v>-0.0000816326530612245</v>
      </c>
      <c r="AG400" s="98" t="str">
        <f t="shared" si="215"/>
        <v>0.00975545950791722i</v>
      </c>
      <c r="AH400" s="98">
        <f t="shared" si="229"/>
        <v>9.7554595079172197E-3</v>
      </c>
      <c r="AI400" s="98">
        <f t="shared" si="230"/>
        <v>1.5707963267948966</v>
      </c>
      <c r="AJ400" s="98" t="str">
        <f t="shared" si="216"/>
        <v>1+2.97300830272968i</v>
      </c>
      <c r="AK400" s="98">
        <f t="shared" si="231"/>
        <v>3.1366827012147103</v>
      </c>
      <c r="AL400" s="98">
        <f t="shared" si="232"/>
        <v>1.2463245744078926</v>
      </c>
      <c r="AM400" s="98" t="str">
        <f t="shared" si="217"/>
        <v>1+46.5771300760984i</v>
      </c>
      <c r="AN400" s="98">
        <f t="shared" si="233"/>
        <v>46.587863721422025</v>
      </c>
      <c r="AO400" s="98">
        <f t="shared" si="234"/>
        <v>1.5493298605143582</v>
      </c>
      <c r="AP400" s="168" t="str">
        <f t="shared" si="235"/>
        <v>-0.037085364071758+0.118622989497816i</v>
      </c>
      <c r="AQ400" s="98">
        <f t="shared" si="236"/>
        <v>-18.11163223455776</v>
      </c>
      <c r="AR400" s="169">
        <f t="shared" si="237"/>
        <v>107.36092406405436</v>
      </c>
      <c r="AS400" s="168" t="str">
        <f t="shared" si="238"/>
        <v>0.00899361151065407-0.0366030622954997i</v>
      </c>
      <c r="AT400" s="190">
        <f t="shared" si="239"/>
        <v>-28.475070295850436</v>
      </c>
      <c r="AU400" s="169">
        <f t="shared" si="240"/>
        <v>-76.195516528948119</v>
      </c>
      <c r="AV400" s="225"/>
      <c r="AX400">
        <f t="shared" si="241"/>
        <v>0</v>
      </c>
      <c r="AY400">
        <f t="shared" si="242"/>
        <v>0</v>
      </c>
    </row>
    <row r="401" spans="14:51" x14ac:dyDescent="0.25">
      <c r="N401" s="170">
        <v>83</v>
      </c>
      <c r="O401" s="199">
        <f t="shared" si="243"/>
        <v>67608.297539198305</v>
      </c>
      <c r="P401" s="189" t="str">
        <f t="shared" si="209"/>
        <v>18.0065359477124</v>
      </c>
      <c r="Q401" s="160" t="str">
        <f t="shared" si="210"/>
        <v>1+133.26916446799i</v>
      </c>
      <c r="R401" s="160">
        <f t="shared" si="218"/>
        <v>133.27291622079923</v>
      </c>
      <c r="S401" s="160">
        <f t="shared" si="219"/>
        <v>1.5632928563817263</v>
      </c>
      <c r="T401" s="160" t="str">
        <f t="shared" si="211"/>
        <v>1+0.169918184696687i</v>
      </c>
      <c r="U401" s="160">
        <f t="shared" si="220"/>
        <v>1.0143333719693035</v>
      </c>
      <c r="V401" s="160">
        <f t="shared" si="221"/>
        <v>0.16831063881812053</v>
      </c>
      <c r="W401" s="98" t="str">
        <f t="shared" si="212"/>
        <v>1-2.4005062103964i</v>
      </c>
      <c r="X401" s="160">
        <f t="shared" si="222"/>
        <v>2.6004672784235692</v>
      </c>
      <c r="Y401" s="160">
        <f t="shared" si="223"/>
        <v>-1.1760800768341644</v>
      </c>
      <c r="Z401" s="98" t="str">
        <f t="shared" si="213"/>
        <v>0.944700105604249+0.717523399630526i</v>
      </c>
      <c r="AA401" s="160">
        <f t="shared" si="224"/>
        <v>1.1862959658306298</v>
      </c>
      <c r="AB401" s="160">
        <f t="shared" si="225"/>
        <v>0.64956932509769827</v>
      </c>
      <c r="AC401" s="171" t="str">
        <f t="shared" si="226"/>
        <v>-0.299481057258662+0.023720088038232i</v>
      </c>
      <c r="AD401" s="190">
        <f t="shared" si="227"/>
        <v>-10.445453488146512</v>
      </c>
      <c r="AE401" s="169">
        <f t="shared" si="228"/>
        <v>175.4714008365265</v>
      </c>
      <c r="AF401" s="98" t="str">
        <f t="shared" si="214"/>
        <v>-0.0000816326530612245</v>
      </c>
      <c r="AG401" s="98" t="str">
        <f t="shared" si="215"/>
        <v>0.00998269335093034i</v>
      </c>
      <c r="AH401" s="98">
        <f t="shared" si="229"/>
        <v>9.9826933509303394E-3</v>
      </c>
      <c r="AI401" s="98">
        <f t="shared" si="230"/>
        <v>1.5707963267948966</v>
      </c>
      <c r="AJ401" s="98" t="str">
        <f t="shared" si="216"/>
        <v>1+3.04225856217578i</v>
      </c>
      <c r="AK401" s="98">
        <f t="shared" si="231"/>
        <v>3.2023955344603898</v>
      </c>
      <c r="AL401" s="98">
        <f t="shared" si="232"/>
        <v>1.253218701491982</v>
      </c>
      <c r="AM401" s="98" t="str">
        <f t="shared" si="217"/>
        <v>1+47.6620508074206i</v>
      </c>
      <c r="AN401" s="98">
        <f t="shared" si="233"/>
        <v>47.672540179532518</v>
      </c>
      <c r="AO401" s="98">
        <f t="shared" si="234"/>
        <v>1.5498183519291859</v>
      </c>
      <c r="AP401" s="168" t="str">
        <f t="shared" si="235"/>
        <v>-0.0355790036095896+0.116417946040881i</v>
      </c>
      <c r="AQ401" s="98">
        <f t="shared" si="236"/>
        <v>-18.29180994756106</v>
      </c>
      <c r="AR401" s="169">
        <f t="shared" si="237"/>
        <v>106.99390817510726</v>
      </c>
      <c r="AS401" s="168" t="str">
        <f t="shared" si="238"/>
        <v>0.0078937936878898-0.0357089066621369i</v>
      </c>
      <c r="AT401" s="190">
        <f t="shared" si="239"/>
        <v>-28.737263435707582</v>
      </c>
      <c r="AU401" s="169">
        <f t="shared" si="240"/>
        <v>-77.534690988366222</v>
      </c>
      <c r="AV401" s="225"/>
      <c r="AX401">
        <f t="shared" si="241"/>
        <v>0</v>
      </c>
      <c r="AY401">
        <f t="shared" si="242"/>
        <v>0</v>
      </c>
    </row>
    <row r="402" spans="14:51" x14ac:dyDescent="0.25">
      <c r="N402" s="170">
        <v>84</v>
      </c>
      <c r="O402" s="199">
        <f t="shared" si="243"/>
        <v>69183.097091893651</v>
      </c>
      <c r="P402" s="189" t="str">
        <f t="shared" si="209"/>
        <v>18.0065359477124</v>
      </c>
      <c r="Q402" s="160" t="str">
        <f t="shared" si="210"/>
        <v>1+136.373402087205i</v>
      </c>
      <c r="R402" s="160">
        <f t="shared" si="218"/>
        <v>136.37706844201662</v>
      </c>
      <c r="S402" s="160">
        <f t="shared" si="219"/>
        <v>1.5634636500271784</v>
      </c>
      <c r="T402" s="160" t="str">
        <f t="shared" si="211"/>
        <v>1+0.173876087661186i</v>
      </c>
      <c r="U402" s="160">
        <f t="shared" si="220"/>
        <v>1.0150038885937138</v>
      </c>
      <c r="V402" s="160">
        <f t="shared" si="221"/>
        <v>0.17215494342351953</v>
      </c>
      <c r="W402" s="98" t="str">
        <f t="shared" si="212"/>
        <v>1-2.45642118302506i</v>
      </c>
      <c r="X402" s="160">
        <f t="shared" si="222"/>
        <v>2.6521698717115076</v>
      </c>
      <c r="Y402" s="160">
        <f t="shared" si="223"/>
        <v>-1.1841874496357141</v>
      </c>
      <c r="Z402" s="98" t="str">
        <f t="shared" si="213"/>
        <v>0.94209390187401+0.734236666639378i</v>
      </c>
      <c r="AA402" s="160">
        <f t="shared" si="224"/>
        <v>1.1944222044929933</v>
      </c>
      <c r="AB402" s="160">
        <f t="shared" si="225"/>
        <v>0.66203246139221839</v>
      </c>
      <c r="AC402" s="171" t="str">
        <f t="shared" si="226"/>
        <v>-0.29620907733782+0.0285046064662088i</v>
      </c>
      <c r="AD402" s="190">
        <f t="shared" si="227"/>
        <v>-10.528000066855039</v>
      </c>
      <c r="AE402" s="169">
        <f t="shared" si="228"/>
        <v>174.50327415688622</v>
      </c>
      <c r="AF402" s="98" t="str">
        <f t="shared" si="214"/>
        <v>-0.0000816326530612245</v>
      </c>
      <c r="AG402" s="98" t="str">
        <f t="shared" si="215"/>
        <v>0.0102152201500947i</v>
      </c>
      <c r="AH402" s="98">
        <f t="shared" si="229"/>
        <v>1.0215220150094699E-2</v>
      </c>
      <c r="AI402" s="98">
        <f t="shared" si="230"/>
        <v>1.5707963267948966</v>
      </c>
      <c r="AJ402" s="98" t="str">
        <f t="shared" si="216"/>
        <v>1+3.11312186738059i</v>
      </c>
      <c r="AK402" s="98">
        <f t="shared" si="231"/>
        <v>3.269790170815738</v>
      </c>
      <c r="AL402" s="98">
        <f t="shared" si="232"/>
        <v>1.2599862264240256</v>
      </c>
      <c r="AM402" s="98" t="str">
        <f t="shared" si="217"/>
        <v>1+48.7722425889627i</v>
      </c>
      <c r="AN402" s="98">
        <f t="shared" si="233"/>
        <v>48.782493244571121</v>
      </c>
      <c r="AO402" s="98">
        <f t="shared" si="234"/>
        <v>1.5502957335976399</v>
      </c>
      <c r="AP402" s="168" t="str">
        <f t="shared" si="235"/>
        <v>-0.0341274592325068+0.114234216539071i</v>
      </c>
      <c r="AQ402" s="98">
        <f t="shared" si="236"/>
        <v>-18.472794204615553</v>
      </c>
      <c r="AR402" s="169">
        <f t="shared" si="237"/>
        <v>106.63350951357103</v>
      </c>
      <c r="AS402" s="168" t="str">
        <f t="shared" si="238"/>
        <v>0.00685266182372301-0.0348100016765611i</v>
      </c>
      <c r="AT402" s="190">
        <f t="shared" si="239"/>
        <v>-29.000794271470607</v>
      </c>
      <c r="AU402" s="169">
        <f t="shared" si="240"/>
        <v>-78.863216329542738</v>
      </c>
      <c r="AV402" s="225"/>
      <c r="AX402">
        <f t="shared" si="241"/>
        <v>0</v>
      </c>
      <c r="AY402">
        <f t="shared" si="242"/>
        <v>0</v>
      </c>
    </row>
    <row r="403" spans="14:51" x14ac:dyDescent="0.25">
      <c r="N403" s="170">
        <v>85</v>
      </c>
      <c r="O403" s="199">
        <f t="shared" si="243"/>
        <v>70794.578438413781</v>
      </c>
      <c r="P403" s="189" t="str">
        <f t="shared" ref="P403:P466" si="244">COMPLEX(Adc,0)</f>
        <v>18.0065359477124</v>
      </c>
      <c r="Q403" s="160" t="str">
        <f t="shared" ref="Q403:Q466" si="245">IMSUM(COMPLEX(1,0),IMDIV(COMPLEX(0,2*PI()*O403),COMPLEX(wp_lf,0)))</f>
        <v>1+139.549946689322i</v>
      </c>
      <c r="R403" s="160">
        <f t="shared" si="218"/>
        <v>139.5535295898768</v>
      </c>
      <c r="S403" s="160">
        <f t="shared" si="219"/>
        <v>1.5636305563479973</v>
      </c>
      <c r="T403" s="160" t="str">
        <f t="shared" ref="T403:T466" si="246">IMSUM(COMPLEX(1,0),IMDIV(COMPLEX(0,2*PI()*O403),COMPLEX(wz_esr,0)))</f>
        <v>1+0.177926182028886i</v>
      </c>
      <c r="U403" s="160">
        <f t="shared" si="220"/>
        <v>1.0157055312694601</v>
      </c>
      <c r="V403" s="160">
        <f t="shared" si="221"/>
        <v>0.17608347941181318</v>
      </c>
      <c r="W403" s="98" t="str">
        <f t="shared" ref="W403:W466" si="247">IMSUB(COMPLEX(1,0),IMDIV(COMPLEX(0,2*PI()*O403),COMPLEX(wz_rhp,0)))</f>
        <v>1-2.51363858267954i</v>
      </c>
      <c r="X403" s="160">
        <f t="shared" si="222"/>
        <v>2.7052502517022718</v>
      </c>
      <c r="Y403" s="160">
        <f t="shared" si="223"/>
        <v>-1.1921623255938891</v>
      </c>
      <c r="Z403" s="98" t="str">
        <f t="shared" ref="Z403:Z466" si="248">IF(Dc_Mode_Loop="CCM",IMSUM(COMPLEX(1,0),IMDIV(COMPLEX(0,2*PI()*O403),COMPLEX(Q*(wsl/2),0)),IMDIV(IMPOWER(COMPLEX(0,2*PI()*O403),2),IMPOWER(COMPLEX(wsl/2,0),2))),COMPLEX(1,0))</f>
        <v>0.939364871546039+0.751339235647656i</v>
      </c>
      <c r="AA403" s="160">
        <f t="shared" si="224"/>
        <v>1.2028786343261362</v>
      </c>
      <c r="AB403" s="160">
        <f t="shared" si="225"/>
        <v>0.67464183939623479</v>
      </c>
      <c r="AC403" s="171" t="str">
        <f t="shared" si="226"/>
        <v>-0.29287075779245+0.0331643686114212i</v>
      </c>
      <c r="AD403" s="190">
        <f t="shared" si="227"/>
        <v>-10.611144002140993</v>
      </c>
      <c r="AE403" s="169">
        <f t="shared" si="228"/>
        <v>173.53940878446463</v>
      </c>
      <c r="AF403" s="98" t="str">
        <f t="shared" ref="AF403:AF466" si="249">COMPLEX(Adc_ea,0)</f>
        <v>-0.0000816326530612245</v>
      </c>
      <c r="AG403" s="98" t="str">
        <f t="shared" ref="AG403:AG466" si="250">COMPLEX(0,2*PI()*O403*wp0_ea)</f>
        <v>0.010453163194197i</v>
      </c>
      <c r="AH403" s="98">
        <f t="shared" si="229"/>
        <v>1.0453163194197E-2</v>
      </c>
      <c r="AI403" s="98">
        <f t="shared" si="230"/>
        <v>1.5707963267948966</v>
      </c>
      <c r="AJ403" s="98" t="str">
        <f t="shared" ref="AJ403:AJ466" si="251">IMSUM(COMPLEX(1,0),IMDIV(COMPLEX(0,2*PI()*O403),COMPLEX(wp1_ea,0)))</f>
        <v>1+3.18563579100653i</v>
      </c>
      <c r="AK403" s="98">
        <f t="shared" si="231"/>
        <v>3.3389033218920554</v>
      </c>
      <c r="AL403" s="98">
        <f t="shared" si="232"/>
        <v>1.266628256990687</v>
      </c>
      <c r="AM403" s="98" t="str">
        <f t="shared" ref="AM403:AM466" si="252">IMSUM(COMPLEX(1,0),IMDIV(COMPLEX(0,2*PI()*O403),COMPLEX(wz_ea,0)))</f>
        <v>1+49.9082940591024i</v>
      </c>
      <c r="AN403" s="98">
        <f t="shared" si="233"/>
        <v>49.918311428671508</v>
      </c>
      <c r="AO403" s="98">
        <f t="shared" si="234"/>
        <v>1.5507622577629645</v>
      </c>
      <c r="AP403" s="168" t="str">
        <f t="shared" si="235"/>
        <v>-0.0327292486901896+0.112072839293529i</v>
      </c>
      <c r="AQ403" s="98">
        <f t="shared" si="236"/>
        <v>-18.654555547433787</v>
      </c>
      <c r="AR403" s="169">
        <f t="shared" si="237"/>
        <v>106.27967906041843</v>
      </c>
      <c r="AS403" s="168" t="str">
        <f t="shared" si="238"/>
        <v>0.00586861491221421-0.0339083022397836i</v>
      </c>
      <c r="AT403" s="190">
        <f t="shared" si="239"/>
        <v>-29.265699549574787</v>
      </c>
      <c r="AU403" s="169">
        <f t="shared" si="240"/>
        <v>-80.180912155116928</v>
      </c>
      <c r="AV403" s="225"/>
      <c r="AX403">
        <f t="shared" si="241"/>
        <v>0</v>
      </c>
      <c r="AY403">
        <f t="shared" si="242"/>
        <v>0</v>
      </c>
    </row>
    <row r="404" spans="14:51" x14ac:dyDescent="0.25">
      <c r="N404" s="170">
        <v>86</v>
      </c>
      <c r="O404" s="199">
        <f t="shared" si="243"/>
        <v>72443.596007499116</v>
      </c>
      <c r="P404" s="189" t="str">
        <f t="shared" si="244"/>
        <v>18.0065359477124</v>
      </c>
      <c r="Q404" s="160" t="str">
        <f t="shared" si="245"/>
        <v>1+142.800482520336i</v>
      </c>
      <c r="R404" s="160">
        <f t="shared" ref="R404:R467" si="253">IMABS(Q404)</f>
        <v>142.80398386614004</v>
      </c>
      <c r="S404" s="160">
        <f t="shared" ref="S404:S467" si="254">IMARGUMENT(Q404)</f>
        <v>1.563793663802906</v>
      </c>
      <c r="T404" s="160" t="str">
        <f t="shared" si="246"/>
        <v>1+0.182070615213429i</v>
      </c>
      <c r="U404" s="160">
        <f t="shared" ref="U404:U467" si="255">IMABS(T404)</f>
        <v>1.0164397222286212</v>
      </c>
      <c r="V404" s="160">
        <f t="shared" ref="V404:V467" si="256">IMARGUMENT(T404)</f>
        <v>0.18009784445840188</v>
      </c>
      <c r="W404" s="98" t="str">
        <f t="shared" si="247"/>
        <v>1-2.5721887467825i</v>
      </c>
      <c r="X404" s="160">
        <f t="shared" ref="X404:X467" si="257">IMABS(W404)</f>
        <v>2.7597382029958073</v>
      </c>
      <c r="Y404" s="160">
        <f t="shared" ref="Y404:Y467" si="258">IMARGUMENT(W404)</f>
        <v>-1.2000048745228931</v>
      </c>
      <c r="Z404" s="98" t="str">
        <f t="shared" si="248"/>
        <v>0.936507225981124+0.768840174663825i</v>
      </c>
      <c r="AA404" s="160">
        <f t="shared" ref="AA404:AA467" si="259">IMABS(Z404)</f>
        <v>1.2116769365189555</v>
      </c>
      <c r="AB404" s="160">
        <f t="shared" ref="AB404:AB467" si="260">IMARGUMENT(Z404)</f>
        <v>0.68739472349988839</v>
      </c>
      <c r="AC404" s="171" t="str">
        <f t="shared" ref="AC404:AC467" si="261">(IMDIV(IMPRODUCT(P404,T404,W404),IMPRODUCT(Q404,Z404)))</f>
        <v>-0.289467978302262+0.0376978825165847i</v>
      </c>
      <c r="AD404" s="190">
        <f t="shared" ref="AD404:AD467" si="262">20*LOG(IMABS(AC404))</f>
        <v>-10.694949560298642</v>
      </c>
      <c r="AE404" s="169">
        <f t="shared" ref="AE404:AE467" si="263">(180/PI())*IMARGUMENT(AC404)</f>
        <v>172.58003820026994</v>
      </c>
      <c r="AF404" s="98" t="str">
        <f t="shared" si="249"/>
        <v>-0.0000816326530612245</v>
      </c>
      <c r="AG404" s="98" t="str">
        <f t="shared" si="250"/>
        <v>0.0106966486437889i</v>
      </c>
      <c r="AH404" s="98">
        <f t="shared" ref="AH404:AH467" si="264">IMABS(AG404)</f>
        <v>1.06966486437889E-2</v>
      </c>
      <c r="AI404" s="98">
        <f t="shared" ref="AI404:AI467" si="265">IMARGUMENT(AG404)</f>
        <v>1.5707963267948966</v>
      </c>
      <c r="AJ404" s="98" t="str">
        <f t="shared" si="251"/>
        <v>1+3.25983878089574i</v>
      </c>
      <c r="AK404" s="98">
        <f t="shared" ref="AK404:AK467" si="266">IMABS(AJ404)</f>
        <v>3.4097725550880695</v>
      </c>
      <c r="AL404" s="98">
        <f t="shared" ref="AL404:AL467" si="267">IMARGUMENT(AJ404)</f>
        <v>1.273145969866339</v>
      </c>
      <c r="AM404" s="98" t="str">
        <f t="shared" si="252"/>
        <v>1+51.0708075673668i</v>
      </c>
      <c r="AN404" s="98">
        <f t="shared" ref="AN404:AN467" si="268">IMABS(AM404)</f>
        <v>51.080596957974272</v>
      </c>
      <c r="AO404" s="98">
        <f t="shared" ref="AO404:AO467" si="269">IMARGUMENT(AM404)</f>
        <v>1.5512181709696888</v>
      </c>
      <c r="AP404" s="168" t="str">
        <f t="shared" ref="AP404:AP467" si="270">IMPRODUCT(AF404,IMDIV(AM404,IMPRODUCT(AG404,AJ404)))</f>
        <v>-0.031382887703725+0.109934764608568i</v>
      </c>
      <c r="AQ404" s="98">
        <f t="shared" ref="AQ404:AQ467" si="271">20*LOG(IMABS(AP404))</f>
        <v>-18.837065322767639</v>
      </c>
      <c r="AR404" s="169">
        <f t="shared" ref="AR404:AR467" si="272">(180/PI())*IMARGUMENT(AP404)</f>
        <v>105.93236352313502</v>
      </c>
      <c r="AS404" s="168" t="str">
        <f t="shared" ref="AS404:AS467" si="273">IMPRODUCT(AC404,AP404)</f>
        <v>0.004940033216182-0.0330056624700634i</v>
      </c>
      <c r="AT404" s="190">
        <f t="shared" ref="AT404:AT467" si="274">20*LOG(IMABS(AS404))</f>
        <v>-29.532014883066289</v>
      </c>
      <c r="AU404" s="169">
        <f t="shared" ref="AU404:AU467" si="275">(180/PI())*IMARGUMENT(AS404)</f>
        <v>-81.487598276595037</v>
      </c>
      <c r="AV404" s="225"/>
      <c r="AX404">
        <f t="shared" ref="AX404:AX467" si="276">SUM((AT405&lt;0)*(AT404&gt;0))*O404</f>
        <v>0</v>
      </c>
      <c r="AY404">
        <f t="shared" ref="AY404:AY467" si="277">IF(AX404&gt;0,AU404,0)</f>
        <v>0</v>
      </c>
    </row>
    <row r="405" spans="14:51" x14ac:dyDescent="0.25">
      <c r="N405" s="170">
        <v>87</v>
      </c>
      <c r="O405" s="199">
        <f t="shared" si="243"/>
        <v>74131.024130091857</v>
      </c>
      <c r="P405" s="189" t="str">
        <f t="shared" si="244"/>
        <v>18.0065359477124</v>
      </c>
      <c r="Q405" s="160" t="str">
        <f t="shared" si="245"/>
        <v>1+146.126733057371i</v>
      </c>
      <c r="R405" s="160">
        <f t="shared" si="253"/>
        <v>146.13015470470211</v>
      </c>
      <c r="S405" s="160">
        <f t="shared" si="254"/>
        <v>1.563953058838901</v>
      </c>
      <c r="T405" s="160" t="str">
        <f t="shared" si="246"/>
        <v>1+0.186311584648148i</v>
      </c>
      <c r="U405" s="160">
        <f t="shared" si="255"/>
        <v>1.0172079465743984</v>
      </c>
      <c r="V405" s="160">
        <f t="shared" si="256"/>
        <v>0.18419964924116916</v>
      </c>
      <c r="W405" s="98" t="str">
        <f t="shared" si="247"/>
        <v>1-2.63210271940596i</v>
      </c>
      <c r="X405" s="160">
        <f t="shared" si="257"/>
        <v>2.8156641712932049</v>
      </c>
      <c r="Y405" s="160">
        <f t="shared" si="258"/>
        <v>-1.2077153947326824</v>
      </c>
      <c r="Z405" s="98" t="str">
        <f t="shared" si="248"/>
        <v>0.93351490372989+0.786748762917405i</v>
      </c>
      <c r="AA405" s="160">
        <f t="shared" si="259"/>
        <v>1.2208291000127303</v>
      </c>
      <c r="AB405" s="160">
        <f t="shared" si="260"/>
        <v>0.70028819135716414</v>
      </c>
      <c r="AC405" s="171" t="str">
        <f t="shared" si="261"/>
        <v>-0.286002812827146+0.0421036754066122i</v>
      </c>
      <c r="AD405" s="190">
        <f t="shared" si="262"/>
        <v>-10.779478910708972</v>
      </c>
      <c r="AE405" s="169">
        <f t="shared" si="263"/>
        <v>171.62540008249036</v>
      </c>
      <c r="AF405" s="98" t="str">
        <f t="shared" si="249"/>
        <v>-0.0000816326530612245</v>
      </c>
      <c r="AG405" s="98" t="str">
        <f t="shared" si="250"/>
        <v>0.0109458055980787i</v>
      </c>
      <c r="AH405" s="98">
        <f t="shared" si="264"/>
        <v>1.0945805598078701E-2</v>
      </c>
      <c r="AI405" s="98">
        <f t="shared" si="265"/>
        <v>1.5707963267948966</v>
      </c>
      <c r="AJ405" s="98" t="str">
        <f t="shared" si="251"/>
        <v>1+3.33577018045565i</v>
      </c>
      <c r="AK405" s="98">
        <f t="shared" si="266"/>
        <v>3.4824363162615217</v>
      </c>
      <c r="AL405" s="98">
        <f t="shared" si="267"/>
        <v>1.2795406050170512</v>
      </c>
      <c r="AM405" s="98" t="str">
        <f t="shared" si="252"/>
        <v>1+52.2603994938054i</v>
      </c>
      <c r="AN405" s="98">
        <f t="shared" si="268"/>
        <v>52.269966091935963</v>
      </c>
      <c r="AO405" s="98">
        <f t="shared" si="269"/>
        <v>1.5516637141904777</v>
      </c>
      <c r="AP405" s="168" t="str">
        <f t="shared" si="270"/>
        <v>-0.0300868941520214+0.107820857893222i</v>
      </c>
      <c r="AQ405" s="98">
        <f t="shared" si="271"/>
        <v>-19.020295682724214</v>
      </c>
      <c r="AR405" s="169">
        <f t="shared" si="272"/>
        <v>105.59150566361501</v>
      </c>
      <c r="AS405" s="168" t="str">
        <f t="shared" si="273"/>
        <v>0.00406528195391205-0.0321038374642673i</v>
      </c>
      <c r="AT405" s="190">
        <f t="shared" si="274"/>
        <v>-29.799774593433185</v>
      </c>
      <c r="AU405" s="169">
        <f t="shared" si="275"/>
        <v>-82.783094253894632</v>
      </c>
      <c r="AV405" s="225"/>
      <c r="AX405">
        <f t="shared" si="276"/>
        <v>0</v>
      </c>
      <c r="AY405">
        <f t="shared" si="277"/>
        <v>0</v>
      </c>
    </row>
    <row r="406" spans="14:51" x14ac:dyDescent="0.25">
      <c r="N406" s="170">
        <v>88</v>
      </c>
      <c r="O406" s="199">
        <f t="shared" si="243"/>
        <v>75857.757502918481</v>
      </c>
      <c r="P406" s="189" t="str">
        <f t="shared" si="244"/>
        <v>18.0065359477124</v>
      </c>
      <c r="Q406" s="160" t="str">
        <f t="shared" si="245"/>
        <v>1+149.530461922488i</v>
      </c>
      <c r="R406" s="160">
        <f t="shared" si="253"/>
        <v>149.53380568537881</v>
      </c>
      <c r="S406" s="160">
        <f t="shared" si="254"/>
        <v>1.5641088259369242</v>
      </c>
      <c r="T406" s="160" t="str">
        <f t="shared" si="246"/>
        <v>1+0.190651338951172i</v>
      </c>
      <c r="U406" s="160">
        <f t="shared" si="255"/>
        <v>1.0180117548652741</v>
      </c>
      <c r="V406" s="160">
        <f t="shared" si="256"/>
        <v>0.18839051622416464</v>
      </c>
      <c r="W406" s="98" t="str">
        <f t="shared" si="247"/>
        <v>1-2.69341226773123i</v>
      </c>
      <c r="X406" s="160">
        <f t="shared" si="257"/>
        <v>2.8730592830578852</v>
      </c>
      <c r="Y406" s="160">
        <f t="shared" si="258"/>
        <v>-1.2152943061727681</v>
      </c>
      <c r="Z406" s="98" t="str">
        <f t="shared" si="248"/>
        <v>0.930381557675656+0.805074495778931i</v>
      </c>
      <c r="AA406" s="160">
        <f t="shared" si="259"/>
        <v>1.2303474251676558</v>
      </c>
      <c r="AB406" s="160">
        <f t="shared" si="260"/>
        <v>0.71331913825070214</v>
      </c>
      <c r="AC406" s="171" t="str">
        <f t="shared" si="261"/>
        <v>-0.28247752884922+0.0463803093154744i</v>
      </c>
      <c r="AD406" s="190">
        <f t="shared" si="262"/>
        <v>-10.86479197175527</v>
      </c>
      <c r="AE406" s="169">
        <f t="shared" si="263"/>
        <v>170.67573637693411</v>
      </c>
      <c r="AF406" s="98" t="str">
        <f t="shared" si="249"/>
        <v>-0.0000816326530612245</v>
      </c>
      <c r="AG406" s="98" t="str">
        <f t="shared" si="250"/>
        <v>0.0112007661633813i</v>
      </c>
      <c r="AH406" s="98">
        <f t="shared" si="264"/>
        <v>1.1200766163381301E-2</v>
      </c>
      <c r="AI406" s="98">
        <f t="shared" si="265"/>
        <v>1.5707963267948966</v>
      </c>
      <c r="AJ406" s="98" t="str">
        <f t="shared" si="251"/>
        <v>1+3.41347024951937i</v>
      </c>
      <c r="AK406" s="98">
        <f t="shared" si="266"/>
        <v>3.5569339527680053</v>
      </c>
      <c r="AL406" s="98">
        <f t="shared" si="267"/>
        <v>1.2858134603066762</v>
      </c>
      <c r="AM406" s="98" t="str">
        <f t="shared" si="252"/>
        <v>1+53.4777005758036i</v>
      </c>
      <c r="AN406" s="98">
        <f t="shared" si="268"/>
        <v>53.487049450080022</v>
      </c>
      <c r="AO406" s="98">
        <f t="shared" si="269"/>
        <v>1.5520991229502845</v>
      </c>
      <c r="AP406" s="168" t="str">
        <f t="shared" si="270"/>
        <v>-0.0288397919090412+0.10573190285902i</v>
      </c>
      <c r="AQ406" s="98">
        <f t="shared" si="271"/>
        <v>-19.204219582866287</v>
      </c>
      <c r="AR406" s="169">
        <f t="shared" si="272"/>
        <v>105.25704461432322</v>
      </c>
      <c r="AS406" s="168" t="str">
        <f t="shared" si="273"/>
        <v>0.00324271479187665-0.031204485109477i</v>
      </c>
      <c r="AT406" s="190">
        <f t="shared" si="274"/>
        <v>-30.069011554621557</v>
      </c>
      <c r="AU406" s="169">
        <f t="shared" si="275"/>
        <v>-84.067219008742683</v>
      </c>
      <c r="AV406" s="225"/>
      <c r="AX406">
        <f t="shared" si="276"/>
        <v>0</v>
      </c>
      <c r="AY406">
        <f t="shared" si="277"/>
        <v>0</v>
      </c>
    </row>
    <row r="407" spans="14:51" x14ac:dyDescent="0.25">
      <c r="N407" s="170">
        <v>89</v>
      </c>
      <c r="O407" s="199">
        <f t="shared" si="243"/>
        <v>77624.711662869129</v>
      </c>
      <c r="P407" s="189" t="str">
        <f t="shared" si="244"/>
        <v>18.0065359477124</v>
      </c>
      <c r="Q407" s="160" t="str">
        <f t="shared" si="245"/>
        <v>1+153.013473817785i</v>
      </c>
      <c r="R407" s="160">
        <f t="shared" si="253"/>
        <v>153.01674146898429</v>
      </c>
      <c r="S407" s="160">
        <f t="shared" si="254"/>
        <v>1.5642610476564998</v>
      </c>
      <c r="T407" s="160" t="str">
        <f t="shared" si="246"/>
        <v>1+0.195092179117676i</v>
      </c>
      <c r="U407" s="160">
        <f t="shared" si="255"/>
        <v>1.0188527657875222</v>
      </c>
      <c r="V407" s="160">
        <f t="shared" si="256"/>
        <v>0.19267207832814859</v>
      </c>
      <c r="W407" s="98" t="str">
        <f t="shared" si="247"/>
        <v>1-2.75614989889237i</v>
      </c>
      <c r="X407" s="160">
        <f t="shared" si="257"/>
        <v>2.9319553654795669</v>
      </c>
      <c r="Y407" s="160">
        <f t="shared" si="258"/>
        <v>-1.2227421436271126</v>
      </c>
      <c r="Z407" s="98" t="str">
        <f t="shared" si="248"/>
        <v>0.927100541571344+0.823827089794541i</v>
      </c>
      <c r="AA407" s="160">
        <f t="shared" si="259"/>
        <v>1.240244527527222</v>
      </c>
      <c r="AB407" s="160">
        <f t="shared" si="260"/>
        <v>0.72648428242819496</v>
      </c>
      <c r="AC407" s="171" t="str">
        <f t="shared" si="261"/>
        <v>-0.27889458533771+0.0505263968779286i</v>
      </c>
      <c r="AD407" s="190">
        <f t="shared" si="262"/>
        <v>-10.950946261703455</v>
      </c>
      <c r="AE407" s="169">
        <f t="shared" si="263"/>
        <v>169.73129330244853</v>
      </c>
      <c r="AF407" s="98" t="str">
        <f t="shared" si="249"/>
        <v>-0.0000816326530612245</v>
      </c>
      <c r="AG407" s="98" t="str">
        <f t="shared" si="250"/>
        <v>0.0114616655231635i</v>
      </c>
      <c r="AH407" s="98">
        <f t="shared" si="264"/>
        <v>1.14616655231635E-2</v>
      </c>
      <c r="AI407" s="98">
        <f t="shared" si="265"/>
        <v>1.5707963267948966</v>
      </c>
      <c r="AJ407" s="98" t="str">
        <f t="shared" si="251"/>
        <v>1+3.492980185692i</v>
      </c>
      <c r="AK407" s="98">
        <f t="shared" si="266"/>
        <v>3.6333057368788717</v>
      </c>
      <c r="AL407" s="98">
        <f t="shared" si="267"/>
        <v>1.2919658863101808</v>
      </c>
      <c r="AM407" s="98" t="str">
        <f t="shared" si="252"/>
        <v>1+54.7233562425082i</v>
      </c>
      <c r="AN407" s="98">
        <f t="shared" si="268"/>
        <v>54.732492346360964</v>
      </c>
      <c r="AO407" s="98">
        <f t="shared" si="269"/>
        <v>1.5525246274478572</v>
      </c>
      <c r="AP407" s="168" t="str">
        <f t="shared" si="270"/>
        <v>-0.0276401143433567+0.103668604787199i</v>
      </c>
      <c r="AQ407" s="98">
        <f t="shared" si="271"/>
        <v>-19.388810778287507</v>
      </c>
      <c r="AR407" s="169">
        <f t="shared" si="272"/>
        <v>104.92891618243061</v>
      </c>
      <c r="AS407" s="168" t="str">
        <f t="shared" si="273"/>
        <v>0.00247067715921821-0.0303091679317286i</v>
      </c>
      <c r="AT407" s="190">
        <f t="shared" si="274"/>
        <v>-30.339757039990953</v>
      </c>
      <c r="AU407" s="169">
        <f t="shared" si="275"/>
        <v>-85.339790515120868</v>
      </c>
      <c r="AV407" s="225"/>
      <c r="AX407">
        <f t="shared" si="276"/>
        <v>0</v>
      </c>
      <c r="AY407">
        <f t="shared" si="277"/>
        <v>0</v>
      </c>
    </row>
    <row r="408" spans="14:51" x14ac:dyDescent="0.25">
      <c r="N408" s="170">
        <v>90</v>
      </c>
      <c r="O408" s="199">
        <f t="shared" si="243"/>
        <v>79432.823472428237</v>
      </c>
      <c r="P408" s="189" t="str">
        <f t="shared" si="244"/>
        <v>18.0065359477124</v>
      </c>
      <c r="Q408" s="160" t="str">
        <f t="shared" si="245"/>
        <v>1+156.577615482275i</v>
      </c>
      <c r="R408" s="160">
        <f t="shared" si="253"/>
        <v>156.58080875418665</v>
      </c>
      <c r="S408" s="160">
        <f t="shared" si="254"/>
        <v>1.5644098046793649</v>
      </c>
      <c r="T408" s="160" t="str">
        <f t="shared" si="246"/>
        <v>1+0.1996364597399i</v>
      </c>
      <c r="U408" s="160">
        <f t="shared" si="255"/>
        <v>1.0197326689174377</v>
      </c>
      <c r="V408" s="160">
        <f t="shared" si="256"/>
        <v>0.19704597748185781</v>
      </c>
      <c r="W408" s="98" t="str">
        <f t="shared" si="247"/>
        <v>1-2.82034887721188i</v>
      </c>
      <c r="X408" s="160">
        <f t="shared" si="257"/>
        <v>2.9923849667431348</v>
      </c>
      <c r="Y408" s="160">
        <f t="shared" si="258"/>
        <v>-1.2300595499869935</v>
      </c>
      <c r="Z408" s="98" t="str">
        <f t="shared" si="248"/>
        <v>0.923664895941905+0.843016487837803i</v>
      </c>
      <c r="AA408" s="160">
        <f t="shared" si="259"/>
        <v>1.2505333417233444</v>
      </c>
      <c r="AB408" s="160">
        <f t="shared" si="260"/>
        <v>0.73978017141720609</v>
      </c>
      <c r="AC408" s="171" t="str">
        <f t="shared" si="261"/>
        <v>-0.275256629394605+0.0545406171644772i</v>
      </c>
      <c r="AD408" s="190">
        <f t="shared" si="262"/>
        <v>-11.037996755135417</v>
      </c>
      <c r="AE408" s="169">
        <f t="shared" si="263"/>
        <v>168.79232128904061</v>
      </c>
      <c r="AF408" s="98" t="str">
        <f t="shared" si="249"/>
        <v>-0.0000816326530612245</v>
      </c>
      <c r="AG408" s="98" t="str">
        <f t="shared" si="250"/>
        <v>0.0117286420097191i</v>
      </c>
      <c r="AH408" s="98">
        <f t="shared" si="264"/>
        <v>1.17286420097191E-2</v>
      </c>
      <c r="AI408" s="98">
        <f t="shared" si="265"/>
        <v>1.5707963267948966</v>
      </c>
      <c r="AJ408" s="98" t="str">
        <f t="shared" si="251"/>
        <v>1+3.57434214619416i</v>
      </c>
      <c r="AK408" s="98">
        <f t="shared" si="266"/>
        <v>3.7115928895906505</v>
      </c>
      <c r="AL408" s="98">
        <f t="shared" si="267"/>
        <v>1.2979992813377474</v>
      </c>
      <c r="AM408" s="98" t="str">
        <f t="shared" si="252"/>
        <v>1+55.9980269570421i</v>
      </c>
      <c r="AN408" s="98">
        <f t="shared" si="268"/>
        <v>56.006955131319309</v>
      </c>
      <c r="AO408" s="98">
        <f t="shared" si="269"/>
        <v>1.5529404526746446</v>
      </c>
      <c r="AP408" s="168" t="str">
        <f t="shared" si="270"/>
        <v>-0.0264864074927768+0.101631593840953i</v>
      </c>
      <c r="AQ408" s="98">
        <f t="shared" si="271"/>
        <v>-19.574043817843318</v>
      </c>
      <c r="AR408" s="169">
        <f t="shared" si="272"/>
        <v>104.60705314172567</v>
      </c>
      <c r="AS408" s="168" t="str">
        <f t="shared" si="273"/>
        <v>0.0017475093997387-0.0294193549717881i</v>
      </c>
      <c r="AT408" s="190">
        <f t="shared" si="274"/>
        <v>-30.612040572978731</v>
      </c>
      <c r="AU408" s="169">
        <f t="shared" si="275"/>
        <v>-86.600625569233685</v>
      </c>
      <c r="AV408" s="225"/>
      <c r="AX408">
        <f t="shared" si="276"/>
        <v>0</v>
      </c>
      <c r="AY408">
        <f t="shared" si="277"/>
        <v>0</v>
      </c>
    </row>
    <row r="409" spans="14:51" x14ac:dyDescent="0.25">
      <c r="N409" s="170">
        <v>91</v>
      </c>
      <c r="O409" s="199">
        <f t="shared" si="243"/>
        <v>81283.051616410012</v>
      </c>
      <c r="P409" s="189" t="str">
        <f t="shared" si="244"/>
        <v>18.0065359477124</v>
      </c>
      <c r="Q409" s="160" t="str">
        <f t="shared" si="245"/>
        <v>1+160.224776671042i</v>
      </c>
      <c r="R409" s="160">
        <f t="shared" si="253"/>
        <v>160.22789725664282</v>
      </c>
      <c r="S409" s="160">
        <f t="shared" si="254"/>
        <v>1.5645551758521121</v>
      </c>
      <c r="T409" s="160" t="str">
        <f t="shared" si="246"/>
        <v>1+0.204286590255579i</v>
      </c>
      <c r="U409" s="160">
        <f t="shared" si="255"/>
        <v>1.0206532275745033</v>
      </c>
      <c r="V409" s="160">
        <f t="shared" si="256"/>
        <v>0.20151386304772179</v>
      </c>
      <c r="W409" s="98" t="str">
        <f t="shared" si="247"/>
        <v>1-2.88604324183781i</v>
      </c>
      <c r="X409" s="160">
        <f t="shared" si="257"/>
        <v>3.0543813766060217</v>
      </c>
      <c r="Y409" s="160">
        <f t="shared" si="258"/>
        <v>-1.2372472696258994</v>
      </c>
      <c r="Z409" s="98" t="str">
        <f t="shared" si="248"/>
        <v>0.920067333322332+0.862652864381557i</v>
      </c>
      <c r="AA409" s="160">
        <f t="shared" si="259"/>
        <v>1.2612271255696066</v>
      </c>
      <c r="AB409" s="160">
        <f t="shared" si="260"/>
        <v>0.75320318931696151</v>
      </c>
      <c r="AC409" s="171" t="str">
        <f t="shared" si="261"/>
        <v>-0.27156649155207+0.0584217314307334i</v>
      </c>
      <c r="AD409" s="190">
        <f t="shared" si="262"/>
        <v>-11.125995745538653</v>
      </c>
      <c r="AE409" s="169">
        <f t="shared" si="263"/>
        <v>167.85907484703372</v>
      </c>
      <c r="AF409" s="98" t="str">
        <f t="shared" si="249"/>
        <v>-0.0000816326530612245</v>
      </c>
      <c r="AG409" s="98" t="str">
        <f t="shared" si="250"/>
        <v>0.0120018371775153i</v>
      </c>
      <c r="AH409" s="98">
        <f t="shared" si="264"/>
        <v>1.2001837177515301E-2</v>
      </c>
      <c r="AI409" s="98">
        <f t="shared" si="265"/>
        <v>1.5707963267948966</v>
      </c>
      <c r="AJ409" s="98" t="str">
        <f t="shared" si="251"/>
        <v>1+3.65759927021423i</v>
      </c>
      <c r="AK409" s="98">
        <f t="shared" si="266"/>
        <v>3.7918376048390661</v>
      </c>
      <c r="AL409" s="98">
        <f t="shared" si="267"/>
        <v>1.303915086671704</v>
      </c>
      <c r="AM409" s="98" t="str">
        <f t="shared" si="252"/>
        <v>1+57.3023885666899i</v>
      </c>
      <c r="AN409" s="98">
        <f t="shared" si="268"/>
        <v>57.311113542208481</v>
      </c>
      <c r="AO409" s="98">
        <f t="shared" si="269"/>
        <v>1.5533468185311512</v>
      </c>
      <c r="AP409" s="168" t="str">
        <f t="shared" si="270"/>
        <v>-0.0253772329277418+0.0996214284005731i</v>
      </c>
      <c r="AQ409" s="98">
        <f t="shared" si="271"/>
        <v>-19.759894036714133</v>
      </c>
      <c r="AR409" s="169">
        <f t="shared" si="272"/>
        <v>104.29138551218513</v>
      </c>
      <c r="AS409" s="168" t="str">
        <f t="shared" si="273"/>
        <v>0.00107154977672219-0.0285364236807091i</v>
      </c>
      <c r="AT409" s="190">
        <f t="shared" si="274"/>
        <v>-30.885889782252782</v>
      </c>
      <c r="AU409" s="169">
        <f t="shared" si="275"/>
        <v>-87.849539640781146</v>
      </c>
      <c r="AV409" s="225"/>
      <c r="AX409">
        <f t="shared" si="276"/>
        <v>0</v>
      </c>
      <c r="AY409">
        <f t="shared" si="277"/>
        <v>0</v>
      </c>
    </row>
    <row r="410" spans="14:51" x14ac:dyDescent="0.25">
      <c r="N410" s="170">
        <v>92</v>
      </c>
      <c r="O410" s="199">
        <f t="shared" si="243"/>
        <v>83176.377110267174</v>
      </c>
      <c r="P410" s="189" t="str">
        <f t="shared" si="244"/>
        <v>18.0065359477124</v>
      </c>
      <c r="Q410" s="160" t="str">
        <f t="shared" si="245"/>
        <v>1+163.956891157226i</v>
      </c>
      <c r="R410" s="160">
        <f t="shared" si="253"/>
        <v>163.95994071096285</v>
      </c>
      <c r="S410" s="160">
        <f t="shared" si="254"/>
        <v>1.5646972382278708</v>
      </c>
      <c r="T410" s="160" t="str">
        <f t="shared" si="246"/>
        <v>1+0.209045036225464i</v>
      </c>
      <c r="U410" s="160">
        <f t="shared" si="255"/>
        <v>1.0216162817665475</v>
      </c>
      <c r="V410" s="160">
        <f t="shared" si="256"/>
        <v>0.20607739011566681</v>
      </c>
      <c r="W410" s="98" t="str">
        <f t="shared" si="247"/>
        <v>1-2.95326782479186i</v>
      </c>
      <c r="X410" s="160">
        <f t="shared" si="257"/>
        <v>3.1179786472891124</v>
      </c>
      <c r="Y410" s="160">
        <f t="shared" si="258"/>
        <v>-1.2443061418978065</v>
      </c>
      <c r="Z410" s="98" t="str">
        <f t="shared" si="248"/>
        <v>0.916300222799977+0.882746630892567i</v>
      </c>
      <c r="AA410" s="160">
        <f t="shared" si="259"/>
        <v>1.2723394643944144</v>
      </c>
      <c r="AB410" s="160">
        <f t="shared" si="260"/>
        <v>0.76674956505678504</v>
      </c>
      <c r="AC410" s="171" t="str">
        <f t="shared" si="261"/>
        <v>-0.267827179706708+0.0621685986464892i</v>
      </c>
      <c r="AD410" s="190">
        <f t="shared" si="262"/>
        <v>-11.214992714670807</v>
      </c>
      <c r="AE410" s="169">
        <f t="shared" si="263"/>
        <v>166.93181236626944</v>
      </c>
      <c r="AF410" s="98" t="str">
        <f t="shared" si="249"/>
        <v>-0.0000816326530612245</v>
      </c>
      <c r="AG410" s="98" t="str">
        <f t="shared" si="250"/>
        <v>0.012281395878246i</v>
      </c>
      <c r="AH410" s="98">
        <f t="shared" si="264"/>
        <v>1.2281395878246001E-2</v>
      </c>
      <c r="AI410" s="98">
        <f t="shared" si="265"/>
        <v>1.5707963267948966</v>
      </c>
      <c r="AJ410" s="98" t="str">
        <f t="shared" si="251"/>
        <v>1+3.74279570178143i</v>
      </c>
      <c r="AK410" s="98">
        <f t="shared" si="266"/>
        <v>3.874083074131677</v>
      </c>
      <c r="AL410" s="98">
        <f t="shared" si="267"/>
        <v>1.3097147820170363</v>
      </c>
      <c r="AM410" s="98" t="str">
        <f t="shared" si="252"/>
        <v>1+58.6371326612425i</v>
      </c>
      <c r="AN410" s="98">
        <f t="shared" si="268"/>
        <v>58.64565906128221</v>
      </c>
      <c r="AO410" s="98">
        <f t="shared" si="269"/>
        <v>1.5537439399407891</v>
      </c>
      <c r="AP410" s="168" t="str">
        <f t="shared" si="270"/>
        <v>-0.0243111703179196+0.0976385984015959i</v>
      </c>
      <c r="AQ410" s="98">
        <f t="shared" si="271"/>
        <v>-19.946337547466143</v>
      </c>
      <c r="AR410" s="169">
        <f t="shared" si="272"/>
        <v>103.98184082716254</v>
      </c>
      <c r="AS410" s="168" t="str">
        <f t="shared" si="273"/>
        <v>0.00044113734518328-0.0276616618305365i</v>
      </c>
      <c r="AT410" s="190">
        <f t="shared" si="274"/>
        <v>-31.16133026213695</v>
      </c>
      <c r="AU410" s="169">
        <f t="shared" si="275"/>
        <v>-89.086346806568045</v>
      </c>
      <c r="AV410" s="225"/>
      <c r="AX410">
        <f t="shared" si="276"/>
        <v>0</v>
      </c>
      <c r="AY410">
        <f t="shared" si="277"/>
        <v>0</v>
      </c>
    </row>
    <row r="411" spans="14:51" x14ac:dyDescent="0.25">
      <c r="N411" s="170">
        <v>93</v>
      </c>
      <c r="O411" s="199">
        <f t="shared" si="243"/>
        <v>85113.803820237721</v>
      </c>
      <c r="P411" s="189" t="str">
        <f t="shared" si="244"/>
        <v>18.0065359477124</v>
      </c>
      <c r="Q411" s="160" t="str">
        <f t="shared" si="245"/>
        <v>1+167.775937757328i</v>
      </c>
      <c r="R411" s="160">
        <f t="shared" si="253"/>
        <v>167.77891789599428</v>
      </c>
      <c r="S411" s="160">
        <f t="shared" si="254"/>
        <v>1.5648360671070434</v>
      </c>
      <c r="T411" s="160" t="str">
        <f t="shared" si="246"/>
        <v>1+0.213914320640593i</v>
      </c>
      <c r="U411" s="160">
        <f t="shared" si="255"/>
        <v>1.0226237512277554</v>
      </c>
      <c r="V411" s="160">
        <f t="shared" si="256"/>
        <v>0.21073821765852341</v>
      </c>
      <c r="W411" s="98" t="str">
        <f t="shared" si="247"/>
        <v>1-3.02205826943773i</v>
      </c>
      <c r="X411" s="160">
        <f t="shared" si="257"/>
        <v>3.1832116146868037</v>
      </c>
      <c r="Y411" s="160">
        <f t="shared" si="258"/>
        <v>-1.2512370947774709</v>
      </c>
      <c r="Z411" s="98" t="str">
        <f t="shared" si="248"/>
        <v>0.912355573828357+0.903308441351809i</v>
      </c>
      <c r="AA411" s="160">
        <f t="shared" si="259"/>
        <v>1.2838842756701652</v>
      </c>
      <c r="AB411" s="160">
        <f t="shared" si="260"/>
        <v>0.78041538160171342</v>
      </c>
      <c r="AC411" s="171" t="str">
        <f t="shared" si="261"/>
        <v>-0.2640418716911+0.065780190665775i</v>
      </c>
      <c r="AD411" s="190">
        <f t="shared" si="262"/>
        <v>-11.305034209319597</v>
      </c>
      <c r="AE411" s="169">
        <f t="shared" si="263"/>
        <v>166.01079584502907</v>
      </c>
      <c r="AF411" s="98" t="str">
        <f t="shared" si="249"/>
        <v>-0.0000816326530612245</v>
      </c>
      <c r="AG411" s="98" t="str">
        <f t="shared" si="250"/>
        <v>0.0125674663376349i</v>
      </c>
      <c r="AH411" s="98">
        <f t="shared" si="264"/>
        <v>1.25674663376349E-2</v>
      </c>
      <c r="AI411" s="98">
        <f t="shared" si="265"/>
        <v>1.5707963267948966</v>
      </c>
      <c r="AJ411" s="98" t="str">
        <f t="shared" si="251"/>
        <v>1+3.82997661317146i</v>
      </c>
      <c r="AK411" s="98">
        <f t="shared" si="266"/>
        <v>3.9583735116131127</v>
      </c>
      <c r="AL411" s="98">
        <f t="shared" si="267"/>
        <v>1.3153998811650105</v>
      </c>
      <c r="AM411" s="98" t="str">
        <f t="shared" si="252"/>
        <v>1+60.0029669396864i</v>
      </c>
      <c r="AN411" s="98">
        <f t="shared" si="268"/>
        <v>60.011299282427629</v>
      </c>
      <c r="AO411" s="98">
        <f t="shared" si="269"/>
        <v>1.5541320269612731</v>
      </c>
      <c r="AP411" s="168" t="str">
        <f t="shared" si="270"/>
        <v>-0.0232868197169426+0.0956835286581494i</v>
      </c>
      <c r="AQ411" s="98">
        <f t="shared" si="271"/>
        <v>-20.133351229771527</v>
      </c>
      <c r="AR411" s="169">
        <f t="shared" si="272"/>
        <v>103.67834438822774</v>
      </c>
      <c r="AS411" s="168" t="str">
        <f t="shared" si="273"/>
        <v>-0.000145385294912479-0.0267962694378868i</v>
      </c>
      <c r="AT411" s="190">
        <f t="shared" si="274"/>
        <v>-31.438385439091117</v>
      </c>
      <c r="AU411" s="169">
        <f t="shared" si="275"/>
        <v>-90.31085976674315</v>
      </c>
      <c r="AV411" s="225"/>
      <c r="AX411">
        <f t="shared" si="276"/>
        <v>0</v>
      </c>
      <c r="AY411">
        <f t="shared" si="277"/>
        <v>0</v>
      </c>
    </row>
    <row r="412" spans="14:51" x14ac:dyDescent="0.25">
      <c r="N412" s="170">
        <v>94</v>
      </c>
      <c r="O412" s="199">
        <f t="shared" si="243"/>
        <v>87096.358995608127</v>
      </c>
      <c r="P412" s="189" t="str">
        <f t="shared" si="244"/>
        <v>18.0065359477124</v>
      </c>
      <c r="Q412" s="160" t="str">
        <f t="shared" si="245"/>
        <v>1+171.683941380406i</v>
      </c>
      <c r="R412" s="160">
        <f t="shared" si="253"/>
        <v>171.68685368399844</v>
      </c>
      <c r="S412" s="160">
        <f t="shared" si="254"/>
        <v>1.5649717360771211</v>
      </c>
      <c r="T412" s="160" t="str">
        <f t="shared" si="246"/>
        <v>1+0.218897025260018i</v>
      </c>
      <c r="U412" s="160">
        <f t="shared" si="255"/>
        <v>1.0236776385501858</v>
      </c>
      <c r="V412" s="160">
        <f t="shared" si="256"/>
        <v>0.21549800654252166</v>
      </c>
      <c r="W412" s="98" t="str">
        <f t="shared" si="247"/>
        <v>1-3.09245104937974i</v>
      </c>
      <c r="X412" s="160">
        <f t="shared" si="257"/>
        <v>3.2501159199034508</v>
      </c>
      <c r="Y412" s="160">
        <f t="shared" si="258"/>
        <v>-1.2580411386589143</v>
      </c>
      <c r="Z412" s="98" t="str">
        <f t="shared" si="248"/>
        <v>0.908225019278132+0.924349197903357i</v>
      </c>
      <c r="AA412" s="160">
        <f t="shared" si="259"/>
        <v>1.2958758139989119</v>
      </c>
      <c r="AB412" s="160">
        <f t="shared" si="260"/>
        <v>0.79419658607648846</v>
      </c>
      <c r="AC412" s="171" t="str">
        <f t="shared" si="261"/>
        <v>-0.260213906498893+0.0692556068970479i</v>
      </c>
      <c r="AD412" s="190">
        <f t="shared" si="262"/>
        <v>-11.396163726082911</v>
      </c>
      <c r="AE412" s="169">
        <f t="shared" si="263"/>
        <v>165.09629054901927</v>
      </c>
      <c r="AF412" s="98" t="str">
        <f t="shared" si="249"/>
        <v>-0.0000816326530612245</v>
      </c>
      <c r="AG412" s="98" t="str">
        <f t="shared" si="250"/>
        <v>0.012860200234026i</v>
      </c>
      <c r="AH412" s="98">
        <f t="shared" si="264"/>
        <v>1.2860200234026E-2</v>
      </c>
      <c r="AI412" s="98">
        <f t="shared" si="265"/>
        <v>1.5707963267948966</v>
      </c>
      <c r="AJ412" s="98" t="str">
        <f t="shared" si="251"/>
        <v>1+3.91918822885753i</v>
      </c>
      <c r="AK412" s="98">
        <f t="shared" si="266"/>
        <v>4.0447541795782129</v>
      </c>
      <c r="AL412" s="98">
        <f t="shared" si="267"/>
        <v>1.3209719278684218</v>
      </c>
      <c r="AM412" s="98" t="str">
        <f t="shared" si="252"/>
        <v>1+61.4006155854349i</v>
      </c>
      <c r="AN412" s="98">
        <f t="shared" si="268"/>
        <v>61.408758286341786</v>
      </c>
      <c r="AO412" s="98">
        <f t="shared" si="269"/>
        <v>1.5545112848936071</v>
      </c>
      <c r="AP412" s="168" t="str">
        <f t="shared" si="270"/>
        <v>-0.0223028035805399+0.093756582155778i</v>
      </c>
      <c r="AQ412" s="98">
        <f t="shared" si="271"/>
        <v>-20.320912718936736</v>
      </c>
      <c r="AR412" s="169">
        <f t="shared" si="272"/>
        <v>103.380819507742</v>
      </c>
      <c r="AS412" s="168" t="str">
        <f t="shared" si="273"/>
        <v>-0.000689669352221553-0.0259413607002153i</v>
      </c>
      <c r="AT412" s="190">
        <f t="shared" si="274"/>
        <v>-31.717076445019664</v>
      </c>
      <c r="AU412" s="169">
        <f t="shared" si="275"/>
        <v>-91.522889943238695</v>
      </c>
      <c r="AV412" s="225"/>
      <c r="AX412">
        <f t="shared" si="276"/>
        <v>0</v>
      </c>
      <c r="AY412">
        <f t="shared" si="277"/>
        <v>0</v>
      </c>
    </row>
    <row r="413" spans="14:51" x14ac:dyDescent="0.25">
      <c r="N413" s="170">
        <v>95</v>
      </c>
      <c r="O413" s="199">
        <f t="shared" si="243"/>
        <v>89125.093813374609</v>
      </c>
      <c r="P413" s="189" t="str">
        <f t="shared" si="244"/>
        <v>18.0065359477124</v>
      </c>
      <c r="Q413" s="160" t="str">
        <f t="shared" si="245"/>
        <v>1+175.682974101709i</v>
      </c>
      <c r="R413" s="160">
        <f t="shared" si="253"/>
        <v>175.68582011426466</v>
      </c>
      <c r="S413" s="160">
        <f t="shared" si="254"/>
        <v>1.5651043170515995</v>
      </c>
      <c r="T413" s="160" t="str">
        <f t="shared" si="246"/>
        <v>1+0.223995791979679i</v>
      </c>
      <c r="U413" s="160">
        <f t="shared" si="255"/>
        <v>1.0247800324092013</v>
      </c>
      <c r="V413" s="160">
        <f t="shared" si="256"/>
        <v>0.22035841738630374</v>
      </c>
      <c r="W413" s="98" t="str">
        <f t="shared" si="247"/>
        <v>1-3.16448348780155i</v>
      </c>
      <c r="X413" s="160">
        <f t="shared" si="257"/>
        <v>3.3187280311240728</v>
      </c>
      <c r="Y413" s="160">
        <f t="shared" si="258"/>
        <v>-1.2647193603258398</v>
      </c>
      <c r="Z413" s="98" t="str">
        <f t="shared" si="248"/>
        <v>0.903899797689312+0.945880056634842i</v>
      </c>
      <c r="AA413" s="160">
        <f t="shared" si="259"/>
        <v>1.3083286765191349</v>
      </c>
      <c r="AB413" s="160">
        <f t="shared" si="260"/>
        <v>0.80808900076965595</v>
      </c>
      <c r="AC413" s="171" t="str">
        <f t="shared" si="261"/>
        <v>-0.256346774196354+0.0725940883325052i</v>
      </c>
      <c r="AD413" s="190">
        <f t="shared" si="262"/>
        <v>-11.488421604782346</v>
      </c>
      <c r="AE413" s="169">
        <f t="shared" si="263"/>
        <v>164.18856460145454</v>
      </c>
      <c r="AF413" s="98" t="str">
        <f t="shared" si="249"/>
        <v>-0.0000816326530612245</v>
      </c>
      <c r="AG413" s="98" t="str">
        <f t="shared" si="250"/>
        <v>0.0131597527788061i</v>
      </c>
      <c r="AH413" s="98">
        <f t="shared" si="264"/>
        <v>1.31597527788061E-2</v>
      </c>
      <c r="AI413" s="98">
        <f t="shared" si="265"/>
        <v>1.5707963267948966</v>
      </c>
      <c r="AJ413" s="98" t="str">
        <f t="shared" si="251"/>
        <v>1+4.01047785001913i</v>
      </c>
      <c r="AK413" s="98">
        <f t="shared" si="266"/>
        <v>4.1332714144481324</v>
      </c>
      <c r="AL413" s="98">
        <f t="shared" si="267"/>
        <v>1.3264324919260191</v>
      </c>
      <c r="AM413" s="98" t="str">
        <f t="shared" si="252"/>
        <v>1+62.8308196503i</v>
      </c>
      <c r="AN413" s="98">
        <f t="shared" si="268"/>
        <v>62.83877702444984</v>
      </c>
      <c r="AO413" s="98">
        <f t="shared" si="269"/>
        <v>1.5548819143887074</v>
      </c>
      <c r="AP413" s="168" t="str">
        <f t="shared" si="270"/>
        <v>-0.0213577685334656+0.0918580632999021i</v>
      </c>
      <c r="AQ413" s="98">
        <f t="shared" si="271"/>
        <v>-20.509000393382564</v>
      </c>
      <c r="AR413" s="169">
        <f t="shared" si="272"/>
        <v>103.0891877393132</v>
      </c>
      <c r="AS413" s="168" t="str">
        <f t="shared" si="273"/>
        <v>-0.00119335729365965-0.025097965946358i</v>
      </c>
      <c r="AT413" s="190">
        <f t="shared" si="274"/>
        <v>-31.99742199816491</v>
      </c>
      <c r="AU413" s="169">
        <f t="shared" si="275"/>
        <v>-92.722247659232252</v>
      </c>
      <c r="AV413" s="225"/>
      <c r="AX413">
        <f t="shared" si="276"/>
        <v>0</v>
      </c>
      <c r="AY413">
        <f t="shared" si="277"/>
        <v>0</v>
      </c>
    </row>
    <row r="414" spans="14:51" x14ac:dyDescent="0.25">
      <c r="N414" s="170">
        <v>96</v>
      </c>
      <c r="O414" s="199">
        <f t="shared" si="243"/>
        <v>91201.083935591028</v>
      </c>
      <c r="P414" s="189" t="str">
        <f t="shared" si="244"/>
        <v>18.0065359477124</v>
      </c>
      <c r="Q414" s="160" t="str">
        <f t="shared" si="245"/>
        <v>1+179.77515626132i</v>
      </c>
      <c r="R414" s="160">
        <f t="shared" si="253"/>
        <v>179.7779374917346</v>
      </c>
      <c r="S414" s="160">
        <f t="shared" si="254"/>
        <v>1.565233880308011</v>
      </c>
      <c r="T414" s="160" t="str">
        <f t="shared" si="246"/>
        <v>1+0.229213324233183i</v>
      </c>
      <c r="U414" s="160">
        <f t="shared" si="255"/>
        <v>1.0259331108829786</v>
      </c>
      <c r="V414" s="160">
        <f t="shared" si="256"/>
        <v>0.22532110826194332</v>
      </c>
      <c r="W414" s="98" t="str">
        <f t="shared" si="247"/>
        <v>1-3.23819377725549i</v>
      </c>
      <c r="X414" s="160">
        <f t="shared" si="257"/>
        <v>3.3890852658285504</v>
      </c>
      <c r="Y414" s="160">
        <f t="shared" si="258"/>
        <v>-1.2712729171055128</v>
      </c>
      <c r="Z414" s="98" t="str">
        <f t="shared" si="248"/>
        <v>0.899370734687011+0.967912433492556i</v>
      </c>
      <c r="AA414" s="160">
        <f t="shared" si="259"/>
        <v>1.3212578088022549</v>
      </c>
      <c r="AB414" s="160">
        <f t="shared" si="260"/>
        <v>0.82208833497016531</v>
      </c>
      <c r="AC414" s="171" t="str">
        <f t="shared" si="261"/>
        <v>-0.252444104570013+0.0757950307976056i</v>
      </c>
      <c r="AD414" s="190">
        <f t="shared" si="262"/>
        <v>-11.581844931109408</v>
      </c>
      <c r="AE414" s="169">
        <f t="shared" si="263"/>
        <v>163.28788850592747</v>
      </c>
      <c r="AF414" s="98" t="str">
        <f t="shared" si="249"/>
        <v>-0.0000816326530612245</v>
      </c>
      <c r="AG414" s="98" t="str">
        <f t="shared" si="250"/>
        <v>0.0134662827986995i</v>
      </c>
      <c r="AH414" s="98">
        <f t="shared" si="264"/>
        <v>1.34662827986995E-2</v>
      </c>
      <c r="AI414" s="98">
        <f t="shared" si="265"/>
        <v>1.5707963267948966</v>
      </c>
      <c r="AJ414" s="98" t="str">
        <f t="shared" si="251"/>
        <v>1+4.10389387962177i</v>
      </c>
      <c r="AK414" s="98">
        <f t="shared" si="266"/>
        <v>4.223972653225518</v>
      </c>
      <c r="AL414" s="98">
        <f t="shared" si="267"/>
        <v>1.331783165472862</v>
      </c>
      <c r="AM414" s="98" t="str">
        <f t="shared" si="252"/>
        <v>1+64.2943374474079i</v>
      </c>
      <c r="AN414" s="98">
        <f t="shared" si="268"/>
        <v>64.302113711768129</v>
      </c>
      <c r="AO414" s="98">
        <f t="shared" si="269"/>
        <v>1.5552441115517082</v>
      </c>
      <c r="AP414" s="168" t="str">
        <f t="shared" si="270"/>
        <v>-0.0204503869006178+0.0899882211078996i</v>
      </c>
      <c r="AQ414" s="98">
        <f t="shared" si="271"/>
        <v>-20.697593361209051</v>
      </c>
      <c r="AR414" s="169">
        <f t="shared" si="272"/>
        <v>102.80336909631841</v>
      </c>
      <c r="AS414" s="168" t="str">
        <f t="shared" si="273"/>
        <v>-0.00165808038105821-0.0242670336043873i</v>
      </c>
      <c r="AT414" s="190">
        <f t="shared" si="274"/>
        <v>-32.279438292318474</v>
      </c>
      <c r="AU414" s="169">
        <f t="shared" si="275"/>
        <v>-93.908742397754125</v>
      </c>
      <c r="AV414" s="225"/>
      <c r="AX414">
        <f t="shared" si="276"/>
        <v>0</v>
      </c>
      <c r="AY414">
        <f t="shared" si="277"/>
        <v>0</v>
      </c>
    </row>
    <row r="415" spans="14:51" x14ac:dyDescent="0.25">
      <c r="N415" s="170">
        <v>97</v>
      </c>
      <c r="O415" s="199">
        <f t="shared" si="243"/>
        <v>93325.430079699145</v>
      </c>
      <c r="P415" s="189" t="str">
        <f t="shared" si="244"/>
        <v>18.0065359477124</v>
      </c>
      <c r="Q415" s="160" t="str">
        <f t="shared" si="245"/>
        <v>1+183.962657588387i</v>
      </c>
      <c r="R415" s="160">
        <f t="shared" si="253"/>
        <v>183.96537551121443</v>
      </c>
      <c r="S415" s="160">
        <f t="shared" si="254"/>
        <v>1.5653604945251003</v>
      </c>
      <c r="T415" s="160" t="str">
        <f t="shared" si="246"/>
        <v>1+0.234552388425193i</v>
      </c>
      <c r="U415" s="160">
        <f t="shared" si="255"/>
        <v>1.0271391448659537</v>
      </c>
      <c r="V415" s="160">
        <f t="shared" si="256"/>
        <v>0.23038773223144984</v>
      </c>
      <c r="W415" s="98" t="str">
        <f t="shared" si="247"/>
        <v>1-3.31362099991269i</v>
      </c>
      <c r="X415" s="160">
        <f t="shared" si="257"/>
        <v>3.4612258133589577</v>
      </c>
      <c r="Y415" s="160">
        <f t="shared" si="258"/>
        <v>-1.277703031215474</v>
      </c>
      <c r="Z415" s="98" t="str">
        <f t="shared" si="248"/>
        <v>0.894628223521381+0.990458010334344i</v>
      </c>
      <c r="AA415" s="160">
        <f t="shared" si="259"/>
        <v>1.3346785113114279</v>
      </c>
      <c r="AB415" s="160">
        <f t="shared" si="260"/>
        <v>0.83619019757963586</v>
      </c>
      <c r="AC415" s="171" t="str">
        <f t="shared" si="261"/>
        <v>-0.248509654576688+0.0788579972861225i</v>
      </c>
      <c r="AD415" s="190">
        <f t="shared" si="262"/>
        <v>-11.676467449080722</v>
      </c>
      <c r="AE415" s="169">
        <f t="shared" si="263"/>
        <v>162.39453460441015</v>
      </c>
      <c r="AF415" s="98" t="str">
        <f t="shared" si="249"/>
        <v>-0.0000816326530612245</v>
      </c>
      <c r="AG415" s="98" t="str">
        <f t="shared" si="250"/>
        <v>0.0137799528199801i</v>
      </c>
      <c r="AH415" s="98">
        <f t="shared" si="264"/>
        <v>1.3779952819980099E-2</v>
      </c>
      <c r="AI415" s="98">
        <f t="shared" si="265"/>
        <v>1.5707963267948966</v>
      </c>
      <c r="AJ415" s="98" t="str">
        <f t="shared" si="251"/>
        <v>1+4.19948584808083i</v>
      </c>
      <c r="AK415" s="98">
        <f t="shared" si="266"/>
        <v>4.3169064604449288</v>
      </c>
      <c r="AL415" s="98">
        <f t="shared" si="267"/>
        <v>1.3370255594726541</v>
      </c>
      <c r="AM415" s="98" t="str">
        <f t="shared" si="252"/>
        <v>1+65.7919449532666i</v>
      </c>
      <c r="AN415" s="98">
        <f t="shared" si="268"/>
        <v>65.799544228920468</v>
      </c>
      <c r="AO415" s="98">
        <f t="shared" si="269"/>
        <v>1.555598068043998</v>
      </c>
      <c r="AP415" s="168" t="str">
        <f t="shared" si="270"/>
        <v>-0.0195793580176112+0.088147252334458i</v>
      </c>
      <c r="AQ415" s="98">
        <f t="shared" si="271"/>
        <v>-20.886671445972013</v>
      </c>
      <c r="AR415" s="169">
        <f t="shared" si="272"/>
        <v>102.52328225872505</v>
      </c>
      <c r="AS415" s="168" t="str">
        <f t="shared" si="273"/>
        <v>-0.00208545628757998-0.0234494321909371i</v>
      </c>
      <c r="AT415" s="190">
        <f t="shared" si="274"/>
        <v>-32.563138895052738</v>
      </c>
      <c r="AU415" s="169">
        <f t="shared" si="275"/>
        <v>-95.082183136864785</v>
      </c>
      <c r="AV415" s="225"/>
      <c r="AX415">
        <f t="shared" si="276"/>
        <v>0</v>
      </c>
      <c r="AY415">
        <f t="shared" si="277"/>
        <v>0</v>
      </c>
    </row>
    <row r="416" spans="14:51" x14ac:dyDescent="0.25">
      <c r="N416" s="170">
        <v>98</v>
      </c>
      <c r="O416" s="199">
        <f t="shared" si="243"/>
        <v>95499.258602143804</v>
      </c>
      <c r="P416" s="189" t="str">
        <f t="shared" si="244"/>
        <v>18.0065359477124</v>
      </c>
      <c r="Q416" s="160" t="str">
        <f t="shared" si="245"/>
        <v>1+188.24769835154i</v>
      </c>
      <c r="R416" s="160">
        <f t="shared" si="253"/>
        <v>188.2503544077737</v>
      </c>
      <c r="S416" s="160">
        <f t="shared" si="254"/>
        <v>1.5654842268191536</v>
      </c>
      <c r="T416" s="160" t="str">
        <f t="shared" si="246"/>
        <v>1+0.240015815398214i</v>
      </c>
      <c r="U416" s="160">
        <f t="shared" si="255"/>
        <v>1.0284005015757574</v>
      </c>
      <c r="V416" s="160">
        <f t="shared" si="256"/>
        <v>0.23555993471240272</v>
      </c>
      <c r="W416" s="98" t="str">
        <f t="shared" si="247"/>
        <v>1-3.390805148285i</v>
      </c>
      <c r="X416" s="160">
        <f t="shared" si="257"/>
        <v>3.5351887578509951</v>
      </c>
      <c r="Y416" s="160">
        <f t="shared" si="258"/>
        <v>-1.2840109843105516</v>
      </c>
      <c r="Z416" s="98" t="str">
        <f t="shared" si="248"/>
        <v>0.8896622046904+1.01352874112347i</v>
      </c>
      <c r="AA416" s="160">
        <f t="shared" si="259"/>
        <v>1.3486064464987215</v>
      </c>
      <c r="AB416" s="160">
        <f t="shared" si="260"/>
        <v>0.85039011043467416</v>
      </c>
      <c r="AC416" s="171" t="str">
        <f t="shared" si="261"/>
        <v>-0.244547294678532+0.0817827292525602i</v>
      </c>
      <c r="AD416" s="190">
        <f t="shared" si="262"/>
        <v>-11.772319483845184</v>
      </c>
      <c r="AE416" s="169">
        <f t="shared" si="263"/>
        <v>161.50877647335545</v>
      </c>
      <c r="AF416" s="98" t="str">
        <f t="shared" si="249"/>
        <v>-0.0000816326530612245</v>
      </c>
      <c r="AG416" s="98" t="str">
        <f t="shared" si="250"/>
        <v>0.014100929154645i</v>
      </c>
      <c r="AH416" s="98">
        <f t="shared" si="264"/>
        <v>1.4100929154645E-2</v>
      </c>
      <c r="AI416" s="98">
        <f t="shared" si="265"/>
        <v>1.5707963267948966</v>
      </c>
      <c r="AJ416" s="98" t="str">
        <f t="shared" si="251"/>
        <v>1+4.29730443952332i</v>
      </c>
      <c r="AK416" s="98">
        <f t="shared" si="266"/>
        <v>4.4121225556354204</v>
      </c>
      <c r="AL416" s="98">
        <f t="shared" si="267"/>
        <v>1.3421613004075059</v>
      </c>
      <c r="AM416" s="98" t="str">
        <f t="shared" si="252"/>
        <v>1+67.3244362191989i</v>
      </c>
      <c r="AN416" s="98">
        <f t="shared" si="268"/>
        <v>67.331862533521075</v>
      </c>
      <c r="AO416" s="98">
        <f t="shared" si="269"/>
        <v>1.5559439711830265</v>
      </c>
      <c r="AP416" s="168" t="str">
        <f t="shared" si="270"/>
        <v>-0.0187434093358187+0.0863353045214351i</v>
      </c>
      <c r="AQ416" s="98">
        <f t="shared" si="271"/>
        <v>-21.076215171787606</v>
      </c>
      <c r="AR416" s="169">
        <f t="shared" si="272"/>
        <v>102.2488447684721</v>
      </c>
      <c r="AS416" s="168" t="str">
        <f t="shared" si="273"/>
        <v>-0.00247708678848706-0.0226459523269454i</v>
      </c>
      <c r="AT416" s="190">
        <f t="shared" si="274"/>
        <v>-32.848534655632776</v>
      </c>
      <c r="AU416" s="169">
        <f t="shared" si="275"/>
        <v>-96.242378758172421</v>
      </c>
      <c r="AV416" s="225"/>
      <c r="AX416">
        <f t="shared" si="276"/>
        <v>0</v>
      </c>
      <c r="AY416">
        <f t="shared" si="277"/>
        <v>0</v>
      </c>
    </row>
    <row r="417" spans="14:51" x14ac:dyDescent="0.25">
      <c r="N417" s="170">
        <v>99</v>
      </c>
      <c r="O417" s="199">
        <f t="shared" si="243"/>
        <v>97723.722095581266</v>
      </c>
      <c r="P417" s="189" t="str">
        <f t="shared" si="244"/>
        <v>18.0065359477124</v>
      </c>
      <c r="Q417" s="160" t="str">
        <f t="shared" si="245"/>
        <v>1+192.632550536112i</v>
      </c>
      <c r="R417" s="160">
        <f t="shared" si="253"/>
        <v>192.63514613394864</v>
      </c>
      <c r="S417" s="160">
        <f t="shared" si="254"/>
        <v>1.5656051427795075</v>
      </c>
      <c r="T417" s="160" t="str">
        <f t="shared" si="246"/>
        <v>1+0.245606501933543i</v>
      </c>
      <c r="U417" s="160">
        <f t="shared" si="255"/>
        <v>1.0297196481528512</v>
      </c>
      <c r="V417" s="160">
        <f t="shared" si="256"/>
        <v>0.24083935066648351</v>
      </c>
      <c r="W417" s="98" t="str">
        <f t="shared" si="247"/>
        <v>1-3.46978714642954i</v>
      </c>
      <c r="X417" s="160">
        <f t="shared" si="257"/>
        <v>3.6110141015409574</v>
      </c>
      <c r="Y417" s="160">
        <f t="shared" si="258"/>
        <v>-1.2901981122357988</v>
      </c>
      <c r="Z417" s="98" t="str">
        <f t="shared" si="248"/>
        <v>0.884462144602321+1.03713685826678i</v>
      </c>
      <c r="AA417" s="160">
        <f t="shared" si="259"/>
        <v>1.3630576466202828</v>
      </c>
      <c r="AB417" s="160">
        <f t="shared" si="260"/>
        <v>0.86468352226528611</v>
      </c>
      <c r="AC417" s="171" t="str">
        <f t="shared" si="261"/>
        <v>-0.240560994161236+0.0845691567424472i</v>
      </c>
      <c r="AD417" s="190">
        <f t="shared" si="262"/>
        <v>-11.869427875348759</v>
      </c>
      <c r="AE417" s="169">
        <f t="shared" si="263"/>
        <v>160.63088826145358</v>
      </c>
      <c r="AF417" s="98" t="str">
        <f t="shared" si="249"/>
        <v>-0.0000816326530612245</v>
      </c>
      <c r="AG417" s="98" t="str">
        <f t="shared" si="250"/>
        <v>0.0144293819885956i</v>
      </c>
      <c r="AH417" s="98">
        <f t="shared" si="264"/>
        <v>1.4429381988595599E-2</v>
      </c>
      <c r="AI417" s="98">
        <f t="shared" si="265"/>
        <v>1.5707963267948966</v>
      </c>
      <c r="AJ417" s="98" t="str">
        <f t="shared" si="251"/>
        <v>1+4.39740151866118i</v>
      </c>
      <c r="AK417" s="98">
        <f t="shared" si="266"/>
        <v>4.5096718413121435</v>
      </c>
      <c r="AL417" s="98">
        <f t="shared" si="267"/>
        <v>1.3471920271600508</v>
      </c>
      <c r="AM417" s="98" t="str">
        <f t="shared" si="252"/>
        <v>1+68.8926237923587i</v>
      </c>
      <c r="AN417" s="98">
        <f t="shared" si="268"/>
        <v>68.8998810811417</v>
      </c>
      <c r="AO417" s="98">
        <f t="shared" si="269"/>
        <v>1.5562820040399306</v>
      </c>
      <c r="AP417" s="168" t="str">
        <f t="shared" si="270"/>
        <v>-0.0179412973365633+0.0845524789648996i</v>
      </c>
      <c r="AQ417" s="98">
        <f t="shared" si="271"/>
        <v>-21.266205747874075</v>
      </c>
      <c r="AR417" s="169">
        <f t="shared" si="272"/>
        <v>101.97997321370504</v>
      </c>
      <c r="AS417" s="168" t="str">
        <f t="shared" si="273"/>
        <v>-0.00283455552271906-0.0218573087852119i</v>
      </c>
      <c r="AT417" s="190">
        <f t="shared" si="274"/>
        <v>-33.135633623222837</v>
      </c>
      <c r="AU417" s="169">
        <f t="shared" si="275"/>
        <v>-97.3891385248414</v>
      </c>
      <c r="AV417" s="225"/>
      <c r="AX417">
        <f t="shared" si="276"/>
        <v>0</v>
      </c>
      <c r="AY417">
        <f t="shared" si="277"/>
        <v>0</v>
      </c>
    </row>
    <row r="418" spans="14:51" x14ac:dyDescent="0.25">
      <c r="N418" s="170">
        <v>100</v>
      </c>
      <c r="O418" s="199">
        <f t="shared" si="243"/>
        <v>100000</v>
      </c>
      <c r="P418" s="189" t="str">
        <f t="shared" si="244"/>
        <v>18.0065359477124</v>
      </c>
      <c r="Q418" s="160" t="str">
        <f t="shared" si="245"/>
        <v>1+197.119539048771i</v>
      </c>
      <c r="R418" s="160">
        <f t="shared" si="253"/>
        <v>197.12207556435672</v>
      </c>
      <c r="S418" s="160">
        <f t="shared" si="254"/>
        <v>1.5657233065032541</v>
      </c>
      <c r="T418" s="160" t="str">
        <f t="shared" si="246"/>
        <v>1+0.251327412287184i</v>
      </c>
      <c r="U418" s="160">
        <f t="shared" si="255"/>
        <v>1.0310991553516917</v>
      </c>
      <c r="V418" s="160">
        <f t="shared" si="256"/>
        <v>0.2462276016049128</v>
      </c>
      <c r="W418" s="98" t="str">
        <f t="shared" si="247"/>
        <v>1-3.55060887164718i</v>
      </c>
      <c r="X418" s="160">
        <f t="shared" si="257"/>
        <v>3.688742788460543</v>
      </c>
      <c r="Y418" s="160">
        <f t="shared" si="258"/>
        <v>-1.2962657999893374</v>
      </c>
      <c r="Z418" s="98" t="str">
        <f t="shared" si="248"/>
        <v>0.879017013232514+1.06129487910048i</v>
      </c>
      <c r="AA418" s="160">
        <f t="shared" si="259"/>
        <v>1.378048522352211</v>
      </c>
      <c r="AB418" s="160">
        <f t="shared" si="260"/>
        <v>0.87906582320771465</v>
      </c>
      <c r="AC418" s="171" t="str">
        <f t="shared" si="261"/>
        <v>-0.236554805548098+0.0872174072518112i</v>
      </c>
      <c r="AD418" s="190">
        <f t="shared" si="262"/>
        <v>-11.967815923313426</v>
      </c>
      <c r="AE418" s="169">
        <f t="shared" si="263"/>
        <v>159.76114397315177</v>
      </c>
      <c r="AF418" s="98" t="str">
        <f t="shared" si="249"/>
        <v>-0.0000816326530612245</v>
      </c>
      <c r="AG418" s="98" t="str">
        <f t="shared" si="250"/>
        <v>0.014765485471872i</v>
      </c>
      <c r="AH418" s="98">
        <f t="shared" si="264"/>
        <v>1.4765485471872E-2</v>
      </c>
      <c r="AI418" s="98">
        <f t="shared" si="265"/>
        <v>1.5707963267948966</v>
      </c>
      <c r="AJ418" s="98" t="str">
        <f t="shared" si="251"/>
        <v>1+4.49983015829073i</v>
      </c>
      <c r="AK418" s="98">
        <f t="shared" si="266"/>
        <v>4.6096064315148189</v>
      </c>
      <c r="AL418" s="98">
        <f t="shared" si="267"/>
        <v>1.352119388082456</v>
      </c>
      <c r="AM418" s="98" t="str">
        <f t="shared" si="252"/>
        <v>1+70.497339146555i</v>
      </c>
      <c r="AN418" s="98">
        <f t="shared" si="268"/>
        <v>70.504431256087713</v>
      </c>
      <c r="AO418" s="98">
        <f t="shared" si="269"/>
        <v>1.5566123455350225</v>
      </c>
      <c r="AP418" s="168" t="str">
        <f t="shared" si="270"/>
        <v>-0.0171718082687238+0.082798833593351i</v>
      </c>
      <c r="AQ418" s="98">
        <f t="shared" si="271"/>
        <v>-21.456625052632006</v>
      </c>
      <c r="AR418" s="169">
        <f t="shared" si="272"/>
        <v>101.71658340218038</v>
      </c>
      <c r="AS418" s="168" t="str">
        <f t="shared" si="273"/>
        <v>-0.00315942582356906-0.0210841425753078i</v>
      </c>
      <c r="AT418" s="190">
        <f t="shared" si="274"/>
        <v>-33.424440975945416</v>
      </c>
      <c r="AU418" s="169">
        <f t="shared" si="275"/>
        <v>-98.522272624667835</v>
      </c>
      <c r="AV418" s="225"/>
      <c r="AX418">
        <f t="shared" si="276"/>
        <v>0</v>
      </c>
      <c r="AY418">
        <f t="shared" si="277"/>
        <v>0</v>
      </c>
    </row>
    <row r="419" spans="14:51" x14ac:dyDescent="0.25">
      <c r="N419" s="170">
        <v>1</v>
      </c>
      <c r="O419" s="199">
        <f>10^(5+(N419/100))</f>
        <v>102329.29922807543</v>
      </c>
      <c r="P419" s="189" t="str">
        <f t="shared" si="244"/>
        <v>18.0065359477124</v>
      </c>
      <c r="Q419" s="160" t="str">
        <f t="shared" si="245"/>
        <v>1+201.71104295022i</v>
      </c>
      <c r="R419" s="160">
        <f t="shared" si="253"/>
        <v>201.71352172837965</v>
      </c>
      <c r="S419" s="160">
        <f t="shared" si="254"/>
        <v>1.5658387806291567</v>
      </c>
      <c r="T419" s="160" t="str">
        <f t="shared" si="246"/>
        <v>1+0.257181579761531i</v>
      </c>
      <c r="U419" s="160">
        <f t="shared" si="255"/>
        <v>1.0325417013218579</v>
      </c>
      <c r="V419" s="160">
        <f t="shared" si="256"/>
        <v>0.25172629240506961</v>
      </c>
      <c r="W419" s="98" t="str">
        <f t="shared" si="247"/>
        <v>1-3.63331317668644i</v>
      </c>
      <c r="X419" s="160">
        <f t="shared" si="257"/>
        <v>3.7684167285324626</v>
      </c>
      <c r="Y419" s="160">
        <f t="shared" si="258"/>
        <v>-1.3022154768975827</v>
      </c>
      <c r="Z419" s="98" t="str">
        <f t="shared" si="248"/>
        <v>0.873315260727301+1.08601561252697i</v>
      </c>
      <c r="AA419" s="160">
        <f t="shared" si="259"/>
        <v>1.3935958722927977</v>
      </c>
      <c r="AB419" s="160">
        <f t="shared" si="260"/>
        <v>0.89353235978314383</v>
      </c>
      <c r="AC419" s="171" t="str">
        <f t="shared" si="261"/>
        <v>-0.23253284823576+0.089727813219893i</v>
      </c>
      <c r="AD419" s="190">
        <f t="shared" si="262"/>
        <v>-12.067503343934376</v>
      </c>
      <c r="AE419" s="169">
        <f t="shared" si="263"/>
        <v>158.89981670253823</v>
      </c>
      <c r="AF419" s="98" t="str">
        <f t="shared" si="249"/>
        <v>-0.0000816326530612245</v>
      </c>
      <c r="AG419" s="98" t="str">
        <f t="shared" si="250"/>
        <v>0.0151094178109899i</v>
      </c>
      <c r="AH419" s="98">
        <f t="shared" si="264"/>
        <v>1.51094178109899E-2</v>
      </c>
      <c r="AI419" s="98">
        <f t="shared" si="265"/>
        <v>1.5707963267948966</v>
      </c>
      <c r="AJ419" s="98" t="str">
        <f t="shared" si="251"/>
        <v>1+4.6046446674325i</v>
      </c>
      <c r="AK419" s="98">
        <f t="shared" si="266"/>
        <v>4.7119796809106207</v>
      </c>
      <c r="AL419" s="98">
        <f t="shared" si="267"/>
        <v>1.3569450382464929</v>
      </c>
      <c r="AM419" s="98" t="str">
        <f t="shared" si="252"/>
        <v>1+72.1394331231094i</v>
      </c>
      <c r="AN419" s="98">
        <f t="shared" si="268"/>
        <v>72.146363812208676</v>
      </c>
      <c r="AO419" s="98">
        <f t="shared" si="269"/>
        <v>1.5569351705311802</v>
      </c>
      <c r="AP419" s="168" t="str">
        <f t="shared" si="270"/>
        <v>-0.0164337587235413+0.0810743857523313i</v>
      </c>
      <c r="AQ419" s="98">
        <f t="shared" si="271"/>
        <v>-21.647455617356385</v>
      </c>
      <c r="AR419" s="169">
        <f t="shared" si="272"/>
        <v>101.45859052417559</v>
      </c>
      <c r="AS419" s="168" t="str">
        <f t="shared" si="273"/>
        <v>-0.00345323861849841-0.020327023071201i</v>
      </c>
      <c r="AT419" s="190">
        <f t="shared" si="274"/>
        <v>-33.714958961290769</v>
      </c>
      <c r="AU419" s="169">
        <f t="shared" si="275"/>
        <v>-99.641592773286163</v>
      </c>
      <c r="AV419" s="225"/>
      <c r="AX419">
        <f t="shared" si="276"/>
        <v>0</v>
      </c>
      <c r="AY419">
        <f t="shared" si="277"/>
        <v>0</v>
      </c>
    </row>
    <row r="420" spans="14:51" x14ac:dyDescent="0.25">
      <c r="N420" s="170">
        <v>2</v>
      </c>
      <c r="O420" s="199">
        <f t="shared" ref="O420:O483" si="278">10^(5+(N420/100))</f>
        <v>104712.85480508996</v>
      </c>
      <c r="P420" s="189" t="str">
        <f t="shared" si="244"/>
        <v>18.0065359477124</v>
      </c>
      <c r="Q420" s="160" t="str">
        <f t="shared" si="245"/>
        <v>1+206.409496716603i</v>
      </c>
      <c r="R420" s="160">
        <f t="shared" si="253"/>
        <v>206.411919071553</v>
      </c>
      <c r="S420" s="160">
        <f t="shared" si="254"/>
        <v>1.5659516263708007</v>
      </c>
      <c r="T420" s="160" t="str">
        <f t="shared" si="246"/>
        <v>1+0.263172108313668i</v>
      </c>
      <c r="U420" s="160">
        <f t="shared" si="255"/>
        <v>1.0340500754771313</v>
      </c>
      <c r="V420" s="160">
        <f t="shared" si="256"/>
        <v>0.25733700793296554</v>
      </c>
      <c r="W420" s="98" t="str">
        <f t="shared" si="247"/>
        <v>1-3.71794391246456i</v>
      </c>
      <c r="X420" s="160">
        <f t="shared" si="257"/>
        <v>3.8500788220804361</v>
      </c>
      <c r="Y420" s="160">
        <f t="shared" si="258"/>
        <v>-1.3080486120039516</v>
      </c>
      <c r="Z420" s="98" t="str">
        <f t="shared" si="248"/>
        <v>0.867344792905172+1.11131216580634i</v>
      </c>
      <c r="AA420" s="160">
        <f t="shared" si="259"/>
        <v>1.4097168934395634</v>
      </c>
      <c r="AB420" s="160">
        <f t="shared" si="260"/>
        <v>0.90807845024770717</v>
      </c>
      <c r="AC420" s="171" t="str">
        <f t="shared" si="261"/>
        <v>-0.228499291488957+0.0921009180736392i</v>
      </c>
      <c r="AD420" s="190">
        <f t="shared" si="262"/>
        <v>-12.16850623863769</v>
      </c>
      <c r="AE420" s="169">
        <f t="shared" si="263"/>
        <v>158.04717782264345</v>
      </c>
      <c r="AF420" s="98" t="str">
        <f t="shared" si="249"/>
        <v>-0.0000816326530612245</v>
      </c>
      <c r="AG420" s="98" t="str">
        <f t="shared" si="250"/>
        <v>0.015461361363428i</v>
      </c>
      <c r="AH420" s="98">
        <f t="shared" si="264"/>
        <v>1.5461361363427999E-2</v>
      </c>
      <c r="AI420" s="98">
        <f t="shared" si="265"/>
        <v>1.5707963267948966</v>
      </c>
      <c r="AJ420" s="98" t="str">
        <f t="shared" si="251"/>
        <v>1+4.71190062012662i</v>
      </c>
      <c r="AK420" s="98">
        <f t="shared" si="266"/>
        <v>4.8168462144799298</v>
      </c>
      <c r="AL420" s="98">
        <f t="shared" si="267"/>
        <v>1.3616706368685936</v>
      </c>
      <c r="AM420" s="98" t="str">
        <f t="shared" si="252"/>
        <v>1+73.819776381984i</v>
      </c>
      <c r="AN420" s="98">
        <f t="shared" si="268"/>
        <v>73.826549323980487</v>
      </c>
      <c r="AO420" s="98">
        <f t="shared" si="269"/>
        <v>1.5572506499251875</v>
      </c>
      <c r="AP420" s="168" t="str">
        <f t="shared" si="270"/>
        <v>-0.0157259960598883+0.0793791148917397i</v>
      </c>
      <c r="AQ420" s="98">
        <f t="shared" si="271"/>
        <v>-21.838680609666522</v>
      </c>
      <c r="AR420" s="169">
        <f t="shared" si="272"/>
        <v>101.20590930525631</v>
      </c>
      <c r="AS420" s="168" t="str">
        <f t="shared" si="273"/>
        <v>-0.0037175103997595-0.0195864501865212i</v>
      </c>
      <c r="AT420" s="190">
        <f t="shared" si="274"/>
        <v>-34.007186848304201</v>
      </c>
      <c r="AU420" s="169">
        <f t="shared" si="275"/>
        <v>-100.7469128721002</v>
      </c>
      <c r="AV420" s="225"/>
      <c r="AX420">
        <f t="shared" si="276"/>
        <v>0</v>
      </c>
      <c r="AY420">
        <f t="shared" si="277"/>
        <v>0</v>
      </c>
    </row>
    <row r="421" spans="14:51" x14ac:dyDescent="0.25">
      <c r="N421" s="170">
        <v>3</v>
      </c>
      <c r="O421" s="199">
        <f t="shared" si="278"/>
        <v>107151.93052376082</v>
      </c>
      <c r="P421" s="189" t="str">
        <f t="shared" si="244"/>
        <v>18.0065359477124</v>
      </c>
      <c r="Q421" s="160" t="str">
        <f t="shared" si="245"/>
        <v>1+211.217391530297i</v>
      </c>
      <c r="R421" s="160">
        <f t="shared" si="253"/>
        <v>211.21975874634165</v>
      </c>
      <c r="S421" s="160">
        <f t="shared" si="254"/>
        <v>1.5660619035489889</v>
      </c>
      <c r="T421" s="160" t="str">
        <f t="shared" si="246"/>
        <v>1+0.269302174201129i</v>
      </c>
      <c r="U421" s="160">
        <f t="shared" si="255"/>
        <v>1.0356271824500627</v>
      </c>
      <c r="V421" s="160">
        <f t="shared" si="256"/>
        <v>0.26306130946666662</v>
      </c>
      <c r="W421" s="98" t="str">
        <f t="shared" si="247"/>
        <v>1-3.80454595131788i</v>
      </c>
      <c r="X421" s="160">
        <f t="shared" si="257"/>
        <v>3.9337729847678387</v>
      </c>
      <c r="Y421" s="160">
        <f t="shared" si="258"/>
        <v>-1.3137667096709409</v>
      </c>
      <c r="Z421" s="98" t="str">
        <f t="shared" si="248"/>
        <v>0.861092945603401+1.13719795150597i</v>
      </c>
      <c r="AA421" s="160">
        <f t="shared" si="259"/>
        <v>1.4264291927317376</v>
      </c>
      <c r="AB421" s="160">
        <f t="shared" si="260"/>
        <v>0.92269940021412977</v>
      </c>
      <c r="AC421" s="171" t="str">
        <f t="shared" si="261"/>
        <v>-0.224458336941169+0.0943374807585594i</v>
      </c>
      <c r="AD421" s="190">
        <f t="shared" si="262"/>
        <v>-12.270837075175422</v>
      </c>
      <c r="AE421" s="169">
        <f t="shared" si="263"/>
        <v>157.20349613558798</v>
      </c>
      <c r="AF421" s="98" t="str">
        <f t="shared" si="249"/>
        <v>-0.0000816326530612245</v>
      </c>
      <c r="AG421" s="98" t="str">
        <f t="shared" si="250"/>
        <v>0.0158215027343163i</v>
      </c>
      <c r="AH421" s="98">
        <f t="shared" si="264"/>
        <v>1.58215027343163E-2</v>
      </c>
      <c r="AI421" s="98">
        <f t="shared" si="265"/>
        <v>1.5707963267948966</v>
      </c>
      <c r="AJ421" s="98" t="str">
        <f t="shared" si="251"/>
        <v>1+4.82165488489892i</v>
      </c>
      <c r="AK421" s="98">
        <f t="shared" si="266"/>
        <v>4.9242619578033837</v>
      </c>
      <c r="AL421" s="98">
        <f t="shared" si="267"/>
        <v>1.3662978449036114</v>
      </c>
      <c r="AM421" s="98" t="str">
        <f t="shared" si="252"/>
        <v>1+75.5392598634166i</v>
      </c>
      <c r="AN421" s="98">
        <f t="shared" si="268"/>
        <v>75.545878648095581</v>
      </c>
      <c r="AO421" s="98">
        <f t="shared" si="269"/>
        <v>1.55755895073706</v>
      </c>
      <c r="AP421" s="168" t="str">
        <f t="shared" si="270"/>
        <v>-0.0150473986926936+0.0777129651531541i</v>
      </c>
      <c r="AQ421" s="98">
        <f t="shared" si="271"/>
        <v>-22.030283816732783</v>
      </c>
      <c r="AR421" s="169">
        <f t="shared" si="272"/>
        <v>100.95845414926156</v>
      </c>
      <c r="AS421" s="168" t="str">
        <f t="shared" si="273"/>
        <v>-0.00395373126897355-0.0188628566016823i</v>
      </c>
      <c r="AT421" s="190">
        <f t="shared" si="274"/>
        <v>-34.301120891908226</v>
      </c>
      <c r="AU421" s="169">
        <f t="shared" si="275"/>
        <v>-101.83804971515049</v>
      </c>
      <c r="AV421" s="225"/>
      <c r="AX421">
        <f t="shared" si="276"/>
        <v>0</v>
      </c>
      <c r="AY421">
        <f t="shared" si="277"/>
        <v>0</v>
      </c>
    </row>
    <row r="422" spans="14:51" x14ac:dyDescent="0.25">
      <c r="N422" s="170">
        <v>4</v>
      </c>
      <c r="O422" s="199">
        <f t="shared" si="278"/>
        <v>109647.81961431868</v>
      </c>
      <c r="P422" s="189" t="str">
        <f t="shared" si="244"/>
        <v>18.0065359477124</v>
      </c>
      <c r="Q422" s="160" t="str">
        <f t="shared" si="245"/>
        <v>1+216.137276600773i</v>
      </c>
      <c r="R422" s="160">
        <f t="shared" si="253"/>
        <v>216.13958993298533</v>
      </c>
      <c r="S422" s="160">
        <f t="shared" si="254"/>
        <v>1.5661696706234065</v>
      </c>
      <c r="T422" s="160" t="str">
        <f t="shared" si="246"/>
        <v>1+0.275575027665986i</v>
      </c>
      <c r="U422" s="160">
        <f t="shared" si="255"/>
        <v>1.0372760461290471</v>
      </c>
      <c r="V422" s="160">
        <f t="shared" si="256"/>
        <v>0.26890073091629951</v>
      </c>
      <c r="W422" s="98" t="str">
        <f t="shared" si="247"/>
        <v>1-3.8931652107937i</v>
      </c>
      <c r="X422" s="160">
        <f t="shared" si="257"/>
        <v>4.0195441729796126</v>
      </c>
      <c r="Y422" s="160">
        <f t="shared" si="258"/>
        <v>-1.3193713053943545</v>
      </c>
      <c r="Z422" s="98" t="str">
        <f t="shared" si="248"/>
        <v>0.854546457815662+1.16368669461209i</v>
      </c>
      <c r="AA422" s="160">
        <f t="shared" si="259"/>
        <v>1.4437507997512959</v>
      </c>
      <c r="AB422" s="160">
        <f t="shared" si="260"/>
        <v>0.93739051844153687</v>
      </c>
      <c r="AC422" s="171" t="str">
        <f t="shared" si="261"/>
        <v>-0.22041420075553+0.0964384787077676i</v>
      </c>
      <c r="AD422" s="190">
        <f t="shared" si="262"/>
        <v>-12.374504681264444</v>
      </c>
      <c r="AE422" s="169">
        <f t="shared" si="263"/>
        <v>156.36903698932878</v>
      </c>
      <c r="AF422" s="98" t="str">
        <f t="shared" si="249"/>
        <v>-0.0000816326530612245</v>
      </c>
      <c r="AG422" s="98" t="str">
        <f t="shared" si="250"/>
        <v>0.0161900328753767i</v>
      </c>
      <c r="AH422" s="98">
        <f t="shared" si="264"/>
        <v>1.6190032875376702E-2</v>
      </c>
      <c r="AI422" s="98">
        <f t="shared" si="265"/>
        <v>1.5707963267948966</v>
      </c>
      <c r="AJ422" s="98" t="str">
        <f t="shared" si="251"/>
        <v>1+4.93396565491333i</v>
      </c>
      <c r="AK422" s="98">
        <f t="shared" si="266"/>
        <v>5.0342841679690995</v>
      </c>
      <c r="AL422" s="98">
        <f t="shared" si="267"/>
        <v>1.3708283228008546</v>
      </c>
      <c r="AM422" s="98" t="str">
        <f t="shared" si="252"/>
        <v>1+77.2987952603091i</v>
      </c>
      <c r="AN422" s="98">
        <f t="shared" si="268"/>
        <v>77.305263395807572</v>
      </c>
      <c r="AO422" s="98">
        <f t="shared" si="269"/>
        <v>1.5578602361974043</v>
      </c>
      <c r="AP422" s="168" t="str">
        <f t="shared" si="270"/>
        <v>-0.01439687625663+0.0760758478553579i</v>
      </c>
      <c r="AQ422" s="98">
        <f t="shared" si="271"/>
        <v>-22.222249628371792</v>
      </c>
      <c r="AR422" s="169">
        <f t="shared" si="272"/>
        <v>100.7161392718786</v>
      </c>
      <c r="AS422" s="168" t="str">
        <f t="shared" si="273"/>
        <v>-0.00416336306009293-0.0181566100461714i</v>
      </c>
      <c r="AT422" s="190">
        <f t="shared" si="274"/>
        <v>-34.596754309636232</v>
      </c>
      <c r="AU422" s="169">
        <f t="shared" si="275"/>
        <v>-102.91482373879258</v>
      </c>
      <c r="AV422" s="225"/>
      <c r="AX422">
        <f t="shared" si="276"/>
        <v>0</v>
      </c>
      <c r="AY422">
        <f t="shared" si="277"/>
        <v>0</v>
      </c>
    </row>
    <row r="423" spans="14:51" x14ac:dyDescent="0.25">
      <c r="N423" s="170">
        <v>5</v>
      </c>
      <c r="O423" s="199">
        <f t="shared" si="278"/>
        <v>112201.84543019651</v>
      </c>
      <c r="P423" s="189" t="str">
        <f t="shared" si="244"/>
        <v>18.0065359477124</v>
      </c>
      <c r="Q423" s="160" t="str">
        <f t="shared" si="245"/>
        <v>1+221.171760516218i</v>
      </c>
      <c r="R423" s="160">
        <f t="shared" si="253"/>
        <v>221.1740211911048</v>
      </c>
      <c r="S423" s="160">
        <f t="shared" si="254"/>
        <v>1.566274984723564</v>
      </c>
      <c r="T423" s="160" t="str">
        <f t="shared" si="246"/>
        <v>1+0.281993994658178i</v>
      </c>
      <c r="U423" s="160">
        <f t="shared" si="255"/>
        <v>1.0389998137744187</v>
      </c>
      <c r="V423" s="160">
        <f t="shared" si="256"/>
        <v>0.27485677483693877</v>
      </c>
      <c r="W423" s="98" t="str">
        <f t="shared" si="247"/>
        <v>1-3.98384867799641i</v>
      </c>
      <c r="X423" s="160">
        <f t="shared" si="257"/>
        <v>4.1074384096628576</v>
      </c>
      <c r="Y423" s="160">
        <f t="shared" si="258"/>
        <v>-1.3248639618275102</v>
      </c>
      <c r="Z423" s="98" t="str">
        <f t="shared" si="248"/>
        <v>0.847691443563654+1.19079243980691i</v>
      </c>
      <c r="AA423" s="160">
        <f t="shared" si="259"/>
        <v>1.4617001806773935</v>
      </c>
      <c r="AB423" s="160">
        <f t="shared" si="260"/>
        <v>0.95214713268707518</v>
      </c>
      <c r="AC423" s="171" t="str">
        <f t="shared" si="261"/>
        <v>-0.216371095605528+0.0984051092192089i</v>
      </c>
      <c r="AD423" s="190">
        <f t="shared" si="262"/>
        <v>-12.47951425090019</v>
      </c>
      <c r="AE423" s="169">
        <f t="shared" si="263"/>
        <v>155.54406136700658</v>
      </c>
      <c r="AF423" s="98" t="str">
        <f t="shared" si="249"/>
        <v>-0.0000816326530612245</v>
      </c>
      <c r="AG423" s="98" t="str">
        <f t="shared" si="250"/>
        <v>0.016567147186168i</v>
      </c>
      <c r="AH423" s="98">
        <f t="shared" si="264"/>
        <v>1.6567147186167999E-2</v>
      </c>
      <c r="AI423" s="98">
        <f t="shared" si="265"/>
        <v>1.5707963267948966</v>
      </c>
      <c r="AJ423" s="98" t="str">
        <f t="shared" si="251"/>
        <v>1+5.04889247882673i</v>
      </c>
      <c r="AK423" s="98">
        <f t="shared" si="266"/>
        <v>5.1469714651193792</v>
      </c>
      <c r="AL423" s="98">
        <f t="shared" si="267"/>
        <v>1.3752637284158955</v>
      </c>
      <c r="AM423" s="98" t="str">
        <f t="shared" si="252"/>
        <v>1+79.099315501619i</v>
      </c>
      <c r="AN423" s="98">
        <f t="shared" si="268"/>
        <v>79.105636416279879</v>
      </c>
      <c r="AO423" s="98">
        <f t="shared" si="269"/>
        <v>1.5581546658328451</v>
      </c>
      <c r="AP423" s="168" t="str">
        <f t="shared" si="270"/>
        <v>-0.0137733696565578+0.0744676438770569i</v>
      </c>
      <c r="AQ423" s="98">
        <f t="shared" si="271"/>
        <v>-22.414563020076073</v>
      </c>
      <c r="AR423" s="169">
        <f t="shared" si="272"/>
        <v>100.47887882518245</v>
      </c>
      <c r="AS423" s="168" t="str">
        <f t="shared" si="273"/>
        <v>-0.00434783754624959-0.0174680156382112i</v>
      </c>
      <c r="AT423" s="190">
        <f t="shared" si="274"/>
        <v>-34.894077270976261</v>
      </c>
      <c r="AU423" s="169">
        <f t="shared" si="275"/>
        <v>-103.97705980781097</v>
      </c>
      <c r="AV423" s="225"/>
      <c r="AX423">
        <f t="shared" si="276"/>
        <v>0</v>
      </c>
      <c r="AY423">
        <f t="shared" si="277"/>
        <v>0</v>
      </c>
    </row>
    <row r="424" spans="14:51" x14ac:dyDescent="0.25">
      <c r="N424" s="170">
        <v>6</v>
      </c>
      <c r="O424" s="199">
        <f t="shared" si="278"/>
        <v>114815.36214968823</v>
      </c>
      <c r="P424" s="189" t="str">
        <f t="shared" si="244"/>
        <v>18.0065359477124</v>
      </c>
      <c r="Q424" s="160" t="str">
        <f t="shared" si="245"/>
        <v>1+226.323512626643i</v>
      </c>
      <c r="R424" s="160">
        <f t="shared" si="253"/>
        <v>226.32572184279505</v>
      </c>
      <c r="S424" s="160">
        <f t="shared" si="254"/>
        <v>1.5663779016790418</v>
      </c>
      <c r="T424" s="160" t="str">
        <f t="shared" si="246"/>
        <v>1+0.28856247859897i</v>
      </c>
      <c r="U424" s="160">
        <f t="shared" si="255"/>
        <v>1.0408017602094939</v>
      </c>
      <c r="V424" s="160">
        <f t="shared" si="256"/>
        <v>0.28093090823136713</v>
      </c>
      <c r="W424" s="98" t="str">
        <f t="shared" si="247"/>
        <v>1-4.07664443450067i</v>
      </c>
      <c r="X424" s="160">
        <f t="shared" si="257"/>
        <v>4.1975028106417378</v>
      </c>
      <c r="Y424" s="160">
        <f t="shared" si="258"/>
        <v>-1.3302462650123914</v>
      </c>
      <c r="Z424" s="98" t="str">
        <f t="shared" si="248"/>
        <v>0.840513362443081+1.21852955891531i</v>
      </c>
      <c r="AA424" s="160">
        <f t="shared" si="259"/>
        <v>1.4802962535910553</v>
      </c>
      <c r="AB424" s="160">
        <f t="shared" si="260"/>
        <v>0.96696460551156649</v>
      </c>
      <c r="AC424" s="171" t="str">
        <f t="shared" si="261"/>
        <v>-0.212333212637713+0.100238789229822i</v>
      </c>
      <c r="AD424" s="190">
        <f t="shared" si="262"/>
        <v>-12.585867363401622</v>
      </c>
      <c r="AE424" s="169">
        <f t="shared" si="263"/>
        <v>154.72882495507093</v>
      </c>
      <c r="AF424" s="98" t="str">
        <f t="shared" si="249"/>
        <v>-0.0000816326530612245</v>
      </c>
      <c r="AG424" s="98" t="str">
        <f t="shared" si="250"/>
        <v>0.0169530456176895i</v>
      </c>
      <c r="AH424" s="98">
        <f t="shared" si="264"/>
        <v>1.69530456176895E-2</v>
      </c>
      <c r="AI424" s="98">
        <f t="shared" si="265"/>
        <v>1.5707963267948966</v>
      </c>
      <c r="AJ424" s="98" t="str">
        <f t="shared" si="251"/>
        <v>1+5.16649629236238i</v>
      </c>
      <c r="AK424" s="98">
        <f t="shared" si="266"/>
        <v>5.2623838646562282</v>
      </c>
      <c r="AL424" s="98">
        <f t="shared" si="267"/>
        <v>1.3796057150715906</v>
      </c>
      <c r="AM424" s="98" t="str">
        <f t="shared" si="252"/>
        <v>1+80.941775247011i</v>
      </c>
      <c r="AN424" s="98">
        <f t="shared" si="268"/>
        <v>80.947952291195364</v>
      </c>
      <c r="AO424" s="98">
        <f t="shared" si="269"/>
        <v>1.5584423955495652</v>
      </c>
      <c r="AP424" s="168" t="str">
        <f t="shared" si="270"/>
        <v>-0.0131758510156009+0.0728882059364814i</v>
      </c>
      <c r="AQ424" s="98">
        <f t="shared" si="271"/>
        <v>-22.60720953603731</v>
      </c>
      <c r="AR424" s="169">
        <f t="shared" si="272"/>
        <v>100.24658701351761</v>
      </c>
      <c r="AS424" s="168" t="str">
        <f t="shared" si="273"/>
        <v>-0.00450855473682841-0.0167973182827687i</v>
      </c>
      <c r="AT424" s="190">
        <f t="shared" si="274"/>
        <v>-35.193076899438921</v>
      </c>
      <c r="AU424" s="169">
        <f t="shared" si="275"/>
        <v>-105.02458803141144</v>
      </c>
      <c r="AV424" s="225"/>
      <c r="AX424">
        <f t="shared" si="276"/>
        <v>0</v>
      </c>
      <c r="AY424">
        <f t="shared" si="277"/>
        <v>0</v>
      </c>
    </row>
    <row r="425" spans="14:51" x14ac:dyDescent="0.25">
      <c r="N425" s="170">
        <v>7</v>
      </c>
      <c r="O425" s="199">
        <f t="shared" si="278"/>
        <v>117489.75549395311</v>
      </c>
      <c r="P425" s="189" t="str">
        <f t="shared" si="244"/>
        <v>18.0065359477124</v>
      </c>
      <c r="Q425" s="160" t="str">
        <f t="shared" si="245"/>
        <v>1+231.595264459209i</v>
      </c>
      <c r="R425" s="160">
        <f t="shared" si="253"/>
        <v>231.59742338793615</v>
      </c>
      <c r="S425" s="160">
        <f t="shared" si="254"/>
        <v>1.5664784760490464</v>
      </c>
      <c r="T425" s="160" t="str">
        <f t="shared" si="246"/>
        <v>1+0.295283962185491i</v>
      </c>
      <c r="U425" s="160">
        <f t="shared" si="255"/>
        <v>1.0426852920819216</v>
      </c>
      <c r="V425" s="160">
        <f t="shared" si="256"/>
        <v>0.28712455814059296</v>
      </c>
      <c r="W425" s="98" t="str">
        <f t="shared" si="247"/>
        <v>1-4.17160168184488i</v>
      </c>
      <c r="X425" s="160">
        <f t="shared" si="257"/>
        <v>4.2897856114229107</v>
      </c>
      <c r="Y425" s="160">
        <f t="shared" si="258"/>
        <v>-1.3355198208139873</v>
      </c>
      <c r="Z425" s="98" t="str">
        <f t="shared" si="248"/>
        <v>0.832996988781503+1.246912758525i</v>
      </c>
      <c r="AA425" s="160">
        <f t="shared" si="259"/>
        <v>1.4995584052285114</v>
      </c>
      <c r="AB425" s="160">
        <f t="shared" si="260"/>
        <v>0.9818383499310448</v>
      </c>
      <c r="AC425" s="171" t="str">
        <f t="shared" si="261"/>
        <v>-0.208304703578891+0.101941153494337i</v>
      </c>
      <c r="AD425" s="190">
        <f t="shared" si="262"/>
        <v>-12.693562015166165</v>
      </c>
      <c r="AE425" s="169">
        <f t="shared" si="263"/>
        <v>153.92357719647219</v>
      </c>
      <c r="AF425" s="98" t="str">
        <f t="shared" si="249"/>
        <v>-0.0000816326530612245</v>
      </c>
      <c r="AG425" s="98" t="str">
        <f t="shared" si="250"/>
        <v>0.0173479327783976i</v>
      </c>
      <c r="AH425" s="98">
        <f t="shared" si="264"/>
        <v>1.73479327783976E-2</v>
      </c>
      <c r="AI425" s="98">
        <f t="shared" si="265"/>
        <v>1.5707963267948966</v>
      </c>
      <c r="AJ425" s="98" t="str">
        <f t="shared" si="251"/>
        <v>1+5.28683945061894i</v>
      </c>
      <c r="AK425" s="98">
        <f t="shared" si="266"/>
        <v>5.3805828101257553</v>
      </c>
      <c r="AL425" s="98">
        <f t="shared" si="267"/>
        <v>1.3838559297617774</v>
      </c>
      <c r="AM425" s="98" t="str">
        <f t="shared" si="252"/>
        <v>1+82.8271513930303i</v>
      </c>
      <c r="AN425" s="98">
        <f t="shared" si="268"/>
        <v>82.833187840888769</v>
      </c>
      <c r="AO425" s="98">
        <f t="shared" si="269"/>
        <v>1.5587235777149944</v>
      </c>
      <c r="AP425" s="168" t="str">
        <f t="shared" si="270"/>
        <v>-0.012603323531107+0.0713373607681841i</v>
      </c>
      <c r="AQ425" s="98">
        <f t="shared" si="271"/>
        <v>-22.800175272216947</v>
      </c>
      <c r="AR425" s="169">
        <f t="shared" si="272"/>
        <v>100.01917820109877</v>
      </c>
      <c r="AS425" s="168" t="str">
        <f t="shared" si="273"/>
        <v>-0.00464688127169424-0.0161447051275404i</v>
      </c>
      <c r="AT425" s="190">
        <f t="shared" si="274"/>
        <v>-35.493737287383091</v>
      </c>
      <c r="AU425" s="169">
        <f t="shared" si="275"/>
        <v>-106.05724460242899</v>
      </c>
      <c r="AV425" s="225"/>
      <c r="AX425">
        <f t="shared" si="276"/>
        <v>0</v>
      </c>
      <c r="AY425">
        <f t="shared" si="277"/>
        <v>0</v>
      </c>
    </row>
    <row r="426" spans="14:51" x14ac:dyDescent="0.25">
      <c r="N426" s="170">
        <v>8</v>
      </c>
      <c r="O426" s="199">
        <f t="shared" si="278"/>
        <v>120226.44346174144</v>
      </c>
      <c r="P426" s="189" t="str">
        <f t="shared" si="244"/>
        <v>18.0065359477124</v>
      </c>
      <c r="Q426" s="160" t="str">
        <f t="shared" si="245"/>
        <v>1+236.989811166516i</v>
      </c>
      <c r="R426" s="160">
        <f t="shared" si="253"/>
        <v>236.99192095246815</v>
      </c>
      <c r="S426" s="160">
        <f t="shared" si="254"/>
        <v>1.5665767611512964</v>
      </c>
      <c r="T426" s="160" t="str">
        <f t="shared" si="246"/>
        <v>1+0.302162009237308i</v>
      </c>
      <c r="U426" s="160">
        <f t="shared" si="255"/>
        <v>1.0446539521900671</v>
      </c>
      <c r="V426" s="160">
        <f t="shared" si="256"/>
        <v>0.29343910702096915</v>
      </c>
      <c r="W426" s="98" t="str">
        <f t="shared" si="247"/>
        <v>1-4.26877076761847i</v>
      </c>
      <c r="X426" s="160">
        <f t="shared" si="257"/>
        <v>4.3843361945081236</v>
      </c>
      <c r="Y426" s="160">
        <f t="shared" si="258"/>
        <v>-1.340686251553429</v>
      </c>
      <c r="Z426" s="98" t="str">
        <f t="shared" si="248"/>
        <v>0.825126379342647+1.27595708778409i</v>
      </c>
      <c r="AA426" s="160">
        <f t="shared" si="259"/>
        <v>1.5195065092830506</v>
      </c>
      <c r="AB426" s="160">
        <f t="shared" si="260"/>
        <v>0.99676384480694924</v>
      </c>
      <c r="AC426" s="171" t="str">
        <f t="shared" si="261"/>
        <v>-0.204289663148091+0.103514051195232i</v>
      </c>
      <c r="AD426" s="190">
        <f t="shared" si="262"/>
        <v>-12.802592664034405</v>
      </c>
      <c r="AE426" s="169">
        <f t="shared" si="263"/>
        <v>153.12856033524852</v>
      </c>
      <c r="AF426" s="98" t="str">
        <f t="shared" si="249"/>
        <v>-0.0000816326530612245</v>
      </c>
      <c r="AG426" s="98" t="str">
        <f t="shared" si="250"/>
        <v>0.0177520180426919i</v>
      </c>
      <c r="AH426" s="98">
        <f t="shared" si="264"/>
        <v>1.77520180426919E-2</v>
      </c>
      <c r="AI426" s="98">
        <f t="shared" si="265"/>
        <v>1.5707963267948966</v>
      </c>
      <c r="AJ426" s="98" t="str">
        <f t="shared" si="251"/>
        <v>1+5.40998576113179i</v>
      </c>
      <c r="AK426" s="98">
        <f t="shared" si="266"/>
        <v>5.5016312068011901</v>
      </c>
      <c r="AL426" s="98">
        <f t="shared" si="267"/>
        <v>1.3880160114911224</v>
      </c>
      <c r="AM426" s="98" t="str">
        <f t="shared" si="252"/>
        <v>1+84.756443591065i</v>
      </c>
      <c r="AN426" s="98">
        <f t="shared" si="268"/>
        <v>84.762342642268806</v>
      </c>
      <c r="AO426" s="98">
        <f t="shared" si="269"/>
        <v>1.5589983612376863</v>
      </c>
      <c r="AP426" s="168" t="str">
        <f t="shared" si="270"/>
        <v>-0.0120548212481301+0.0698149111978867i</v>
      </c>
      <c r="AQ426" s="98">
        <f t="shared" si="271"/>
        <v>-22.993446859511906</v>
      </c>
      <c r="AR426" s="169">
        <f t="shared" si="272"/>
        <v>99.79656701170785</v>
      </c>
      <c r="AS426" s="168" t="str">
        <f t="shared" si="273"/>
        <v>-0.00476414891983767-0.0155103080751585i</v>
      </c>
      <c r="AT426" s="190">
        <f t="shared" si="274"/>
        <v>-35.796039523546298</v>
      </c>
      <c r="AU426" s="169">
        <f t="shared" si="275"/>
        <v>-107.07487265304358</v>
      </c>
      <c r="AV426" s="225"/>
      <c r="AX426">
        <f t="shared" si="276"/>
        <v>0</v>
      </c>
      <c r="AY426">
        <f t="shared" si="277"/>
        <v>0</v>
      </c>
    </row>
    <row r="427" spans="14:51" x14ac:dyDescent="0.25">
      <c r="N427" s="170">
        <v>9</v>
      </c>
      <c r="O427" s="199">
        <f t="shared" si="278"/>
        <v>123026.87708123829</v>
      </c>
      <c r="P427" s="189" t="str">
        <f t="shared" si="244"/>
        <v>18.0065359477124</v>
      </c>
      <c r="Q427" s="160" t="str">
        <f t="shared" si="245"/>
        <v>1+242.510013008635i</v>
      </c>
      <c r="R427" s="160">
        <f t="shared" si="253"/>
        <v>242.51207477040879</v>
      </c>
      <c r="S427" s="160">
        <f t="shared" si="254"/>
        <v>1.5666728090902542</v>
      </c>
      <c r="T427" s="160" t="str">
        <f t="shared" si="246"/>
        <v>1+0.30920026658601i</v>
      </c>
      <c r="U427" s="160">
        <f t="shared" si="255"/>
        <v>1.0467114238685176</v>
      </c>
      <c r="V427" s="160">
        <f t="shared" si="256"/>
        <v>0.29987588790785075</v>
      </c>
      <c r="W427" s="98" t="str">
        <f t="shared" si="247"/>
        <v>1-4.36820321215692i</v>
      </c>
      <c r="X427" s="160">
        <f t="shared" si="257"/>
        <v>4.4812051172310818</v>
      </c>
      <c r="Y427" s="160">
        <f t="shared" si="258"/>
        <v>-1.3457471928350049</v>
      </c>
      <c r="Z427" s="98" t="str">
        <f t="shared" si="248"/>
        <v>0.816884839508663+1.30567794638042i</v>
      </c>
      <c r="AA427" s="160">
        <f t="shared" si="259"/>
        <v>1.5401609463569985</v>
      </c>
      <c r="AB427" s="160">
        <f t="shared" si="260"/>
        <v>1.0117366498700431</v>
      </c>
      <c r="AC427" s="171" t="str">
        <f t="shared" si="261"/>
        <v>-0.200292111928804+0.10495954102866i</v>
      </c>
      <c r="AD427" s="190">
        <f t="shared" si="262"/>
        <v>-12.912950286092657</v>
      </c>
      <c r="AE427" s="169">
        <f t="shared" si="263"/>
        <v>152.3440084587989</v>
      </c>
      <c r="AF427" s="98" t="str">
        <f t="shared" si="249"/>
        <v>-0.0000816326530612245</v>
      </c>
      <c r="AG427" s="98" t="str">
        <f t="shared" si="250"/>
        <v>0.0181655156619281i</v>
      </c>
      <c r="AH427" s="98">
        <f t="shared" si="264"/>
        <v>1.8165515661928099E-2</v>
      </c>
      <c r="AI427" s="98">
        <f t="shared" si="265"/>
        <v>1.5707963267948966</v>
      </c>
      <c r="AJ427" s="98" t="str">
        <f t="shared" si="251"/>
        <v>1+5.53600051770482i</v>
      </c>
      <c r="AK427" s="98">
        <f t="shared" si="266"/>
        <v>5.6255934559856016</v>
      </c>
      <c r="AL427" s="98">
        <f t="shared" si="267"/>
        <v>1.3920875897446989</v>
      </c>
      <c r="AM427" s="98" t="str">
        <f t="shared" si="252"/>
        <v>1+86.7306747773758i</v>
      </c>
      <c r="AN427" s="98">
        <f t="shared" si="268"/>
        <v>86.736439558809025</v>
      </c>
      <c r="AO427" s="98">
        <f t="shared" si="269"/>
        <v>1.5592668916454244</v>
      </c>
      <c r="AP427" s="168" t="str">
        <f t="shared" si="270"/>
        <v>-0.0115294087594535+0.0683206381166909i</v>
      </c>
      <c r="AQ427" s="98">
        <f t="shared" si="271"/>
        <v>-23.187011447058993</v>
      </c>
      <c r="AR427" s="169">
        <f t="shared" si="272"/>
        <v>99.57866842085501</v>
      </c>
      <c r="AS427" s="168" t="str">
        <f t="shared" si="273"/>
        <v>-0.00486165318979166-0.0148942063484396i</v>
      </c>
      <c r="AT427" s="190">
        <f t="shared" si="274"/>
        <v>-36.099961733151659</v>
      </c>
      <c r="AU427" s="169">
        <f t="shared" si="275"/>
        <v>-108.07732312034612</v>
      </c>
      <c r="AV427" s="225"/>
      <c r="AX427">
        <f t="shared" si="276"/>
        <v>0</v>
      </c>
      <c r="AY427">
        <f t="shared" si="277"/>
        <v>0</v>
      </c>
    </row>
    <row r="428" spans="14:51" x14ac:dyDescent="0.25">
      <c r="N428" s="170">
        <v>10</v>
      </c>
      <c r="O428" s="199">
        <f t="shared" si="278"/>
        <v>125892.54117941685</v>
      </c>
      <c r="P428" s="189" t="str">
        <f t="shared" si="244"/>
        <v>18.0065359477124</v>
      </c>
      <c r="Q428" s="160" t="str">
        <f t="shared" si="245"/>
        <v>1+248.158796869651i</v>
      </c>
      <c r="R428" s="160">
        <f t="shared" si="253"/>
        <v>248.16081170038257</v>
      </c>
      <c r="S428" s="160">
        <f t="shared" si="254"/>
        <v>1.5667666707847161</v>
      </c>
      <c r="T428" s="160" t="str">
        <f t="shared" si="246"/>
        <v>1+0.316402466008805i</v>
      </c>
      <c r="U428" s="160">
        <f t="shared" si="255"/>
        <v>1.0488615354261273</v>
      </c>
      <c r="V428" s="160">
        <f t="shared" si="256"/>
        <v>0.30643617936697026</v>
      </c>
      <c r="W428" s="98" t="str">
        <f t="shared" si="247"/>
        <v>1-4.46995173585845i</v>
      </c>
      <c r="X428" s="160">
        <f t="shared" si="257"/>
        <v>4.5804441401357545</v>
      </c>
      <c r="Y428" s="160">
        <f t="shared" si="258"/>
        <v>-1.3507042905616764</v>
      </c>
      <c r="Z428" s="98" t="str">
        <f t="shared" si="248"/>
        <v>0.808254887868598+1.33609109270661i</v>
      </c>
      <c r="AA428" s="160">
        <f t="shared" si="259"/>
        <v>1.5615426256664988</v>
      </c>
      <c r="AB428" s="160">
        <f t="shared" si="260"/>
        <v>1.0267524202762901</v>
      </c>
      <c r="AC428" s="171" t="str">
        <f t="shared" si="261"/>
        <v>-0.196315979850113+0.106279884828625i</v>
      </c>
      <c r="AD428" s="190">
        <f t="shared" si="262"/>
        <v>-13.024622444664317</v>
      </c>
      <c r="AE428" s="169">
        <f t="shared" si="263"/>
        <v>151.57014654404415</v>
      </c>
      <c r="AF428" s="98" t="str">
        <f t="shared" si="249"/>
        <v>-0.0000816326530612245</v>
      </c>
      <c r="AG428" s="98" t="str">
        <f t="shared" si="250"/>
        <v>0.0185886448780173i</v>
      </c>
      <c r="AH428" s="98">
        <f t="shared" si="264"/>
        <v>1.8588644878017299E-2</v>
      </c>
      <c r="AI428" s="98">
        <f t="shared" si="265"/>
        <v>1.5707963267948966</v>
      </c>
      <c r="AJ428" s="98" t="str">
        <f t="shared" si="251"/>
        <v>1+5.66495053502997i</v>
      </c>
      <c r="AK428" s="98">
        <f t="shared" si="266"/>
        <v>5.7525354900544805</v>
      </c>
      <c r="AL428" s="98">
        <f t="shared" si="267"/>
        <v>1.3960722830809329</v>
      </c>
      <c r="AM428" s="98" t="str">
        <f t="shared" si="252"/>
        <v>1+88.7508917154699i</v>
      </c>
      <c r="AN428" s="98">
        <f t="shared" si="268"/>
        <v>88.756525282883089</v>
      </c>
      <c r="AO428" s="98">
        <f t="shared" si="269"/>
        <v>1.5595293111615898</v>
      </c>
      <c r="AP428" s="168" t="str">
        <f t="shared" si="270"/>
        <v>-0.0110261808405838+0.0668543023563739i</v>
      </c>
      <c r="AQ428" s="98">
        <f t="shared" si="271"/>
        <v>-23.380856685715901</v>
      </c>
      <c r="AR428" s="169">
        <f t="shared" si="272"/>
        <v>99.365397840772985</v>
      </c>
      <c r="AS428" s="168" t="str">
        <f t="shared" si="273"/>
        <v>-0.00494065205900974-0.0142964291041241i</v>
      </c>
      <c r="AT428" s="190">
        <f t="shared" si="274"/>
        <v>-36.405479130380215</v>
      </c>
      <c r="AU428" s="169">
        <f t="shared" si="275"/>
        <v>-109.06445561518288</v>
      </c>
      <c r="AV428" s="225"/>
      <c r="AX428">
        <f t="shared" si="276"/>
        <v>0</v>
      </c>
      <c r="AY428">
        <f t="shared" si="277"/>
        <v>0</v>
      </c>
    </row>
    <row r="429" spans="14:51" x14ac:dyDescent="0.25">
      <c r="N429" s="170">
        <v>11</v>
      </c>
      <c r="O429" s="199">
        <f t="shared" si="278"/>
        <v>128824.95516931375</v>
      </c>
      <c r="P429" s="189" t="str">
        <f t="shared" si="244"/>
        <v>18.0065359477124</v>
      </c>
      <c r="Q429" s="160" t="str">
        <f t="shared" si="245"/>
        <v>1+253.939157809538i</v>
      </c>
      <c r="R429" s="160">
        <f t="shared" si="253"/>
        <v>253.94112677748251</v>
      </c>
      <c r="S429" s="160">
        <f t="shared" si="254"/>
        <v>1.5668583959947755</v>
      </c>
      <c r="T429" s="160" t="str">
        <f t="shared" si="246"/>
        <v>1+0.32377242620716i</v>
      </c>
      <c r="U429" s="160">
        <f t="shared" si="255"/>
        <v>1.0511082646293248</v>
      </c>
      <c r="V429" s="160">
        <f t="shared" si="256"/>
        <v>0.31312120023608536</v>
      </c>
      <c r="W429" s="98" t="str">
        <f t="shared" si="247"/>
        <v>1-4.57407028713716i</v>
      </c>
      <c r="X429" s="160">
        <f t="shared" si="257"/>
        <v>4.6821062559142144</v>
      </c>
      <c r="Y429" s="160">
        <f t="shared" si="258"/>
        <v>-1.3555591981333821</v>
      </c>
      <c r="Z429" s="98" t="str">
        <f t="shared" si="248"/>
        <v>0.799218219137988+1.36721265221541i</v>
      </c>
      <c r="AA429" s="160">
        <f t="shared" si="259"/>
        <v>1.5836730086037307</v>
      </c>
      <c r="AB429" s="160">
        <f t="shared" si="260"/>
        <v>1.0418069205975651</v>
      </c>
      <c r="AC429" s="171" t="str">
        <f t="shared" si="261"/>
        <v>-0.192365090416068+0.107477539807927i</v>
      </c>
      <c r="AD429" s="190">
        <f t="shared" si="262"/>
        <v>-13.137593371175662</v>
      </c>
      <c r="AE429" s="169">
        <f t="shared" si="263"/>
        <v>150.80718951351773</v>
      </c>
      <c r="AF429" s="98" t="str">
        <f t="shared" si="249"/>
        <v>-0.0000816326530612245</v>
      </c>
      <c r="AG429" s="98" t="str">
        <f t="shared" si="250"/>
        <v>0.0190216300396707i</v>
      </c>
      <c r="AH429" s="98">
        <f t="shared" si="264"/>
        <v>1.9021630039670698E-2</v>
      </c>
      <c r="AI429" s="98">
        <f t="shared" si="265"/>
        <v>1.5707963267948966</v>
      </c>
      <c r="AJ429" s="98" t="str">
        <f t="shared" si="251"/>
        <v>1+5.79690418411329i</v>
      </c>
      <c r="AK429" s="98">
        <f t="shared" si="266"/>
        <v>5.8825248082596433</v>
      </c>
      <c r="AL429" s="98">
        <f t="shared" si="267"/>
        <v>1.3999716978417056</v>
      </c>
      <c r="AM429" s="98" t="str">
        <f t="shared" si="252"/>
        <v>1+90.8181655511085i</v>
      </c>
      <c r="AN429" s="98">
        <f t="shared" si="268"/>
        <v>90.823670890735031</v>
      </c>
      <c r="AO429" s="98">
        <f t="shared" si="269"/>
        <v>1.5597857587798301</v>
      </c>
      <c r="AP429" s="168" t="str">
        <f t="shared" si="270"/>
        <v>-0.0105442620275556+0.0654156464678271i</v>
      </c>
      <c r="AQ429" s="98">
        <f t="shared" si="271"/>
        <v>-23.57497071175246</v>
      </c>
      <c r="AR429" s="169">
        <f t="shared" si="272"/>
        <v>99.156671198601074</v>
      </c>
      <c r="AS429" s="168" t="str">
        <f t="shared" si="273"/>
        <v>-0.00500236482900572-0.0137169580892209i</v>
      </c>
      <c r="AT429" s="190">
        <f t="shared" si="274"/>
        <v>-36.712564082928132</v>
      </c>
      <c r="AU429" s="169">
        <f t="shared" si="275"/>
        <v>-110.03613928788118</v>
      </c>
      <c r="AV429" s="225"/>
      <c r="AX429">
        <f t="shared" si="276"/>
        <v>0</v>
      </c>
      <c r="AY429">
        <f t="shared" si="277"/>
        <v>0</v>
      </c>
    </row>
    <row r="430" spans="14:51" x14ac:dyDescent="0.25">
      <c r="N430" s="170">
        <v>12</v>
      </c>
      <c r="O430" s="199">
        <f t="shared" si="278"/>
        <v>131825.67385564081</v>
      </c>
      <c r="P430" s="189" t="str">
        <f t="shared" si="244"/>
        <v>18.0065359477124</v>
      </c>
      <c r="Q430" s="160" t="str">
        <f t="shared" si="245"/>
        <v>1+259.854160652176i</v>
      </c>
      <c r="R430" s="160">
        <f t="shared" si="253"/>
        <v>259.85608480127399</v>
      </c>
      <c r="S430" s="160">
        <f t="shared" si="254"/>
        <v>1.5669480333481756</v>
      </c>
      <c r="T430" s="160" t="str">
        <f t="shared" si="246"/>
        <v>1+0.331314054831524i</v>
      </c>
      <c r="U430" s="160">
        <f t="shared" si="255"/>
        <v>1.053455743222707</v>
      </c>
      <c r="V430" s="160">
        <f t="shared" si="256"/>
        <v>0.31993210416095552</v>
      </c>
      <c r="W430" s="98" t="str">
        <f t="shared" si="247"/>
        <v>1-4.68061407102706i</v>
      </c>
      <c r="X430" s="160">
        <f t="shared" si="257"/>
        <v>4.7862457189217213</v>
      </c>
      <c r="Y430" s="160">
        <f t="shared" si="258"/>
        <v>-1.3603135738220988</v>
      </c>
      <c r="Z430" s="98" t="str">
        <f t="shared" si="248"/>
        <v>0.789755665330888+1.39905912596961i</v>
      </c>
      <c r="AA430" s="160">
        <f t="shared" si="259"/>
        <v>1.606574134262432</v>
      </c>
      <c r="AB430" s="160">
        <f t="shared" si="260"/>
        <v>1.0568960381554406</v>
      </c>
      <c r="AC430" s="171" t="str">
        <f t="shared" si="261"/>
        <v>-0.188443145811587+0.108555149509209i</v>
      </c>
      <c r="AD430" s="190">
        <f t="shared" si="262"/>
        <v>-13.251844057516077</v>
      </c>
      <c r="AE430" s="169">
        <f t="shared" si="263"/>
        <v>150.05534130721909</v>
      </c>
      <c r="AF430" s="98" t="str">
        <f t="shared" si="249"/>
        <v>-0.0000816326530612245</v>
      </c>
      <c r="AG430" s="98" t="str">
        <f t="shared" si="250"/>
        <v>0.019464700721352i</v>
      </c>
      <c r="AH430" s="98">
        <f t="shared" si="264"/>
        <v>1.9464700721352E-2</v>
      </c>
      <c r="AI430" s="98">
        <f t="shared" si="265"/>
        <v>1.5707963267948966</v>
      </c>
      <c r="AJ430" s="98" t="str">
        <f t="shared" si="251"/>
        <v>1+5.9319314285261i</v>
      </c>
      <c r="AK430" s="98">
        <f t="shared" si="266"/>
        <v>6.0156305133157648</v>
      </c>
      <c r="AL430" s="98">
        <f t="shared" si="267"/>
        <v>1.4037874269735255</v>
      </c>
      <c r="AM430" s="98" t="str">
        <f t="shared" si="252"/>
        <v>1+92.9335923802425i</v>
      </c>
      <c r="AN430" s="98">
        <f t="shared" si="268"/>
        <v>92.938972410378341</v>
      </c>
      <c r="AO430" s="98">
        <f t="shared" si="269"/>
        <v>1.5600363703370665</v>
      </c>
      <c r="AP430" s="168" t="str">
        <f t="shared" si="270"/>
        <v>-0.0100828061448263+0.0640043964049813i</v>
      </c>
      <c r="AQ430" s="98">
        <f t="shared" si="271"/>
        <v>-23.769342130781581</v>
      </c>
      <c r="AR430" s="169">
        <f t="shared" si="272"/>
        <v>98.95240500810948</v>
      </c>
      <c r="AS430" s="168" t="str">
        <f t="shared" si="273"/>
        <v>-0.00504797111244996-0.0131557303328505i</v>
      </c>
      <c r="AT430" s="190">
        <f t="shared" si="274"/>
        <v>-37.021186188297655</v>
      </c>
      <c r="AU430" s="169">
        <f t="shared" si="275"/>
        <v>-110.99225368467143</v>
      </c>
      <c r="AV430" s="225"/>
      <c r="AX430">
        <f t="shared" si="276"/>
        <v>0</v>
      </c>
      <c r="AY430">
        <f t="shared" si="277"/>
        <v>0</v>
      </c>
    </row>
    <row r="431" spans="14:51" x14ac:dyDescent="0.25">
      <c r="N431" s="170">
        <v>13</v>
      </c>
      <c r="O431" s="199">
        <f t="shared" si="278"/>
        <v>134896.28825916545</v>
      </c>
      <c r="P431" s="189" t="str">
        <f t="shared" si="244"/>
        <v>18.0065359477124</v>
      </c>
      <c r="Q431" s="160" t="str">
        <f t="shared" si="245"/>
        <v>1+265.906941610369i</v>
      </c>
      <c r="R431" s="160">
        <f t="shared" si="253"/>
        <v>265.90882196079957</v>
      </c>
      <c r="S431" s="160">
        <f t="shared" si="254"/>
        <v>1.5670356303660624</v>
      </c>
      <c r="T431" s="160" t="str">
        <f t="shared" si="246"/>
        <v>1+0.33903135055322i</v>
      </c>
      <c r="U431" s="160">
        <f t="shared" si="255"/>
        <v>1.055908261478212</v>
      </c>
      <c r="V431" s="160">
        <f t="shared" si="256"/>
        <v>0.32686997393139172</v>
      </c>
      <c r="W431" s="98" t="str">
        <f t="shared" si="247"/>
        <v>1-4.78963957845268i</v>
      </c>
      <c r="X431" s="160">
        <f t="shared" si="257"/>
        <v>4.8929180752880344</v>
      </c>
      <c r="Y431" s="160">
        <f t="shared" si="258"/>
        <v>-1.3649690783174531</v>
      </c>
      <c r="Z431" s="98" t="str">
        <f t="shared" si="248"/>
        <v>0.779847155102006+1.43164739939114i</v>
      </c>
      <c r="AA431" s="160">
        <f t="shared" si="259"/>
        <v>1.630268647034625</v>
      </c>
      <c r="AB431" s="160">
        <f t="shared" si="260"/>
        <v>1.0720157956127661</v>
      </c>
      <c r="AC431" s="171" t="str">
        <f t="shared" si="261"/>
        <v>-0.184553713000342+0.109515533572528i</v>
      </c>
      <c r="AD431" s="190">
        <f t="shared" si="262"/>
        <v>-13.367352359454452</v>
      </c>
      <c r="AE431" s="169">
        <f t="shared" si="263"/>
        <v>149.31479397579955</v>
      </c>
      <c r="AF431" s="98" t="str">
        <f t="shared" si="249"/>
        <v>-0.0000816326530612245</v>
      </c>
      <c r="AG431" s="98" t="str">
        <f t="shared" si="250"/>
        <v>0.0199180918450017i</v>
      </c>
      <c r="AH431" s="98">
        <f t="shared" si="264"/>
        <v>1.9918091845001699E-2</v>
      </c>
      <c r="AI431" s="98">
        <f t="shared" si="265"/>
        <v>1.5707963267948966</v>
      </c>
      <c r="AJ431" s="98" t="str">
        <f t="shared" si="251"/>
        <v>1+6.07010386150071i</v>
      </c>
      <c r="AK431" s="98">
        <f t="shared" si="266"/>
        <v>6.1519233487914855</v>
      </c>
      <c r="AL431" s="98">
        <f t="shared" si="267"/>
        <v>1.4075210489538499</v>
      </c>
      <c r="AM431" s="98" t="str">
        <f t="shared" si="252"/>
        <v>1+95.0982938301782i</v>
      </c>
      <c r="AN431" s="98">
        <f t="shared" si="268"/>
        <v>95.103551402725813</v>
      </c>
      <c r="AO431" s="98">
        <f t="shared" si="269"/>
        <v>1.5602812785848723</v>
      </c>
      <c r="AP431" s="168" t="str">
        <f t="shared" si="270"/>
        <v>-0.00964099578999698+0.0626202631167838i</v>
      </c>
      <c r="AQ431" s="98">
        <f t="shared" si="271"/>
        <v>-23.963960001956469</v>
      </c>
      <c r="AR431" s="169">
        <f t="shared" si="272"/>
        <v>98.752516435306873</v>
      </c>
      <c r="AS431" s="168" t="str">
        <f t="shared" si="273"/>
        <v>-0.00507860995762206-0.0126126408653728i</v>
      </c>
      <c r="AT431" s="190">
        <f t="shared" si="274"/>
        <v>-37.331312361410944</v>
      </c>
      <c r="AU431" s="169">
        <f t="shared" si="275"/>
        <v>-111.93268958889362</v>
      </c>
      <c r="AV431" s="225"/>
      <c r="AX431">
        <f t="shared" si="276"/>
        <v>0</v>
      </c>
      <c r="AY431">
        <f t="shared" si="277"/>
        <v>0</v>
      </c>
    </row>
    <row r="432" spans="14:51" x14ac:dyDescent="0.25">
      <c r="N432" s="170">
        <v>14</v>
      </c>
      <c r="O432" s="199">
        <f t="shared" si="278"/>
        <v>138038.42646028858</v>
      </c>
      <c r="P432" s="189" t="str">
        <f t="shared" si="244"/>
        <v>18.0065359477124</v>
      </c>
      <c r="Q432" s="160" t="str">
        <f t="shared" si="245"/>
        <v>1+272.100709948698i</v>
      </c>
      <c r="R432" s="160">
        <f t="shared" si="253"/>
        <v>272.10254749741961</v>
      </c>
      <c r="S432" s="160">
        <f t="shared" si="254"/>
        <v>1.5671212334881541</v>
      </c>
      <c r="T432" s="160" t="str">
        <f t="shared" si="246"/>
        <v>1+0.34692840518459i</v>
      </c>
      <c r="U432" s="160">
        <f t="shared" si="255"/>
        <v>1.0584702727634456</v>
      </c>
      <c r="V432" s="160">
        <f t="shared" si="256"/>
        <v>0.33393581562490948</v>
      </c>
      <c r="W432" s="98" t="str">
        <f t="shared" si="247"/>
        <v>1-4.90120461618117i</v>
      </c>
      <c r="X432" s="160">
        <f t="shared" si="257"/>
        <v>5.0021801936431292</v>
      </c>
      <c r="Y432" s="160">
        <f t="shared" si="258"/>
        <v>-1.3695273724364658</v>
      </c>
      <c r="Z432" s="98" t="str">
        <f t="shared" si="248"/>
        <v>0.769471671172688+1.46499475121392i</v>
      </c>
      <c r="AA432" s="160">
        <f t="shared" si="259"/>
        <v>1.6547798263882796</v>
      </c>
      <c r="AB432" s="160">
        <f t="shared" si="260"/>
        <v>1.0871623627449312</v>
      </c>
      <c r="AC432" s="171" t="str">
        <f t="shared" si="261"/>
        <v>-0.180700210915859+0.110361676437031i</v>
      </c>
      <c r="AD432" s="190">
        <f t="shared" si="262"/>
        <v>-13.484093110621442</v>
      </c>
      <c r="AE432" s="169">
        <f t="shared" si="263"/>
        <v>148.58572680035331</v>
      </c>
      <c r="AF432" s="98" t="str">
        <f t="shared" si="249"/>
        <v>-0.0000816326530612245</v>
      </c>
      <c r="AG432" s="98" t="str">
        <f t="shared" si="250"/>
        <v>0.0203820438045947i</v>
      </c>
      <c r="AH432" s="98">
        <f t="shared" si="264"/>
        <v>2.0382043804594699E-2</v>
      </c>
      <c r="AI432" s="98">
        <f t="shared" si="265"/>
        <v>1.5707963267948966</v>
      </c>
      <c r="AJ432" s="98" t="str">
        <f t="shared" si="251"/>
        <v>1+6.21149474389003i</v>
      </c>
      <c r="AK432" s="98">
        <f t="shared" si="266"/>
        <v>6.2914757373269321</v>
      </c>
      <c r="AL432" s="98">
        <f t="shared" si="267"/>
        <v>1.4111741268167881</v>
      </c>
      <c r="AM432" s="98" t="str">
        <f t="shared" si="252"/>
        <v>1+97.3134176542775i</v>
      </c>
      <c r="AN432" s="98">
        <f t="shared" si="268"/>
        <v>97.318555556254779</v>
      </c>
      <c r="AO432" s="98">
        <f t="shared" si="269"/>
        <v>1.5605206132592577</v>
      </c>
      <c r="AP432" s="168" t="str">
        <f t="shared" si="270"/>
        <v>-0.00921804178157372+0.0612629440500002i</v>
      </c>
      <c r="AQ432" s="98">
        <f t="shared" si="271"/>
        <v>-24.15881382245507</v>
      </c>
      <c r="AR432" s="169">
        <f t="shared" si="272"/>
        <v>98.556923358261315</v>
      </c>
      <c r="AS432" s="168" t="str">
        <f t="shared" si="273"/>
        <v>-0.00509537911466448-0.0120875454556426i</v>
      </c>
      <c r="AT432" s="190">
        <f t="shared" si="274"/>
        <v>-37.642906933076503</v>
      </c>
      <c r="AU432" s="169">
        <f t="shared" si="275"/>
        <v>-112.8573498413853</v>
      </c>
      <c r="AV432" s="225"/>
      <c r="AX432">
        <f t="shared" si="276"/>
        <v>0</v>
      </c>
      <c r="AY432">
        <f t="shared" si="277"/>
        <v>0</v>
      </c>
    </row>
    <row r="433" spans="14:51" x14ac:dyDescent="0.25">
      <c r="N433" s="170">
        <v>15</v>
      </c>
      <c r="O433" s="199">
        <f t="shared" si="278"/>
        <v>141253.75446227577</v>
      </c>
      <c r="P433" s="189" t="str">
        <f t="shared" si="244"/>
        <v>18.0065359477124</v>
      </c>
      <c r="Q433" s="160" t="str">
        <f t="shared" si="245"/>
        <v>1+278.438749685121i</v>
      </c>
      <c r="R433" s="160">
        <f t="shared" si="253"/>
        <v>278.44054540640002</v>
      </c>
      <c r="S433" s="160">
        <f t="shared" si="254"/>
        <v>1.5672048880973379</v>
      </c>
      <c r="T433" s="160" t="str">
        <f t="shared" si="246"/>
        <v>1+0.35500940584853i</v>
      </c>
      <c r="U433" s="160">
        <f t="shared" si="255"/>
        <v>1.0611463981189995</v>
      </c>
      <c r="V433" s="160">
        <f t="shared" si="256"/>
        <v>0.34113055256750813</v>
      </c>
      <c r="W433" s="98" t="str">
        <f t="shared" si="247"/>
        <v>1-5.01536833747229i</v>
      </c>
      <c r="X433" s="160">
        <f t="shared" si="257"/>
        <v>5.1140902964769364</v>
      </c>
      <c r="Y433" s="160">
        <f t="shared" si="258"/>
        <v>-1.3739901149909657</v>
      </c>
      <c r="Z433" s="98" t="str">
        <f t="shared" si="248"/>
        <v>0.758607205750456+1.49911886264529i</v>
      </c>
      <c r="AA433" s="160">
        <f t="shared" si="259"/>
        <v>1.6801316189380588</v>
      </c>
      <c r="AB433" s="160">
        <f t="shared" si="260"/>
        <v>1.1023320673206451</v>
      </c>
      <c r="AC433" s="171" t="str">
        <f t="shared" si="261"/>
        <v>-0.176885898831697+0.111096715103381i</v>
      </c>
      <c r="AD433" s="190">
        <f t="shared" si="262"/>
        <v>-13.602038246524067</v>
      </c>
      <c r="AE433" s="169">
        <f t="shared" si="263"/>
        <v>147.86830544375317</v>
      </c>
      <c r="AF433" s="98" t="str">
        <f t="shared" si="249"/>
        <v>-0.0000816326530612245</v>
      </c>
      <c r="AG433" s="98" t="str">
        <f t="shared" si="250"/>
        <v>0.0208568025936011i</v>
      </c>
      <c r="AH433" s="98">
        <f t="shared" si="264"/>
        <v>2.08568025936011E-2</v>
      </c>
      <c r="AI433" s="98">
        <f t="shared" si="265"/>
        <v>1.5707963267948966</v>
      </c>
      <c r="AJ433" s="98" t="str">
        <f t="shared" si="251"/>
        <v>1+6.35617904301142i</v>
      </c>
      <c r="AK433" s="98">
        <f t="shared" si="266"/>
        <v>6.4343618197003485</v>
      </c>
      <c r="AL433" s="98">
        <f t="shared" si="267"/>
        <v>1.4147482072726194</v>
      </c>
      <c r="AM433" s="98" t="str">
        <f t="shared" si="252"/>
        <v>1+99.5801383405126i</v>
      </c>
      <c r="AN433" s="98">
        <f t="shared" si="268"/>
        <v>99.585159295527689</v>
      </c>
      <c r="AO433" s="98">
        <f t="shared" si="269"/>
        <v>1.5607545011488972</v>
      </c>
      <c r="AP433" s="168" t="str">
        <f t="shared" si="270"/>
        <v>-0.00881318257548784+0.0599321245657373i</v>
      </c>
      <c r="AQ433" s="98">
        <f t="shared" si="271"/>
        <v>-24.353893512271778</v>
      </c>
      <c r="AR433" s="169">
        <f t="shared" si="272"/>
        <v>98.365544421457528</v>
      </c>
      <c r="AS433" s="168" t="str">
        <f t="shared" si="273"/>
        <v>-0.00509933444698704-0.0115802633564467i</v>
      </c>
      <c r="AT433" s="190">
        <f t="shared" si="274"/>
        <v>-37.955931758795863</v>
      </c>
      <c r="AU433" s="169">
        <f t="shared" si="275"/>
        <v>-113.76615013478934</v>
      </c>
      <c r="AV433" s="225"/>
      <c r="AX433">
        <f t="shared" si="276"/>
        <v>0</v>
      </c>
      <c r="AY433">
        <f t="shared" si="277"/>
        <v>0</v>
      </c>
    </row>
    <row r="434" spans="14:51" x14ac:dyDescent="0.25">
      <c r="N434" s="170">
        <v>16</v>
      </c>
      <c r="O434" s="199">
        <f t="shared" si="278"/>
        <v>144543.97707459307</v>
      </c>
      <c r="P434" s="189" t="str">
        <f t="shared" si="244"/>
        <v>18.0065359477124</v>
      </c>
      <c r="Q434" s="160" t="str">
        <f t="shared" si="245"/>
        <v>1+284.9244213322i</v>
      </c>
      <c r="R434" s="160">
        <f t="shared" si="253"/>
        <v>284.92617617812687</v>
      </c>
      <c r="S434" s="160">
        <f t="shared" si="254"/>
        <v>1.567286638543709</v>
      </c>
      <c r="T434" s="160" t="str">
        <f t="shared" si="246"/>
        <v>1+0.363278637198554i</v>
      </c>
      <c r="U434" s="160">
        <f t="shared" si="255"/>
        <v>1.0639414308338775</v>
      </c>
      <c r="V434" s="160">
        <f t="shared" si="256"/>
        <v>0.34845501912319049</v>
      </c>
      <c r="W434" s="98" t="str">
        <f t="shared" si="247"/>
        <v>1-5.13219127344217i</v>
      </c>
      <c r="X434" s="160">
        <f t="shared" si="257"/>
        <v>5.2287079921521684</v>
      </c>
      <c r="Y434" s="160">
        <f t="shared" si="258"/>
        <v>-1.3783589608061095</v>
      </c>
      <c r="Z434" s="98" t="str">
        <f t="shared" si="248"/>
        <v>0.747230713847525+1.53403782674082i</v>
      </c>
      <c r="AA434" s="160">
        <f t="shared" si="259"/>
        <v>1.7063486729237902</v>
      </c>
      <c r="AB434" s="160">
        <f t="shared" si="260"/>
        <v>1.1175214050304414</v>
      </c>
      <c r="AC434" s="171" t="str">
        <f t="shared" si="261"/>
        <v>-0.173113865980494+0.111723926090537i</v>
      </c>
      <c r="AD434" s="190">
        <f t="shared" si="262"/>
        <v>-13.721156938018943</v>
      </c>
      <c r="AE434" s="169">
        <f t="shared" si="263"/>
        <v>147.16268113810676</v>
      </c>
      <c r="AF434" s="98" t="str">
        <f t="shared" si="249"/>
        <v>-0.0000816326530612245</v>
      </c>
      <c r="AG434" s="98" t="str">
        <f t="shared" si="250"/>
        <v>0.0213426199354151i</v>
      </c>
      <c r="AH434" s="98">
        <f t="shared" si="264"/>
        <v>2.13426199354151E-2</v>
      </c>
      <c r="AI434" s="98">
        <f t="shared" si="265"/>
        <v>1.5707963267948966</v>
      </c>
      <c r="AJ434" s="98" t="str">
        <f t="shared" si="251"/>
        <v>1+6.50423347239537i</v>
      </c>
      <c r="AK434" s="98">
        <f t="shared" si="266"/>
        <v>6.5806574947666396</v>
      </c>
      <c r="AL434" s="98">
        <f t="shared" si="267"/>
        <v>1.4182448199157331</v>
      </c>
      <c r="AM434" s="98" t="str">
        <f t="shared" si="252"/>
        <v>1+101.899657734195i</v>
      </c>
      <c r="AN434" s="98">
        <f t="shared" si="268"/>
        <v>101.90456440388768</v>
      </c>
      <c r="AO434" s="98">
        <f t="shared" si="269"/>
        <v>1.5609830661618311</v>
      </c>
      <c r="AP434" s="168" t="str">
        <f t="shared" si="270"/>
        <v>-0.00842568365562057+0.0586274792727149i</v>
      </c>
      <c r="AQ434" s="98">
        <f t="shared" si="271"/>
        <v>-24.549189399330956</v>
      </c>
      <c r="AR434" s="169">
        <f t="shared" si="272"/>
        <v>98.178299085000418</v>
      </c>
      <c r="AS434" s="168" t="str">
        <f t="shared" si="273"/>
        <v>-0.00509148948998615-0.0110905800475938i</v>
      </c>
      <c r="AT434" s="190">
        <f t="shared" si="274"/>
        <v>-38.270346337349871</v>
      </c>
      <c r="AU434" s="169">
        <f t="shared" si="275"/>
        <v>-114.65901977689272</v>
      </c>
      <c r="AV434" s="225"/>
      <c r="AX434">
        <f t="shared" si="276"/>
        <v>0</v>
      </c>
      <c r="AY434">
        <f t="shared" si="277"/>
        <v>0</v>
      </c>
    </row>
    <row r="435" spans="14:51" x14ac:dyDescent="0.25">
      <c r="N435" s="170">
        <v>17</v>
      </c>
      <c r="O435" s="199">
        <f t="shared" si="278"/>
        <v>147910.83881682079</v>
      </c>
      <c r="P435" s="189" t="str">
        <f t="shared" si="244"/>
        <v>18.0065359477124</v>
      </c>
      <c r="Q435" s="160" t="str">
        <f t="shared" si="245"/>
        <v>1+291.561163678888i</v>
      </c>
      <c r="R435" s="160">
        <f t="shared" si="253"/>
        <v>291.56287857988252</v>
      </c>
      <c r="S435" s="160">
        <f t="shared" si="254"/>
        <v>1.5673665281680624</v>
      </c>
      <c r="T435" s="160" t="str">
        <f t="shared" si="246"/>
        <v>1+0.371740483690582i</v>
      </c>
      <c r="U435" s="160">
        <f t="shared" si="255"/>
        <v>1.0668603410074384</v>
      </c>
      <c r="V435" s="160">
        <f t="shared" si="256"/>
        <v>0.35590995432612305</v>
      </c>
      <c r="W435" s="98" t="str">
        <f t="shared" si="247"/>
        <v>1-5.2517353651578i</v>
      </c>
      <c r="X435" s="160">
        <f t="shared" si="257"/>
        <v>5.346094307590274</v>
      </c>
      <c r="Y435" s="160">
        <f t="shared" si="258"/>
        <v>-1.3826355588834736</v>
      </c>
      <c r="Z435" s="98" t="str">
        <f t="shared" si="248"/>
        <v>0.735318064399298+1.56977015799748i</v>
      </c>
      <c r="AA435" s="160">
        <f t="shared" si="259"/>
        <v>1.7334563752143761</v>
      </c>
      <c r="AB435" s="160">
        <f t="shared" si="260"/>
        <v>1.132727048409953</v>
      </c>
      <c r="AC435" s="171" t="str">
        <f t="shared" si="261"/>
        <v>-0.169387022475065+0.112246711725138i</v>
      </c>
      <c r="AD435" s="190">
        <f t="shared" si="262"/>
        <v>-13.841415733642503</v>
      </c>
      <c r="AE435" s="169">
        <f t="shared" si="263"/>
        <v>146.46898991254196</v>
      </c>
      <c r="AF435" s="98" t="str">
        <f t="shared" si="249"/>
        <v>-0.0000816326530612245</v>
      </c>
      <c r="AG435" s="98" t="str">
        <f t="shared" si="250"/>
        <v>0.0218397534168217i</v>
      </c>
      <c r="AH435" s="98">
        <f t="shared" si="264"/>
        <v>2.1839753416821699E-2</v>
      </c>
      <c r="AI435" s="98">
        <f t="shared" si="265"/>
        <v>1.5707963267948966</v>
      </c>
      <c r="AJ435" s="98" t="str">
        <f t="shared" si="251"/>
        <v>1+6.65573653246008i</v>
      </c>
      <c r="AK435" s="98">
        <f t="shared" si="266"/>
        <v>6.7304404602911179</v>
      </c>
      <c r="AL435" s="98">
        <f t="shared" si="267"/>
        <v>1.4216654765157981</v>
      </c>
      <c r="AM435" s="98" t="str">
        <f t="shared" si="252"/>
        <v>1+104.273205675208i</v>
      </c>
      <c r="AN435" s="98">
        <f t="shared" si="268"/>
        <v>104.27800066065821</v>
      </c>
      <c r="AO435" s="98">
        <f t="shared" si="269"/>
        <v>1.561206429390674</v>
      </c>
      <c r="AP435" s="168" t="str">
        <f t="shared" si="270"/>
        <v>-0.00805483690312751+0.0573486732803661i</v>
      </c>
      <c r="AQ435" s="98">
        <f t="shared" si="271"/>
        <v>-24.744692204937383</v>
      </c>
      <c r="AR435" s="169">
        <f t="shared" si="272"/>
        <v>97.99510766896428</v>
      </c>
      <c r="AS435" s="168" t="str">
        <f t="shared" si="273"/>
        <v>-0.00507281515797734-0.0106182499657149i</v>
      </c>
      <c r="AT435" s="190">
        <f t="shared" si="274"/>
        <v>-38.586107938579879</v>
      </c>
      <c r="AU435" s="169">
        <f t="shared" si="275"/>
        <v>-115.53590241849373</v>
      </c>
      <c r="AV435" s="225"/>
      <c r="AX435">
        <f t="shared" si="276"/>
        <v>0</v>
      </c>
      <c r="AY435">
        <f t="shared" si="277"/>
        <v>0</v>
      </c>
    </row>
    <row r="436" spans="14:51" x14ac:dyDescent="0.25">
      <c r="N436" s="170">
        <v>18</v>
      </c>
      <c r="O436" s="199">
        <f t="shared" si="278"/>
        <v>151356.12484362084</v>
      </c>
      <c r="P436" s="189" t="str">
        <f t="shared" si="244"/>
        <v>18.0065359477124</v>
      </c>
      <c r="Q436" s="160" t="str">
        <f t="shared" si="245"/>
        <v>1+298.352495613828i</v>
      </c>
      <c r="R436" s="160">
        <f t="shared" si="253"/>
        <v>298.35417147913194</v>
      </c>
      <c r="S436" s="160">
        <f t="shared" si="254"/>
        <v>1.5674445993248534</v>
      </c>
      <c r="T436" s="160" t="str">
        <f t="shared" si="246"/>
        <v>1+0.380399431907631i</v>
      </c>
      <c r="U436" s="160">
        <f t="shared" si="255"/>
        <v>1.0699082800855635</v>
      </c>
      <c r="V436" s="160">
        <f t="shared" si="256"/>
        <v>0.36349599537169869</v>
      </c>
      <c r="W436" s="98" t="str">
        <f t="shared" si="247"/>
        <v>1-5.37406399647898i</v>
      </c>
      <c r="X436" s="160">
        <f t="shared" si="257"/>
        <v>5.4663117216503148</v>
      </c>
      <c r="Y436" s="160">
        <f t="shared" si="258"/>
        <v>-1.3868215507021755</v>
      </c>
      <c r="Z436" s="98" t="str">
        <f t="shared" si="248"/>
        <v>0.722843989079135+1.60633480217027i</v>
      </c>
      <c r="AA436" s="160">
        <f t="shared" si="259"/>
        <v>1.7614808909582975</v>
      </c>
      <c r="AB436" s="160">
        <f t="shared" si="260"/>
        <v>1.1479458547140715</v>
      </c>
      <c r="AC436" s="171" t="str">
        <f t="shared" si="261"/>
        <v>-0.16570809156804+0.112668585904237i</v>
      </c>
      <c r="AD436" s="190">
        <f t="shared" si="262"/>
        <v>-13.962778710173289</v>
      </c>
      <c r="AE436" s="169">
        <f t="shared" si="263"/>
        <v>145.7873518651399</v>
      </c>
      <c r="AF436" s="98" t="str">
        <f t="shared" si="249"/>
        <v>-0.0000816326530612245</v>
      </c>
      <c r="AG436" s="98" t="str">
        <f t="shared" si="250"/>
        <v>0.0223484666245733i</v>
      </c>
      <c r="AH436" s="98">
        <f t="shared" si="264"/>
        <v>2.23484666245733E-2</v>
      </c>
      <c r="AI436" s="98">
        <f t="shared" si="265"/>
        <v>1.5707963267948966</v>
      </c>
      <c r="AJ436" s="98" t="str">
        <f t="shared" si="251"/>
        <v>1+6.81076855213341i</v>
      </c>
      <c r="AK436" s="98">
        <f t="shared" si="266"/>
        <v>6.8837902547019416</v>
      </c>
      <c r="AL436" s="98">
        <f t="shared" si="267"/>
        <v>1.4250116703871616</v>
      </c>
      <c r="AM436" s="98" t="str">
        <f t="shared" si="252"/>
        <v>1+106.702040650091i</v>
      </c>
      <c r="AN436" s="98">
        <f t="shared" si="268"/>
        <v>106.70672649319572</v>
      </c>
      <c r="AO436" s="98">
        <f t="shared" si="269"/>
        <v>1.5614247091763651</v>
      </c>
      <c r="AP436" s="168" t="str">
        <f t="shared" si="270"/>
        <v>-0.00769995994893971+0.0560953633749257i</v>
      </c>
      <c r="AQ436" s="98">
        <f t="shared" si="271"/>
        <v>-24.940393029571784</v>
      </c>
      <c r="AR436" s="169">
        <f t="shared" si="272"/>
        <v>97.815891393175761</v>
      </c>
      <c r="AS436" s="168" t="str">
        <f t="shared" si="273"/>
        <v>-0.00504423959894806-0.010162999209641i</v>
      </c>
      <c r="AT436" s="190">
        <f t="shared" si="274"/>
        <v>-38.903171739745048</v>
      </c>
      <c r="AU436" s="169">
        <f t="shared" si="275"/>
        <v>-116.39675674168421</v>
      </c>
      <c r="AV436" s="225"/>
      <c r="AX436">
        <f t="shared" si="276"/>
        <v>0</v>
      </c>
      <c r="AY436">
        <f t="shared" si="277"/>
        <v>0</v>
      </c>
    </row>
    <row r="437" spans="14:51" x14ac:dyDescent="0.25">
      <c r="N437" s="170">
        <v>19</v>
      </c>
      <c r="O437" s="199">
        <f t="shared" si="278"/>
        <v>154881.66189124843</v>
      </c>
      <c r="P437" s="189" t="str">
        <f t="shared" si="244"/>
        <v>18.0065359477124</v>
      </c>
      <c r="Q437" s="160" t="str">
        <f t="shared" si="245"/>
        <v>1+305.302017991106i</v>
      </c>
      <c r="R437" s="160">
        <f t="shared" si="253"/>
        <v>305.30365570926534</v>
      </c>
      <c r="S437" s="160">
        <f t="shared" si="254"/>
        <v>1.5675208934046334</v>
      </c>
      <c r="T437" s="160" t="str">
        <f t="shared" si="246"/>
        <v>1+0.38926007293866i</v>
      </c>
      <c r="U437" s="160">
        <f t="shared" si="255"/>
        <v>1.0730905853581099</v>
      </c>
      <c r="V437" s="160">
        <f t="shared" si="256"/>
        <v>0.37121367098533348</v>
      </c>
      <c r="W437" s="98" t="str">
        <f t="shared" si="247"/>
        <v>1-5.49924202766526i</v>
      </c>
      <c r="X437" s="160">
        <f t="shared" si="257"/>
        <v>5.5894241992212335</v>
      </c>
      <c r="Y437" s="160">
        <f t="shared" si="258"/>
        <v>-1.3909185686515715</v>
      </c>
      <c r="Z437" s="98" t="str">
        <f t="shared" si="248"/>
        <v>0.709782028700854+1.64375114631754i</v>
      </c>
      <c r="AA437" s="160">
        <f t="shared" si="259"/>
        <v>1.7904492060058355</v>
      </c>
      <c r="AB437" s="160">
        <f t="shared" si="260"/>
        <v>1.1631748727072631</v>
      </c>
      <c r="AC437" s="171" t="str">
        <f t="shared" si="261"/>
        <v>-0.162079603270038+0.112993159472458i</v>
      </c>
      <c r="AD437" s="190">
        <f t="shared" si="262"/>
        <v>-14.085207630784787</v>
      </c>
      <c r="AE437" s="169">
        <f t="shared" si="263"/>
        <v>145.11787048245034</v>
      </c>
      <c r="AF437" s="98" t="str">
        <f t="shared" si="249"/>
        <v>-0.0000816326530612245</v>
      </c>
      <c r="AG437" s="98" t="str">
        <f t="shared" si="250"/>
        <v>0.0228690292851462i</v>
      </c>
      <c r="AH437" s="98">
        <f t="shared" si="264"/>
        <v>2.2869029285146201E-2</v>
      </c>
      <c r="AI437" s="98">
        <f t="shared" si="265"/>
        <v>1.5707963267948966</v>
      </c>
      <c r="AJ437" s="98" t="str">
        <f t="shared" si="251"/>
        <v>1+6.96941173144427i</v>
      </c>
      <c r="AK437" s="98">
        <f t="shared" si="266"/>
        <v>7.0407882997852607</v>
      </c>
      <c r="AL437" s="98">
        <f t="shared" si="267"/>
        <v>1.4282848758316788</v>
      </c>
      <c r="AM437" s="98" t="str">
        <f t="shared" si="252"/>
        <v>1+109.187450459294i</v>
      </c>
      <c r="AN437" s="98">
        <f t="shared" si="268"/>
        <v>109.19202964411267</v>
      </c>
      <c r="AO437" s="98">
        <f t="shared" si="269"/>
        <v>1.5616380211704863</v>
      </c>
      <c r="AP437" s="168" t="str">
        <f t="shared" si="270"/>
        <v>-0.00736039551341663+0.0548671991216568i</v>
      </c>
      <c r="AQ437" s="98">
        <f t="shared" si="271"/>
        <v>-25.136283339042006</v>
      </c>
      <c r="AR437" s="169">
        <f t="shared" si="272"/>
        <v>97.640572412708366</v>
      </c>
      <c r="AS437" s="168" t="str">
        <f t="shared" si="273"/>
        <v>-0.00500664819543534-0.00972452821020416i</v>
      </c>
      <c r="AT437" s="190">
        <f t="shared" si="274"/>
        <v>-39.221490969826796</v>
      </c>
      <c r="AU437" s="169">
        <f t="shared" si="275"/>
        <v>-117.24155710484132</v>
      </c>
      <c r="AV437" s="225"/>
      <c r="AX437">
        <f t="shared" si="276"/>
        <v>0</v>
      </c>
      <c r="AY437">
        <f t="shared" si="277"/>
        <v>0</v>
      </c>
    </row>
    <row r="438" spans="14:51" x14ac:dyDescent="0.25">
      <c r="N438" s="170">
        <v>20</v>
      </c>
      <c r="O438" s="199">
        <f t="shared" si="278"/>
        <v>158489.31924611164</v>
      </c>
      <c r="P438" s="189" t="str">
        <f t="shared" si="244"/>
        <v>18.0065359477124</v>
      </c>
      <c r="Q438" s="160" t="str">
        <f t="shared" si="245"/>
        <v>1+312.413415539471i</v>
      </c>
      <c r="R438" s="160">
        <f t="shared" si="253"/>
        <v>312.41501597880688</v>
      </c>
      <c r="S438" s="160">
        <f t="shared" si="254"/>
        <v>1.5675954508559788</v>
      </c>
      <c r="T438" s="160" t="str">
        <f t="shared" si="246"/>
        <v>1+0.398327104812825i</v>
      </c>
      <c r="U438" s="160">
        <f t="shared" si="255"/>
        <v>1.0764127844040905</v>
      </c>
      <c r="V438" s="160">
        <f t="shared" si="256"/>
        <v>0.3790633946904558</v>
      </c>
      <c r="W438" s="98" t="str">
        <f t="shared" si="247"/>
        <v>1-5.62733582976566i</v>
      </c>
      <c r="X438" s="160">
        <f t="shared" si="257"/>
        <v>5.715497226048174</v>
      </c>
      <c r="Y438" s="160">
        <f t="shared" si="258"/>
        <v>-1.3949282345891529</v>
      </c>
      <c r="Z438" s="98" t="str">
        <f t="shared" si="248"/>
        <v>0.696104477095249+1.68203902908019i</v>
      </c>
      <c r="AA438" s="160">
        <f t="shared" si="259"/>
        <v>1.8203891722324319</v>
      </c>
      <c r="AB438" s="160">
        <f t="shared" si="260"/>
        <v>1.1784113483444238</v>
      </c>
      <c r="AC438" s="171" t="str">
        <f t="shared" si="261"/>
        <v>-0.158503889330332+0.113224125352838i</v>
      </c>
      <c r="AD438" s="190">
        <f t="shared" si="262"/>
        <v>-14.208662110140246</v>
      </c>
      <c r="AE438" s="169">
        <f t="shared" si="263"/>
        <v>144.4606320096604</v>
      </c>
      <c r="AF438" s="98" t="str">
        <f t="shared" si="249"/>
        <v>-0.0000816326530612245</v>
      </c>
      <c r="AG438" s="98" t="str">
        <f t="shared" si="250"/>
        <v>0.0234017174077535i</v>
      </c>
      <c r="AH438" s="98">
        <f t="shared" si="264"/>
        <v>2.34017174077535E-2</v>
      </c>
      <c r="AI438" s="98">
        <f t="shared" si="265"/>
        <v>1.5707963267948966</v>
      </c>
      <c r="AJ438" s="98" t="str">
        <f t="shared" si="251"/>
        <v>1+7.1317501851062i</v>
      </c>
      <c r="AK438" s="98">
        <f t="shared" si="266"/>
        <v>7.201517944347728</v>
      </c>
      <c r="AL438" s="98">
        <f t="shared" si="267"/>
        <v>1.4314865476503853</v>
      </c>
      <c r="AM438" s="98" t="str">
        <f t="shared" si="252"/>
        <v>1+111.730752899997i</v>
      </c>
      <c r="AN438" s="98">
        <f t="shared" si="268"/>
        <v>111.73522785406662</v>
      </c>
      <c r="AO438" s="98">
        <f t="shared" si="269"/>
        <v>1.5618464783961872</v>
      </c>
      <c r="AP438" s="168" t="str">
        <f t="shared" si="270"/>
        <v>-0.00703551073675372+0.0536638238963952i</v>
      </c>
      <c r="AQ438" s="98">
        <f t="shared" si="271"/>
        <v>-25.332354950994286</v>
      </c>
      <c r="AR438" s="169">
        <f t="shared" si="272"/>
        <v>97.469073849352142</v>
      </c>
      <c r="AS438" s="168" t="str">
        <f t="shared" si="273"/>
        <v>-0.0049608837085573-0.00930251435349609i</v>
      </c>
      <c r="AT438" s="190">
        <f t="shared" si="274"/>
        <v>-39.541017061134532</v>
      </c>
      <c r="AU438" s="169">
        <f t="shared" si="275"/>
        <v>-118.07029414098746</v>
      </c>
      <c r="AV438" s="225"/>
      <c r="AX438">
        <f t="shared" si="276"/>
        <v>0</v>
      </c>
      <c r="AY438">
        <f t="shared" si="277"/>
        <v>0</v>
      </c>
    </row>
    <row r="439" spans="14:51" x14ac:dyDescent="0.25">
      <c r="N439" s="170">
        <v>21</v>
      </c>
      <c r="O439" s="199">
        <f t="shared" si="278"/>
        <v>162181.00973589328</v>
      </c>
      <c r="P439" s="189" t="str">
        <f t="shared" si="244"/>
        <v>18.0065359477124</v>
      </c>
      <c r="Q439" s="160" t="str">
        <f t="shared" si="245"/>
        <v>1+319.690458816034i</v>
      </c>
      <c r="R439" s="160">
        <f t="shared" si="253"/>
        <v>319.69202282510321</v>
      </c>
      <c r="S439" s="160">
        <f t="shared" si="254"/>
        <v>1.5676683112069199</v>
      </c>
      <c r="T439" s="160" t="str">
        <f t="shared" si="246"/>
        <v>1+0.407605334990444i</v>
      </c>
      <c r="U439" s="160">
        <f t="shared" si="255"/>
        <v>1.0798805994704563</v>
      </c>
      <c r="V439" s="160">
        <f t="shared" si="256"/>
        <v>0.3870454579999133</v>
      </c>
      <c r="W439" s="98" t="str">
        <f t="shared" si="247"/>
        <v>1-5.75841331980958i</v>
      </c>
      <c r="X439" s="160">
        <f t="shared" si="257"/>
        <v>5.8445978443140456</v>
      </c>
      <c r="Y439" s="160">
        <f t="shared" si="258"/>
        <v>-1.3988521585173874</v>
      </c>
      <c r="Z439" s="98" t="str">
        <f t="shared" si="248"/>
        <v>0.681782322341581+1.72121875120047i</v>
      </c>
      <c r="AA439" s="160">
        <f t="shared" si="259"/>
        <v>1.8513295558980265</v>
      </c>
      <c r="AB439" s="160">
        <f t="shared" si="260"/>
        <v>1.1936527293257311</v>
      </c>
      <c r="AC439" s="171" t="str">
        <f t="shared" si="261"/>
        <v>-0.154983079568635+0.113365243567032i</v>
      </c>
      <c r="AD439" s="190">
        <f t="shared" si="262"/>
        <v>-14.333099785777602</v>
      </c>
      <c r="AE439" s="169">
        <f t="shared" si="263"/>
        <v>143.81570487409772</v>
      </c>
      <c r="AF439" s="98" t="str">
        <f t="shared" si="249"/>
        <v>-0.0000816326530612245</v>
      </c>
      <c r="AG439" s="98" t="str">
        <f t="shared" si="250"/>
        <v>0.0239468134306887i</v>
      </c>
      <c r="AH439" s="98">
        <f t="shared" si="264"/>
        <v>2.3946813430688701E-2</v>
      </c>
      <c r="AI439" s="98">
        <f t="shared" si="265"/>
        <v>1.5707963267948966</v>
      </c>
      <c r="AJ439" s="98" t="str">
        <f t="shared" si="251"/>
        <v>1+7.29786998711611i</v>
      </c>
      <c r="AK439" s="98">
        <f t="shared" si="266"/>
        <v>7.3660645088710766</v>
      </c>
      <c r="AL439" s="98">
        <f t="shared" si="267"/>
        <v>1.4346181207196074</v>
      </c>
      <c r="AM439" s="98" t="str">
        <f t="shared" si="252"/>
        <v>1+114.33329646482i</v>
      </c>
      <c r="AN439" s="98">
        <f t="shared" si="268"/>
        <v>114.33766956044023</v>
      </c>
      <c r="AO439" s="98">
        <f t="shared" si="269"/>
        <v>1.5620501913077391</v>
      </c>
      <c r="AP439" s="168" t="str">
        <f t="shared" si="270"/>
        <v>-0.006724696503398+0.0524848758495546i</v>
      </c>
      <c r="AQ439" s="98">
        <f t="shared" si="271"/>
        <v>-25.528600021789885</v>
      </c>
      <c r="AR439" s="169">
        <f t="shared" si="272"/>
        <v>97.301319819313164</v>
      </c>
      <c r="AS439" s="168" t="str">
        <f t="shared" si="273"/>
        <v>-0.00490774656100914-0.00889661454696353i</v>
      </c>
      <c r="AT439" s="190">
        <f t="shared" si="274"/>
        <v>-39.861699807567483</v>
      </c>
      <c r="AU439" s="169">
        <f t="shared" si="275"/>
        <v>-118.88297530658916</v>
      </c>
      <c r="AV439" s="225"/>
      <c r="AX439">
        <f t="shared" si="276"/>
        <v>0</v>
      </c>
      <c r="AY439">
        <f t="shared" si="277"/>
        <v>0</v>
      </c>
    </row>
    <row r="440" spans="14:51" x14ac:dyDescent="0.25">
      <c r="N440" s="170">
        <v>22</v>
      </c>
      <c r="O440" s="199">
        <f t="shared" si="278"/>
        <v>165958.69074375604</v>
      </c>
      <c r="P440" s="189" t="str">
        <f t="shared" si="244"/>
        <v>18.0065359477124</v>
      </c>
      <c r="Q440" s="160" t="str">
        <f t="shared" si="245"/>
        <v>1+327.137006205468i</v>
      </c>
      <c r="R440" s="160">
        <f t="shared" si="253"/>
        <v>327.13853461351272</v>
      </c>
      <c r="S440" s="160">
        <f t="shared" si="254"/>
        <v>1.5677395130858824</v>
      </c>
      <c r="T440" s="160" t="str">
        <f t="shared" si="246"/>
        <v>1+0.417099682911972i</v>
      </c>
      <c r="U440" s="160">
        <f t="shared" si="255"/>
        <v>1.0834999517698503</v>
      </c>
      <c r="V440" s="160">
        <f t="shared" si="256"/>
        <v>0.39516002355782992</v>
      </c>
      <c r="W440" s="98" t="str">
        <f t="shared" si="247"/>
        <v>1-5.89254399681732i</v>
      </c>
      <c r="X440" s="160">
        <f t="shared" si="257"/>
        <v>5.9767946889974271</v>
      </c>
      <c r="Y440" s="160">
        <f t="shared" si="258"/>
        <v>-1.4026919373733731</v>
      </c>
      <c r="Z440" s="98" t="str">
        <f t="shared" si="248"/>
        <v>0.666785185229409+1.76131108628568i</v>
      </c>
      <c r="AA440" s="160">
        <f t="shared" si="259"/>
        <v>1.8833000891823533</v>
      </c>
      <c r="AB440" s="160">
        <f t="shared" si="260"/>
        <v>1.2088966685174838</v>
      </c>
      <c r="AC440" s="171" t="str">
        <f t="shared" si="261"/>
        <v>-0.1515190995324+0.113420326275049i</v>
      </c>
      <c r="AD440" s="190">
        <f t="shared" si="262"/>
        <v>-14.458476495135189</v>
      </c>
      <c r="AE440" s="169">
        <f t="shared" si="263"/>
        <v>143.18313916443739</v>
      </c>
      <c r="AF440" s="98" t="str">
        <f t="shared" si="249"/>
        <v>-0.0000816326530612245</v>
      </c>
      <c r="AG440" s="98" t="str">
        <f t="shared" si="250"/>
        <v>0.0245046063710783i</v>
      </c>
      <c r="AH440" s="98">
        <f t="shared" si="264"/>
        <v>2.4504606371078302E-2</v>
      </c>
      <c r="AI440" s="98">
        <f t="shared" si="265"/>
        <v>1.5707963267948966</v>
      </c>
      <c r="AJ440" s="98" t="str">
        <f t="shared" si="251"/>
        <v>1+7.46785921639198i</v>
      </c>
      <c r="AK440" s="98">
        <f t="shared" si="266"/>
        <v>7.5345153311842585</v>
      </c>
      <c r="AL440" s="98">
        <f t="shared" si="267"/>
        <v>1.4376810096273196</v>
      </c>
      <c r="AM440" s="98" t="str">
        <f t="shared" si="252"/>
        <v>1+116.996461056808i</v>
      </c>
      <c r="AN440" s="98">
        <f t="shared" si="268"/>
        <v>117.00073461229717</v>
      </c>
      <c r="AO440" s="98">
        <f t="shared" si="269"/>
        <v>1.5622492678487547</v>
      </c>
      <c r="AP440" s="168" t="str">
        <f t="shared" si="270"/>
        <v>-0.00642736676339714+0.051329988805705i</v>
      </c>
      <c r="AQ440" s="98">
        <f t="shared" si="271"/>
        <v>-25.725011033750341</v>
      </c>
      <c r="AR440" s="169">
        <f t="shared" si="272"/>
        <v>97.137235457384037</v>
      </c>
      <c r="AS440" s="168" t="str">
        <f t="shared" si="273"/>
        <v>-0.00484799525368326-0.0085064677182425i</v>
      </c>
      <c r="AT440" s="190">
        <f t="shared" si="274"/>
        <v>-40.183487528885529</v>
      </c>
      <c r="AU440" s="169">
        <f t="shared" si="275"/>
        <v>-119.67962537817854</v>
      </c>
      <c r="AV440" s="225"/>
      <c r="AX440">
        <f t="shared" si="276"/>
        <v>0</v>
      </c>
      <c r="AY440">
        <f t="shared" si="277"/>
        <v>0</v>
      </c>
    </row>
    <row r="441" spans="14:51" x14ac:dyDescent="0.25">
      <c r="N441" s="170">
        <v>23</v>
      </c>
      <c r="O441" s="199">
        <f t="shared" si="278"/>
        <v>169824.36524617471</v>
      </c>
      <c r="P441" s="189" t="str">
        <f t="shared" si="244"/>
        <v>18.0065359477124</v>
      </c>
      <c r="Q441" s="160" t="str">
        <f t="shared" si="245"/>
        <v>1+334.75700596576i</v>
      </c>
      <c r="R441" s="160">
        <f t="shared" si="253"/>
        <v>334.75849958314711</v>
      </c>
      <c r="S441" s="160">
        <f t="shared" si="254"/>
        <v>1.5678090942421563</v>
      </c>
      <c r="T441" s="160" t="str">
        <f t="shared" si="246"/>
        <v>1+0.426815182606344i</v>
      </c>
      <c r="U441" s="160">
        <f t="shared" si="255"/>
        <v>1.0872769656822896</v>
      </c>
      <c r="V441" s="160">
        <f t="shared" si="256"/>
        <v>0.40340711826186804</v>
      </c>
      <c r="W441" s="98" t="str">
        <f t="shared" si="247"/>
        <v>1-6.02979897864916i</v>
      </c>
      <c r="X441" s="160">
        <f t="shared" si="257"/>
        <v>6.11215802502835</v>
      </c>
      <c r="Y441" s="160">
        <f t="shared" si="258"/>
        <v>-1.4064491539253281</v>
      </c>
      <c r="Z441" s="98" t="str">
        <f t="shared" si="248"/>
        <v>0.651081254820224+1.80233729182254i</v>
      </c>
      <c r="AA441" s="160">
        <f t="shared" si="259"/>
        <v>1.9163315250427011</v>
      </c>
      <c r="AB441" s="160">
        <f t="shared" si="260"/>
        <v>1.2241410262393588</v>
      </c>
      <c r="AC441" s="171" t="str">
        <f t="shared" si="261"/>
        <v>-0.14811366944085+0.113393222957793i</v>
      </c>
      <c r="AD441" s="190">
        <f t="shared" si="262"/>
        <v>-14.584746457576596</v>
      </c>
      <c r="AE441" s="169">
        <f t="shared" si="263"/>
        <v>142.56296616764072</v>
      </c>
      <c r="AF441" s="98" t="str">
        <f t="shared" si="249"/>
        <v>-0.0000816326530612245</v>
      </c>
      <c r="AG441" s="98" t="str">
        <f t="shared" si="250"/>
        <v>0.0250753919781228i</v>
      </c>
      <c r="AH441" s="98">
        <f t="shared" si="264"/>
        <v>2.50753919781228E-2</v>
      </c>
      <c r="AI441" s="98">
        <f t="shared" si="265"/>
        <v>1.5707963267948966</v>
      </c>
      <c r="AJ441" s="98" t="str">
        <f t="shared" si="251"/>
        <v>1+7.64180800347313i</v>
      </c>
      <c r="AK441" s="98">
        <f t="shared" si="266"/>
        <v>7.7069598131783446</v>
      </c>
      <c r="AL441" s="98">
        <f t="shared" si="267"/>
        <v>1.440676608365737</v>
      </c>
      <c r="AM441" s="98" t="str">
        <f t="shared" si="252"/>
        <v>1+119.72165872108i</v>
      </c>
      <c r="AN441" s="98">
        <f t="shared" si="268"/>
        <v>119.7258350020026</v>
      </c>
      <c r="AO441" s="98">
        <f t="shared" si="269"/>
        <v>1.562443813509097</v>
      </c>
      <c r="AP441" s="168" t="str">
        <f t="shared" si="270"/>
        <v>-0.00614295785330829+0.0501987931018056i</v>
      </c>
      <c r="AQ441" s="98">
        <f t="shared" si="271"/>
        <v>-25.921580782770146</v>
      </c>
      <c r="AR441" s="169">
        <f t="shared" si="272"/>
        <v>96.97674693781822</v>
      </c>
      <c r="AS441" s="168" t="str">
        <f t="shared" si="273"/>
        <v>-0.00478234690953119-0.00813169723729097i</v>
      </c>
      <c r="AT441" s="190">
        <f t="shared" si="274"/>
        <v>-40.506327240346735</v>
      </c>
      <c r="AU441" s="169">
        <f t="shared" si="275"/>
        <v>-120.46028689454106</v>
      </c>
      <c r="AV441" s="225"/>
      <c r="AX441">
        <f t="shared" si="276"/>
        <v>0</v>
      </c>
      <c r="AY441">
        <f t="shared" si="277"/>
        <v>0</v>
      </c>
    </row>
    <row r="442" spans="14:51" x14ac:dyDescent="0.25">
      <c r="N442" s="170">
        <v>24</v>
      </c>
      <c r="O442" s="199">
        <f t="shared" si="278"/>
        <v>173780.0828749378</v>
      </c>
      <c r="P442" s="189" t="str">
        <f t="shared" si="244"/>
        <v>18.0065359477124</v>
      </c>
      <c r="Q442" s="160" t="str">
        <f t="shared" si="245"/>
        <v>1+342.55449832165i</v>
      </c>
      <c r="R442" s="160">
        <f t="shared" si="253"/>
        <v>342.55595794030103</v>
      </c>
      <c r="S442" s="160">
        <f t="shared" si="254"/>
        <v>1.5678770915658948</v>
      </c>
      <c r="T442" s="160" t="str">
        <f t="shared" si="246"/>
        <v>1+0.436756985360104i</v>
      </c>
      <c r="U442" s="160">
        <f t="shared" si="255"/>
        <v>1.0912179728454101</v>
      </c>
      <c r="V442" s="160">
        <f t="shared" si="256"/>
        <v>0.4117866263988022</v>
      </c>
      <c r="W442" s="98" t="str">
        <f t="shared" si="247"/>
        <v>1-6.17025103971336i</v>
      </c>
      <c r="X442" s="160">
        <f t="shared" si="257"/>
        <v>6.2507597852648127</v>
      </c>
      <c r="Y442" s="160">
        <f t="shared" si="258"/>
        <v>-1.4101253757701326</v>
      </c>
      <c r="Z442" s="98" t="str">
        <f t="shared" si="248"/>
        <v>0.634637220972155+1.84431912044828i</v>
      </c>
      <c r="AA442" s="160">
        <f t="shared" si="259"/>
        <v>1.9504556955476782</v>
      </c>
      <c r="AB442" s="160">
        <f t="shared" si="260"/>
        <v>1.2393838714263707</v>
      </c>
      <c r="AC442" s="171" t="str">
        <f t="shared" si="261"/>
        <v>-0.144768304365139+0.113287805857356i</v>
      </c>
      <c r="AD442" s="190">
        <f t="shared" si="262"/>
        <v>-14.711862460786154</v>
      </c>
      <c r="AE442" s="169">
        <f t="shared" si="263"/>
        <v>141.95519796536598</v>
      </c>
      <c r="AF442" s="98" t="str">
        <f t="shared" si="249"/>
        <v>-0.0000816326530612245</v>
      </c>
      <c r="AG442" s="98" t="str">
        <f t="shared" si="250"/>
        <v>0.0256594728899061i</v>
      </c>
      <c r="AH442" s="98">
        <f t="shared" si="264"/>
        <v>2.5659472889906099E-2</v>
      </c>
      <c r="AI442" s="98">
        <f t="shared" si="265"/>
        <v>1.5707963267948966</v>
      </c>
      <c r="AJ442" s="98" t="str">
        <f t="shared" si="251"/>
        <v>1+7.81980857830907i</v>
      </c>
      <c r="AK442" s="98">
        <f t="shared" si="266"/>
        <v>7.8834894685916916</v>
      </c>
      <c r="AL442" s="98">
        <f t="shared" si="267"/>
        <v>1.4436062900763524</v>
      </c>
      <c r="AM442" s="98" t="str">
        <f t="shared" si="252"/>
        <v>1+122.510334393509i</v>
      </c>
      <c r="AN442" s="98">
        <f t="shared" si="268"/>
        <v>122.5144156138754</v>
      </c>
      <c r="AO442" s="98">
        <f t="shared" si="269"/>
        <v>1.5626339313805113</v>
      </c>
      <c r="AP442" s="168" t="str">
        <f t="shared" si="270"/>
        <v>-0.00587092781900326+0.0490909163670837i</v>
      </c>
      <c r="AQ442" s="98">
        <f t="shared" si="271"/>
        <v>-26.118302366299467</v>
      </c>
      <c r="AR442" s="169">
        <f t="shared" si="272"/>
        <v>96.819781492125315</v>
      </c>
      <c r="AS442" s="168" t="str">
        <f t="shared" si="273"/>
        <v>-0.00471147793734665-0.00777191325315535i</v>
      </c>
      <c r="AT442" s="190">
        <f t="shared" si="274"/>
        <v>-40.830164827085625</v>
      </c>
      <c r="AU442" s="169">
        <f t="shared" si="275"/>
        <v>-121.22502054250869</v>
      </c>
      <c r="AV442" s="225"/>
      <c r="AX442">
        <f t="shared" si="276"/>
        <v>0</v>
      </c>
      <c r="AY442">
        <f t="shared" si="277"/>
        <v>0</v>
      </c>
    </row>
    <row r="443" spans="14:51" x14ac:dyDescent="0.25">
      <c r="N443" s="170">
        <v>25</v>
      </c>
      <c r="O443" s="199">
        <f t="shared" si="278"/>
        <v>177827.94100389251</v>
      </c>
      <c r="P443" s="189" t="str">
        <f t="shared" si="244"/>
        <v>18.0065359477124</v>
      </c>
      <c r="Q443" s="160" t="str">
        <f t="shared" si="245"/>
        <v>1+350.533617606795i</v>
      </c>
      <c r="R443" s="160">
        <f t="shared" si="253"/>
        <v>350.53504400060598</v>
      </c>
      <c r="S443" s="160">
        <f t="shared" si="254"/>
        <v>1.5679435411076623</v>
      </c>
      <c r="T443" s="160" t="str">
        <f t="shared" si="246"/>
        <v>1+0.446930362448664i</v>
      </c>
      <c r="U443" s="160">
        <f t="shared" si="255"/>
        <v>1.0953295161176357</v>
      </c>
      <c r="V443" s="160">
        <f t="shared" si="256"/>
        <v>0.42029828282915188</v>
      </c>
      <c r="W443" s="98" t="str">
        <f t="shared" si="247"/>
        <v>1-6.31397464955174i</v>
      </c>
      <c r="X443" s="160">
        <f t="shared" si="257"/>
        <v>6.3926736093110543</v>
      </c>
      <c r="Y443" s="160">
        <f t="shared" si="258"/>
        <v>-1.4137221544262568</v>
      </c>
      <c r="Z443" s="98" t="str">
        <f t="shared" si="248"/>
        <v>0.617418203684729+1.88727883148414i</v>
      </c>
      <c r="AA443" s="160">
        <f t="shared" si="259"/>
        <v>1.9857055738475982</v>
      </c>
      <c r="AB443" s="160">
        <f t="shared" si="260"/>
        <v>1.2546234816809512</v>
      </c>
      <c r="AC443" s="171" t="str">
        <f t="shared" si="261"/>
        <v>-0.141484315583778+0.113107955780635i</v>
      </c>
      <c r="AD443" s="190">
        <f t="shared" si="262"/>
        <v>-14.839776050918331</v>
      </c>
      <c r="AE443" s="169">
        <f t="shared" si="263"/>
        <v>141.35982709134609</v>
      </c>
      <c r="AF443" s="98" t="str">
        <f t="shared" si="249"/>
        <v>-0.0000816326530612245</v>
      </c>
      <c r="AG443" s="98" t="str">
        <f t="shared" si="250"/>
        <v>0.0262571587938589i</v>
      </c>
      <c r="AH443" s="98">
        <f t="shared" si="264"/>
        <v>2.6257158793858901E-2</v>
      </c>
      <c r="AI443" s="98">
        <f t="shared" si="265"/>
        <v>1.5707963267948966</v>
      </c>
      <c r="AJ443" s="98" t="str">
        <f t="shared" si="251"/>
        <v>1+8.00195531916063i</v>
      </c>
      <c r="AK443" s="98">
        <f t="shared" si="266"/>
        <v>8.0641979718905148</v>
      </c>
      <c r="AL443" s="98">
        <f t="shared" si="267"/>
        <v>1.4464714068437747</v>
      </c>
      <c r="AM443" s="98" t="str">
        <f t="shared" si="252"/>
        <v>1+125.36396666685i</v>
      </c>
      <c r="AN443" s="98">
        <f t="shared" si="268"/>
        <v>125.36795499028881</v>
      </c>
      <c r="AO443" s="98">
        <f t="shared" si="269"/>
        <v>1.5628197222110036</v>
      </c>
      <c r="AP443" s="168" t="str">
        <f t="shared" si="270"/>
        <v>-0.00561075574245413+0.0480059842475125i</v>
      </c>
      <c r="AQ443" s="98">
        <f t="shared" si="271"/>
        <v>-26.315169171693007</v>
      </c>
      <c r="AR443" s="169">
        <f t="shared" si="272"/>
        <v>96.666267423999287</v>
      </c>
      <c r="AS443" s="168" t="str">
        <f t="shared" si="273"/>
        <v>-0.00463602480734463-0.00742671493759838i</v>
      </c>
      <c r="AT443" s="190">
        <f t="shared" si="274"/>
        <v>-41.154945222611339</v>
      </c>
      <c r="AU443" s="169">
        <f t="shared" si="275"/>
        <v>-121.97390548465459</v>
      </c>
      <c r="AV443" s="225"/>
      <c r="AX443">
        <f t="shared" si="276"/>
        <v>0</v>
      </c>
      <c r="AY443">
        <f t="shared" si="277"/>
        <v>0</v>
      </c>
    </row>
    <row r="444" spans="14:51" x14ac:dyDescent="0.25">
      <c r="N444" s="170">
        <v>26</v>
      </c>
      <c r="O444" s="199">
        <f t="shared" si="278"/>
        <v>181970.08586099857</v>
      </c>
      <c r="P444" s="189" t="str">
        <f t="shared" si="244"/>
        <v>18.0065359477124</v>
      </c>
      <c r="Q444" s="160" t="str">
        <f t="shared" si="245"/>
        <v>1+358.698594455853i</v>
      </c>
      <c r="R444" s="160">
        <f t="shared" si="253"/>
        <v>358.6999883811045</v>
      </c>
      <c r="S444" s="160">
        <f t="shared" si="254"/>
        <v>1.5680084780975367</v>
      </c>
      <c r="T444" s="160" t="str">
        <f t="shared" si="246"/>
        <v>1+0.457340707931212i</v>
      </c>
      <c r="U444" s="160">
        <f t="shared" si="255"/>
        <v>1.0996183533985882</v>
      </c>
      <c r="V444" s="160">
        <f t="shared" si="256"/>
        <v>0.4289416662596377</v>
      </c>
      <c r="W444" s="98" t="str">
        <f t="shared" si="247"/>
        <v>1-6.46104601232458i</v>
      </c>
      <c r="X444" s="160">
        <f t="shared" si="257"/>
        <v>6.5379748832016293</v>
      </c>
      <c r="Y444" s="160">
        <f t="shared" si="258"/>
        <v>-1.4172410245166644</v>
      </c>
      <c r="Z444" s="98" t="str">
        <f t="shared" si="248"/>
        <v>0.599387679113691+1.93123920273751i</v>
      </c>
      <c r="AA444" s="160">
        <f t="shared" si="259"/>
        <v>2.0221153399505951</v>
      </c>
      <c r="AB444" s="160">
        <f t="shared" si="260"/>
        <v>1.2698583422374372</v>
      </c>
      <c r="AC444" s="171" t="str">
        <f t="shared" si="261"/>
        <v>-0.138262813043614+0.112857548361673i</v>
      </c>
      <c r="AD444" s="190">
        <f t="shared" si="262"/>
        <v>-14.968437725900607</v>
      </c>
      <c r="AE444" s="169">
        <f t="shared" si="263"/>
        <v>140.77682625098006</v>
      </c>
      <c r="AF444" s="98" t="str">
        <f t="shared" si="249"/>
        <v>-0.0000816326530612245</v>
      </c>
      <c r="AG444" s="98" t="str">
        <f t="shared" si="250"/>
        <v>0.0268687665909588i</v>
      </c>
      <c r="AH444" s="98">
        <f t="shared" si="264"/>
        <v>2.6868766590958802E-2</v>
      </c>
      <c r="AI444" s="98">
        <f t="shared" si="265"/>
        <v>1.5707963267948966</v>
      </c>
      <c r="AJ444" s="98" t="str">
        <f t="shared" si="251"/>
        <v>1+8.18834480264071i</v>
      </c>
      <c r="AK444" s="98">
        <f t="shared" si="266"/>
        <v>8.2491812082735301</v>
      </c>
      <c r="AL444" s="98">
        <f t="shared" si="267"/>
        <v>1.4492732895349498</v>
      </c>
      <c r="AM444" s="98" t="str">
        <f t="shared" si="252"/>
        <v>1+128.284068574705i</v>
      </c>
      <c r="AN444" s="98">
        <f t="shared" si="268"/>
        <v>128.2879661156089</v>
      </c>
      <c r="AO444" s="98">
        <f t="shared" si="269"/>
        <v>1.5630012844579966</v>
      </c>
      <c r="AP444" s="168" t="str">
        <f t="shared" si="270"/>
        <v>-0.00536194107433439+0.0469436210777394i</v>
      </c>
      <c r="AQ444" s="98">
        <f t="shared" si="271"/>
        <v>-26.512174864924209</v>
      </c>
      <c r="AR444" s="169">
        <f t="shared" si="272"/>
        <v>96.516134121575817</v>
      </c>
      <c r="AS444" s="168" t="str">
        <f t="shared" si="273"/>
        <v>-0.00455658492974146-0.00709569262877088i</v>
      </c>
      <c r="AT444" s="190">
        <f t="shared" si="274"/>
        <v>-41.480612590824812</v>
      </c>
      <c r="AU444" s="169">
        <f t="shared" si="275"/>
        <v>-122.70703962744413</v>
      </c>
      <c r="AV444" s="225"/>
      <c r="AX444">
        <f t="shared" si="276"/>
        <v>0</v>
      </c>
      <c r="AY444">
        <f t="shared" si="277"/>
        <v>0</v>
      </c>
    </row>
    <row r="445" spans="14:51" x14ac:dyDescent="0.25">
      <c r="N445" s="170">
        <v>27</v>
      </c>
      <c r="O445" s="199">
        <f t="shared" si="278"/>
        <v>186208.71366628664</v>
      </c>
      <c r="P445" s="189" t="str">
        <f t="shared" si="244"/>
        <v>18.0065359477124</v>
      </c>
      <c r="Q445" s="160" t="str">
        <f t="shared" si="245"/>
        <v>1+367.05375804763i</v>
      </c>
      <c r="R445" s="160">
        <f t="shared" si="253"/>
        <v>367.05512024338816</v>
      </c>
      <c r="S445" s="160">
        <f t="shared" si="254"/>
        <v>1.5680719369637781</v>
      </c>
      <c r="T445" s="160" t="str">
        <f t="shared" si="246"/>
        <v>1+0.467993541510728i</v>
      </c>
      <c r="U445" s="160">
        <f t="shared" si="255"/>
        <v>1.1040914612910262</v>
      </c>
      <c r="V445" s="160">
        <f t="shared" si="256"/>
        <v>0.43771619264496775</v>
      </c>
      <c r="W445" s="98" t="str">
        <f t="shared" si="247"/>
        <v>1-6.61154310721525i</v>
      </c>
      <c r="X445" s="160">
        <f t="shared" si="257"/>
        <v>6.6867407799738645</v>
      </c>
      <c r="Y445" s="160">
        <f t="shared" si="258"/>
        <v>-1.4206835030364284</v>
      </c>
      <c r="Z445" s="98" t="str">
        <f t="shared" si="248"/>
        <v>0.580507402099019+1.97622354257917i</v>
      </c>
      <c r="AA445" s="160">
        <f t="shared" si="259"/>
        <v>2.0597204504825206</v>
      </c>
      <c r="AB445" s="160">
        <f t="shared" si="260"/>
        <v>1.2850871438671927</v>
      </c>
      <c r="AC445" s="171" t="str">
        <f t="shared" si="261"/>
        <v>-0.135104708849393+0.112540440867216i</v>
      </c>
      <c r="AD445" s="190">
        <f t="shared" si="262"/>
        <v>-15.097797131309747</v>
      </c>
      <c r="AE445" s="169">
        <f t="shared" si="263"/>
        <v>140.20614810420346</v>
      </c>
      <c r="AF445" s="98" t="str">
        <f t="shared" si="249"/>
        <v>-0.0000816326530612245</v>
      </c>
      <c r="AG445" s="98" t="str">
        <f t="shared" si="250"/>
        <v>0.0274946205637553i</v>
      </c>
      <c r="AH445" s="98">
        <f t="shared" si="264"/>
        <v>2.74946205637553E-2</v>
      </c>
      <c r="AI445" s="98">
        <f t="shared" si="265"/>
        <v>1.5707963267948966</v>
      </c>
      <c r="AJ445" s="98" t="str">
        <f t="shared" si="251"/>
        <v>1+8.37907585492077i</v>
      </c>
      <c r="AK445" s="98">
        <f t="shared" si="266"/>
        <v>8.4385373248280544</v>
      </c>
      <c r="AL445" s="98">
        <f t="shared" si="267"/>
        <v>1.4520132476805028</v>
      </c>
      <c r="AM445" s="98" t="str">
        <f t="shared" si="252"/>
        <v>1+131.272188393759i</v>
      </c>
      <c r="AN445" s="98">
        <f t="shared" si="268"/>
        <v>131.27599721840454</v>
      </c>
      <c r="AO445" s="98">
        <f t="shared" si="269"/>
        <v>1.5631787143402882</v>
      </c>
      <c r="AP445" s="168" t="str">
        <f t="shared" si="270"/>
        <v>-0.00512400297405327+0.045903450503249i</v>
      </c>
      <c r="AQ445" s="98">
        <f t="shared" si="271"/>
        <v>-26.709313379660294</v>
      </c>
      <c r="AR445" s="169">
        <f t="shared" si="272"/>
        <v>96.369312067207971</v>
      </c>
      <c r="AS445" s="168" t="str">
        <f t="shared" si="273"/>
        <v>-0.00447371762700918-0.00677842986912886i</v>
      </c>
      <c r="AT445" s="190">
        <f t="shared" si="274"/>
        <v>-41.807110510970048</v>
      </c>
      <c r="AU445" s="169">
        <f t="shared" si="275"/>
        <v>-123.42453982858855</v>
      </c>
      <c r="AV445" s="225"/>
      <c r="AX445">
        <f t="shared" si="276"/>
        <v>0</v>
      </c>
      <c r="AY445">
        <f t="shared" si="277"/>
        <v>0</v>
      </c>
    </row>
    <row r="446" spans="14:51" x14ac:dyDescent="0.25">
      <c r="N446" s="170">
        <v>28</v>
      </c>
      <c r="O446" s="199">
        <f t="shared" si="278"/>
        <v>190546.07179632492</v>
      </c>
      <c r="P446" s="189" t="str">
        <f t="shared" si="244"/>
        <v>18.0065359477124</v>
      </c>
      <c r="Q446" s="160" t="str">
        <f t="shared" si="245"/>
        <v>1+375.603538400458i</v>
      </c>
      <c r="R446" s="160">
        <f t="shared" si="253"/>
        <v>375.60486958896615</v>
      </c>
      <c r="S446" s="160">
        <f t="shared" si="254"/>
        <v>1.5681339513510715</v>
      </c>
      <c r="T446" s="160" t="str">
        <f t="shared" si="246"/>
        <v>1+0.478894511460584i</v>
      </c>
      <c r="U446" s="160">
        <f t="shared" si="255"/>
        <v>1.1087560385887743</v>
      </c>
      <c r="V446" s="160">
        <f t="shared" si="256"/>
        <v>0.44662110876314831</v>
      </c>
      <c r="W446" s="98" t="str">
        <f t="shared" si="247"/>
        <v>1-6.76554572977554i</v>
      </c>
      <c r="X446" s="160">
        <f t="shared" si="257"/>
        <v>6.8390503011517643</v>
      </c>
      <c r="Y446" s="160">
        <f t="shared" si="258"/>
        <v>-1.4240510886999895</v>
      </c>
      <c r="Z446" s="98" t="str">
        <f t="shared" si="248"/>
        <v>0.560737325041838+2.02225570230152i</v>
      </c>
      <c r="AA446" s="160">
        <f t="shared" si="259"/>
        <v>2.0985577126174277</v>
      </c>
      <c r="AB446" s="160">
        <f t="shared" si="260"/>
        <v>1.3003087797578528</v>
      </c>
      <c r="AC446" s="171" t="str">
        <f t="shared" si="261"/>
        <v>-0.13201072169941+0.112160459618874i</v>
      </c>
      <c r="AD446" s="190">
        <f t="shared" si="262"/>
        <v>-15.227803258251072</v>
      </c>
      <c r="AE446" s="169">
        <f t="shared" si="263"/>
        <v>139.64772511254168</v>
      </c>
      <c r="AF446" s="98" t="str">
        <f t="shared" si="249"/>
        <v>-0.0000816326530612245</v>
      </c>
      <c r="AG446" s="98" t="str">
        <f t="shared" si="250"/>
        <v>0.0281350525483092i</v>
      </c>
      <c r="AH446" s="98">
        <f t="shared" si="264"/>
        <v>2.8135052548309201E-2</v>
      </c>
      <c r="AI446" s="98">
        <f t="shared" si="265"/>
        <v>1.5707963267948966</v>
      </c>
      <c r="AJ446" s="98" t="str">
        <f t="shared" si="251"/>
        <v>1+8.57424960412936i</v>
      </c>
      <c r="AK446" s="98">
        <f t="shared" si="266"/>
        <v>8.6323667828650841</v>
      </c>
      <c r="AL446" s="98">
        <f t="shared" si="267"/>
        <v>1.4546925693951023</v>
      </c>
      <c r="AM446" s="98" t="str">
        <f t="shared" si="252"/>
        <v>1+134.329910464694i</v>
      </c>
      <c r="AN446" s="98">
        <f t="shared" si="268"/>
        <v>134.33363259233596</v>
      </c>
      <c r="AO446" s="98">
        <f t="shared" si="269"/>
        <v>1.5633521058888391</v>
      </c>
      <c r="AP446" s="168" t="str">
        <f t="shared" si="270"/>
        <v>-0.00489647965863474+0.0448850960554494i</v>
      </c>
      <c r="AQ446" s="98">
        <f t="shared" si="271"/>
        <v>-26.906578906693884</v>
      </c>
      <c r="AR446" s="169">
        <f t="shared" si="272"/>
        <v>96.225732844938861</v>
      </c>
      <c r="AS446" s="168" t="str">
        <f t="shared" si="273"/>
        <v>-0.00438794519009366-0.00647450533285416i</v>
      </c>
      <c r="AT446" s="190">
        <f t="shared" si="274"/>
        <v>-42.134382164944952</v>
      </c>
      <c r="AU446" s="169">
        <f t="shared" si="275"/>
        <v>-124.12654204251942</v>
      </c>
      <c r="AV446" s="225"/>
      <c r="AX446">
        <f t="shared" si="276"/>
        <v>0</v>
      </c>
      <c r="AY446">
        <f t="shared" si="277"/>
        <v>0</v>
      </c>
    </row>
    <row r="447" spans="14:51" x14ac:dyDescent="0.25">
      <c r="N447" s="170">
        <v>29</v>
      </c>
      <c r="O447" s="199">
        <f t="shared" si="278"/>
        <v>194984.45997580473</v>
      </c>
      <c r="P447" s="189" t="str">
        <f t="shared" si="244"/>
        <v>18.0065359477124</v>
      </c>
      <c r="Q447" s="160" t="str">
        <f t="shared" si="245"/>
        <v>1+384.352468721042i</v>
      </c>
      <c r="R447" s="160">
        <f t="shared" si="253"/>
        <v>384.35376960810407</v>
      </c>
      <c r="S447" s="160">
        <f t="shared" si="254"/>
        <v>1.5681945541383568</v>
      </c>
      <c r="T447" s="160" t="str">
        <f t="shared" si="246"/>
        <v>1+0.490049397619328i</v>
      </c>
      <c r="U447" s="160">
        <f t="shared" si="255"/>
        <v>1.1136195095754502</v>
      </c>
      <c r="V447" s="160">
        <f t="shared" si="256"/>
        <v>0.45565548601112416</v>
      </c>
      <c r="W447" s="98" t="str">
        <f t="shared" si="247"/>
        <v>1-6.92313553423425i</v>
      </c>
      <c r="X447" s="160">
        <f t="shared" si="257"/>
        <v>6.9949843191659076</v>
      </c>
      <c r="Y447" s="160">
        <f t="shared" si="258"/>
        <v>-1.4273452613632229</v>
      </c>
      <c r="Z447" s="98" t="str">
        <f t="shared" si="248"/>
        <v>0.540035512958113+2.06936008876493i</v>
      </c>
      <c r="AA447" s="160">
        <f t="shared" si="259"/>
        <v>2.1386653623765293</v>
      </c>
      <c r="AB447" s="160">
        <f t="shared" si="260"/>
        <v>1.3155223414050479</v>
      </c>
      <c r="AC447" s="171" t="str">
        <f t="shared" si="261"/>
        <v>-0.128981382180509+0.11172138809385i</v>
      </c>
      <c r="AD447" s="190">
        <f t="shared" si="262"/>
        <v>-15.358404642693603</v>
      </c>
      <c r="AE447" s="169">
        <f t="shared" si="263"/>
        <v>139.10146945110463</v>
      </c>
      <c r="AF447" s="98" t="str">
        <f t="shared" si="249"/>
        <v>-0.0000816326530612245</v>
      </c>
      <c r="AG447" s="98" t="str">
        <f t="shared" si="250"/>
        <v>0.0287904021101356i</v>
      </c>
      <c r="AH447" s="98">
        <f t="shared" si="264"/>
        <v>2.8790402110135602E-2</v>
      </c>
      <c r="AI447" s="98">
        <f t="shared" si="265"/>
        <v>1.5707963267948966</v>
      </c>
      <c r="AJ447" s="98" t="str">
        <f t="shared" si="251"/>
        <v>1+8.77396953397155i</v>
      </c>
      <c r="AK447" s="98">
        <f t="shared" si="266"/>
        <v>8.8307724114632773</v>
      </c>
      <c r="AL447" s="98">
        <f t="shared" si="267"/>
        <v>1.4573125213339468</v>
      </c>
      <c r="AM447" s="98" t="str">
        <f t="shared" si="252"/>
        <v>1+137.458856032222i</v>
      </c>
      <c r="AN447" s="98">
        <f t="shared" si="268"/>
        <v>137.46249343616293</v>
      </c>
      <c r="AO447" s="98">
        <f t="shared" si="269"/>
        <v>1.5635215509964153</v>
      </c>
      <c r="AP447" s="168" t="str">
        <f t="shared" si="270"/>
        <v>-0.00467892776166395+0.0438881816822779i</v>
      </c>
      <c r="AQ447" s="98">
        <f t="shared" si="271"/>
        <v>-27.103965883726406</v>
      </c>
      <c r="AR447" s="169">
        <f t="shared" si="272"/>
        <v>96.085329145839211</v>
      </c>
      <c r="AS447" s="168" t="str">
        <f t="shared" si="273"/>
        <v>-0.004299754008637-0.00618349463909345i</v>
      </c>
      <c r="AT447" s="190">
        <f t="shared" si="274"/>
        <v>-42.46237052642001</v>
      </c>
      <c r="AU447" s="169">
        <f t="shared" si="275"/>
        <v>-124.81320140305615</v>
      </c>
      <c r="AV447" s="225"/>
      <c r="AX447">
        <f t="shared" si="276"/>
        <v>0</v>
      </c>
      <c r="AY447">
        <f t="shared" si="277"/>
        <v>0</v>
      </c>
    </row>
    <row r="448" spans="14:51" x14ac:dyDescent="0.25">
      <c r="N448" s="170">
        <v>30</v>
      </c>
      <c r="O448" s="199">
        <f t="shared" si="278"/>
        <v>199526.23149688813</v>
      </c>
      <c r="P448" s="189" t="str">
        <f t="shared" si="244"/>
        <v>18.0065359477124</v>
      </c>
      <c r="Q448" s="160" t="str">
        <f t="shared" si="245"/>
        <v>1+393.30518780805i</v>
      </c>
      <c r="R448" s="160">
        <f t="shared" si="253"/>
        <v>393.30645908340415</v>
      </c>
      <c r="S448" s="160">
        <f t="shared" si="254"/>
        <v>1.5682537774562524</v>
      </c>
      <c r="T448" s="160" t="str">
        <f t="shared" si="246"/>
        <v>1+0.501464114455264i</v>
      </c>
      <c r="U448" s="160">
        <f t="shared" si="255"/>
        <v>1.1186895271192996</v>
      </c>
      <c r="V448" s="160">
        <f t="shared" si="256"/>
        <v>0.46481821446984811</v>
      </c>
      <c r="W448" s="98" t="str">
        <f t="shared" si="247"/>
        <v>1-7.0843960767918i</v>
      </c>
      <c r="X448" s="160">
        <f t="shared" si="257"/>
        <v>7.1546256207339782</v>
      </c>
      <c r="Y448" s="160">
        <f t="shared" si="258"/>
        <v>-1.4305674815156628</v>
      </c>
      <c r="Z448" s="98" t="str">
        <f t="shared" si="248"/>
        <v>0.518358054528851+2.11756167733864i</v>
      </c>
      <c r="AA448" s="160">
        <f t="shared" si="259"/>
        <v>2.1800831475033631</v>
      </c>
      <c r="AB448" s="160">
        <f t="shared" si="260"/>
        <v>1.3307271135588135</v>
      </c>
      <c r="AC448" s="171" t="str">
        <f t="shared" si="261"/>
        <v>-0.126017038833204+0.111226955754972i</v>
      </c>
      <c r="AD448" s="190">
        <f t="shared" si="262"/>
        <v>-15.489549565721765</v>
      </c>
      <c r="AE448" s="169">
        <f t="shared" si="263"/>
        <v>138.56727298618415</v>
      </c>
      <c r="AF448" s="98" t="str">
        <f t="shared" si="249"/>
        <v>-0.0000816326530612245</v>
      </c>
      <c r="AG448" s="98" t="str">
        <f t="shared" si="250"/>
        <v>0.0294610167242468i</v>
      </c>
      <c r="AH448" s="98">
        <f t="shared" si="264"/>
        <v>2.9461016724246801E-2</v>
      </c>
      <c r="AI448" s="98">
        <f t="shared" si="265"/>
        <v>1.5707963267948966</v>
      </c>
      <c r="AJ448" s="98" t="str">
        <f t="shared" si="251"/>
        <v>1+8.97834153859794i</v>
      </c>
      <c r="AK448" s="98">
        <f t="shared" si="266"/>
        <v>9.0338594622516268</v>
      </c>
      <c r="AL448" s="98">
        <f t="shared" si="267"/>
        <v>1.4598743486826182</v>
      </c>
      <c r="AM448" s="98" t="str">
        <f t="shared" si="252"/>
        <v>1+140.660684104702i</v>
      </c>
      <c r="AN448" s="98">
        <f t="shared" si="268"/>
        <v>140.6642387133374</v>
      </c>
      <c r="AO448" s="98">
        <f t="shared" si="269"/>
        <v>1.5636871394661138</v>
      </c>
      <c r="AP448" s="168" t="str">
        <f t="shared" si="270"/>
        <v>-0.00447092170335279+0.0429123322368277i</v>
      </c>
      <c r="AQ448" s="98">
        <f t="shared" si="271"/>
        <v>-27.301468985497756</v>
      </c>
      <c r="AR448" s="169">
        <f t="shared" si="272"/>
        <v>95.948034771368881</v>
      </c>
      <c r="AS448" s="168" t="str">
        <f t="shared" si="273"/>
        <v>-0.00420959576513667-0.00590497204839443i</v>
      </c>
      <c r="AT448" s="190">
        <f t="shared" si="274"/>
        <v>-42.791018551219523</v>
      </c>
      <c r="AU448" s="169">
        <f t="shared" si="275"/>
        <v>-125.48469224244698</v>
      </c>
      <c r="AV448" s="225"/>
      <c r="AX448">
        <f t="shared" si="276"/>
        <v>0</v>
      </c>
      <c r="AY448">
        <f t="shared" si="277"/>
        <v>0</v>
      </c>
    </row>
    <row r="449" spans="14:51" x14ac:dyDescent="0.25">
      <c r="N449" s="170">
        <v>31</v>
      </c>
      <c r="O449" s="199">
        <f t="shared" si="278"/>
        <v>204173.79446695308</v>
      </c>
      <c r="P449" s="189" t="str">
        <f t="shared" si="244"/>
        <v>18.0065359477124</v>
      </c>
      <c r="Q449" s="160" t="str">
        <f t="shared" si="245"/>
        <v>1+402.466442511642i</v>
      </c>
      <c r="R449" s="160">
        <f t="shared" si="253"/>
        <v>402.46768484932659</v>
      </c>
      <c r="S449" s="160">
        <f t="shared" si="254"/>
        <v>1.5683116527040828</v>
      </c>
      <c r="T449" s="160" t="str">
        <f t="shared" si="246"/>
        <v>1+0.513144714202344i</v>
      </c>
      <c r="U449" s="160">
        <f t="shared" si="255"/>
        <v>1.1239739755500593</v>
      </c>
      <c r="V449" s="160">
        <f t="shared" si="256"/>
        <v>0.4741079972898179</v>
      </c>
      <c r="W449" s="98" t="str">
        <f t="shared" si="247"/>
        <v>1-7.24941285992229i</v>
      </c>
      <c r="X449" s="160">
        <f t="shared" si="257"/>
        <v>7.3180589512251597</v>
      </c>
      <c r="Y449" s="160">
        <f t="shared" si="258"/>
        <v>-1.4337191898383967</v>
      </c>
      <c r="Z449" s="98" t="str">
        <f t="shared" si="248"/>
        <v>0.495658968958388+2.1668860251429i</v>
      </c>
      <c r="AA449" s="160">
        <f t="shared" si="259"/>
        <v>2.2228524151343221</v>
      </c>
      <c r="AB449" s="160">
        <f t="shared" si="260"/>
        <v>1.3459225682700751</v>
      </c>
      <c r="AC449" s="171" t="str">
        <f t="shared" si="261"/>
        <v>-0.123117864896488+0.110680827649687i</v>
      </c>
      <c r="AD449" s="190">
        <f t="shared" si="262"/>
        <v>-15.621186254176564</v>
      </c>
      <c r="AE449" s="169">
        <f t="shared" si="263"/>
        <v>138.04500731903607</v>
      </c>
      <c r="AF449" s="98" t="str">
        <f t="shared" si="249"/>
        <v>-0.0000816326530612245</v>
      </c>
      <c r="AG449" s="98" t="str">
        <f t="shared" si="250"/>
        <v>0.0301472519593878i</v>
      </c>
      <c r="AH449" s="98">
        <f t="shared" si="264"/>
        <v>3.0147251959387798E-2</v>
      </c>
      <c r="AI449" s="98">
        <f t="shared" si="265"/>
        <v>1.5707963267948966</v>
      </c>
      <c r="AJ449" s="98" t="str">
        <f t="shared" si="251"/>
        <v>1+9.18747397875045i</v>
      </c>
      <c r="AK449" s="98">
        <f t="shared" si="266"/>
        <v>9.2417356654589859</v>
      </c>
      <c r="AL449" s="98">
        <f t="shared" si="267"/>
        <v>1.462379275177679</v>
      </c>
      <c r="AM449" s="98" t="str">
        <f t="shared" si="252"/>
        <v>1+143.937092333758i</v>
      </c>
      <c r="AN449" s="98">
        <f t="shared" si="268"/>
        <v>143.94056603159783</v>
      </c>
      <c r="AO449" s="98">
        <f t="shared" si="269"/>
        <v>1.5638489590587887</v>
      </c>
      <c r="AP449" s="168" t="str">
        <f t="shared" si="270"/>
        <v>-0.00427205307262088+0.0419571739264055i</v>
      </c>
      <c r="AQ449" s="98">
        <f t="shared" si="271"/>
        <v>-27.499083114255175</v>
      </c>
      <c r="AR449" s="169">
        <f t="shared" si="272"/>
        <v>95.8137846349142</v>
      </c>
      <c r="AS449" s="168" t="str">
        <f t="shared" si="273"/>
        <v>-0.00411788868299086-0.00563851204075071i</v>
      </c>
      <c r="AT449" s="190">
        <f t="shared" si="274"/>
        <v>-43.120269368431742</v>
      </c>
      <c r="AU449" s="169">
        <f t="shared" si="275"/>
        <v>-126.14120804604968</v>
      </c>
      <c r="AV449" s="225"/>
      <c r="AX449">
        <f t="shared" si="276"/>
        <v>0</v>
      </c>
      <c r="AY449">
        <f t="shared" si="277"/>
        <v>0</v>
      </c>
    </row>
    <row r="450" spans="14:51" x14ac:dyDescent="0.25">
      <c r="N450" s="170">
        <v>32</v>
      </c>
      <c r="O450" s="199">
        <f t="shared" si="278"/>
        <v>208929.61308540447</v>
      </c>
      <c r="P450" s="189" t="str">
        <f t="shared" si="244"/>
        <v>18.0065359477124</v>
      </c>
      <c r="Q450" s="160" t="str">
        <f t="shared" si="245"/>
        <v>1+411.841090250331i</v>
      </c>
      <c r="R450" s="160">
        <f t="shared" si="253"/>
        <v>411.84230430904165</v>
      </c>
      <c r="S450" s="160">
        <f t="shared" si="254"/>
        <v>1.5683682105665184</v>
      </c>
      <c r="T450" s="160" t="str">
        <f t="shared" si="246"/>
        <v>1+0.525097390069172i</v>
      </c>
      <c r="U450" s="160">
        <f t="shared" si="255"/>
        <v>1.1294809733047548</v>
      </c>
      <c r="V450" s="160">
        <f t="shared" si="256"/>
        <v>0.48352334545003006</v>
      </c>
      <c r="W450" s="98" t="str">
        <f t="shared" si="247"/>
        <v>1-7.4182733777085i</v>
      </c>
      <c r="X450" s="160">
        <f t="shared" si="257"/>
        <v>7.4853710600356136</v>
      </c>
      <c r="Y450" s="160">
        <f t="shared" si="258"/>
        <v>-1.4368018068234205</v>
      </c>
      <c r="Z450" s="98" t="str">
        <f t="shared" si="248"/>
        <v>0.471890108442897+2.21735928459984i</v>
      </c>
      <c r="AA450" s="160">
        <f t="shared" si="259"/>
        <v>2.2670162044959814</v>
      </c>
      <c r="AB450" s="160">
        <f t="shared" si="260"/>
        <v>1.3611083580855832</v>
      </c>
      <c r="AC450" s="171" t="str">
        <f t="shared" si="261"/>
        <v>-0.120283865641945+0.110086594807052i</v>
      </c>
      <c r="AD450" s="190">
        <f t="shared" si="262"/>
        <v>-15.753263081168845</v>
      </c>
      <c r="AE450" s="169">
        <f t="shared" si="263"/>
        <v>137.53452389634802</v>
      </c>
      <c r="AF450" s="98" t="str">
        <f t="shared" si="249"/>
        <v>-0.0000816326530612245</v>
      </c>
      <c r="AG450" s="98" t="str">
        <f t="shared" si="250"/>
        <v>0.0308494716665638i</v>
      </c>
      <c r="AH450" s="98">
        <f t="shared" si="264"/>
        <v>3.0849471666563801E-2</v>
      </c>
      <c r="AI450" s="98">
        <f t="shared" si="265"/>
        <v>1.5707963267948966</v>
      </c>
      <c r="AJ450" s="98" t="str">
        <f t="shared" si="251"/>
        <v>1+9.40147773921716i</v>
      </c>
      <c r="AK450" s="98">
        <f t="shared" si="266"/>
        <v>9.454511287263653</v>
      </c>
      <c r="AL450" s="98">
        <f t="shared" si="267"/>
        <v>1.4648285031555934</v>
      </c>
      <c r="AM450" s="98" t="str">
        <f t="shared" si="252"/>
        <v>1+147.289817914403i</v>
      </c>
      <c r="AN450" s="98">
        <f t="shared" si="268"/>
        <v>147.29321254306998</v>
      </c>
      <c r="AO450" s="98">
        <f t="shared" si="269"/>
        <v>1.5640070955394121</v>
      </c>
      <c r="AP450" s="168" t="str">
        <f t="shared" si="270"/>
        <v>-0.00408193002194199+0.041022334724323i</v>
      </c>
      <c r="AQ450" s="98">
        <f t="shared" si="271"/>
        <v>-27.696803390555775</v>
      </c>
      <c r="AR450" s="169">
        <f t="shared" si="272"/>
        <v>95.68251476164113</v>
      </c>
      <c r="AS450" s="168" t="str">
        <f t="shared" si="273"/>
        <v>-0.00402501881851671-0.00538369077465563i</v>
      </c>
      <c r="AT450" s="190">
        <f t="shared" si="274"/>
        <v>-43.450066471724618</v>
      </c>
      <c r="AU450" s="169">
        <f t="shared" si="275"/>
        <v>-126.78296134201082</v>
      </c>
      <c r="AV450" s="225"/>
      <c r="AX450">
        <f t="shared" si="276"/>
        <v>0</v>
      </c>
      <c r="AY450">
        <f t="shared" si="277"/>
        <v>0</v>
      </c>
    </row>
    <row r="451" spans="14:51" x14ac:dyDescent="0.25">
      <c r="N451" s="170">
        <v>33</v>
      </c>
      <c r="O451" s="199">
        <f t="shared" si="278"/>
        <v>213796.20895022334</v>
      </c>
      <c r="P451" s="189" t="str">
        <f t="shared" si="244"/>
        <v>18.0065359477124</v>
      </c>
      <c r="Q451" s="160" t="str">
        <f t="shared" si="245"/>
        <v>1+421.434101586428i</v>
      </c>
      <c r="R451" s="160">
        <f t="shared" si="253"/>
        <v>421.43528800986724</v>
      </c>
      <c r="S451" s="160">
        <f t="shared" si="254"/>
        <v>1.5684234810298388</v>
      </c>
      <c r="T451" s="160" t="str">
        <f t="shared" si="246"/>
        <v>1+0.537328479522696i</v>
      </c>
      <c r="U451" s="160">
        <f t="shared" si="255"/>
        <v>1.1352188753302916</v>
      </c>
      <c r="V451" s="160">
        <f t="shared" si="256"/>
        <v>0.49306257294441991</v>
      </c>
      <c r="W451" s="98" t="str">
        <f t="shared" si="247"/>
        <v>1-7.59106716223197i</v>
      </c>
      <c r="X451" s="160">
        <f t="shared" si="257"/>
        <v>7.6566507469987517</v>
      </c>
      <c r="Y451" s="160">
        <f t="shared" si="258"/>
        <v>-1.4398167324503539</v>
      </c>
      <c r="Z451" s="98" t="str">
        <f t="shared" si="248"/>
        <v>0.447001056042494+2.26900821729968i</v>
      </c>
      <c r="AA451" s="160">
        <f t="shared" si="259"/>
        <v>2.3126193448720813</v>
      </c>
      <c r="AB451" s="160">
        <f t="shared" si="260"/>
        <v>1.3762843084413456</v>
      </c>
      <c r="AC451" s="171" t="str">
        <f t="shared" si="261"/>
        <v>-0.11751488620817+0.109447765451684i</v>
      </c>
      <c r="AD451" s="190">
        <f t="shared" si="262"/>
        <v>-15.885728765946745</v>
      </c>
      <c r="AE451" s="169">
        <f t="shared" si="263"/>
        <v>137.03565418785743</v>
      </c>
      <c r="AF451" s="98" t="str">
        <f t="shared" si="249"/>
        <v>-0.0000816326530612245</v>
      </c>
      <c r="AG451" s="98" t="str">
        <f t="shared" si="250"/>
        <v>0.0315680481719584i</v>
      </c>
      <c r="AH451" s="98">
        <f t="shared" si="264"/>
        <v>3.15680481719584E-2</v>
      </c>
      <c r="AI451" s="98">
        <f t="shared" si="265"/>
        <v>1.5707963267948966</v>
      </c>
      <c r="AJ451" s="98" t="str">
        <f t="shared" si="251"/>
        <v>1+9.62046628762441i</v>
      </c>
      <c r="AK451" s="98">
        <f t="shared" si="266"/>
        <v>9.6722991884720866</v>
      </c>
      <c r="AL451" s="98">
        <f t="shared" si="267"/>
        <v>1.4672232136276386</v>
      </c>
      <c r="AM451" s="98" t="str">
        <f t="shared" si="252"/>
        <v>1+150.720638506116i</v>
      </c>
      <c r="AN451" s="98">
        <f t="shared" si="268"/>
        <v>150.72395586532119</v>
      </c>
      <c r="AO451" s="98">
        <f t="shared" si="269"/>
        <v>1.5641616327223844</v>
      </c>
      <c r="AP451" s="168" t="str">
        <f t="shared" si="270"/>
        <v>-0.00390017667557984+0.0401074447466389i</v>
      </c>
      <c r="AQ451" s="98">
        <f t="shared" si="271"/>
        <v>-27.894625144394457</v>
      </c>
      <c r="AR451" s="169">
        <f t="shared" si="272"/>
        <v>95.554162286799311</v>
      </c>
      <c r="AS451" s="168" t="str">
        <f t="shared" si="273"/>
        <v>-0.00393134138727399-0.00514008742751073i</v>
      </c>
      <c r="AT451" s="190">
        <f t="shared" si="274"/>
        <v>-43.780353910341191</v>
      </c>
      <c r="AU451" s="169">
        <f t="shared" si="275"/>
        <v>-127.41018352534326</v>
      </c>
      <c r="AV451" s="225"/>
      <c r="AX451">
        <f t="shared" si="276"/>
        <v>0</v>
      </c>
      <c r="AY451">
        <f t="shared" si="277"/>
        <v>0</v>
      </c>
    </row>
    <row r="452" spans="14:51" x14ac:dyDescent="0.25">
      <c r="N452" s="170">
        <v>34</v>
      </c>
      <c r="O452" s="199">
        <f t="shared" si="278"/>
        <v>218776.16239495538</v>
      </c>
      <c r="P452" s="189" t="str">
        <f t="shared" si="244"/>
        <v>18.0065359477124</v>
      </c>
      <c r="Q452" s="160" t="str">
        <f t="shared" si="245"/>
        <v>1+431.250562861528i</v>
      </c>
      <c r="R452" s="160">
        <f t="shared" si="253"/>
        <v>431.251722278746</v>
      </c>
      <c r="S452" s="160">
        <f t="shared" si="254"/>
        <v>1.5684774933978234</v>
      </c>
      <c r="T452" s="160" t="str">
        <f t="shared" si="246"/>
        <v>1+0.549844467648448i</v>
      </c>
      <c r="U452" s="160">
        <f t="shared" si="255"/>
        <v>1.1411962752320939</v>
      </c>
      <c r="V452" s="160">
        <f t="shared" si="256"/>
        <v>0.50272379245092969</v>
      </c>
      <c r="W452" s="98" t="str">
        <f t="shared" si="247"/>
        <v>1-7.76788583104453i</v>
      </c>
      <c r="X452" s="160">
        <f t="shared" si="257"/>
        <v>7.831988909858234</v>
      </c>
      <c r="Y452" s="160">
        <f t="shared" si="258"/>
        <v>-1.4427653459166907</v>
      </c>
      <c r="Z452" s="98" t="str">
        <f t="shared" si="248"/>
        <v>0.420939018740096+2.32186020819021i</v>
      </c>
      <c r="AA452" s="160">
        <f t="shared" si="259"/>
        <v>2.3597085590968558</v>
      </c>
      <c r="AB452" s="160">
        <f t="shared" si="260"/>
        <v>1.3914504093064541</v>
      </c>
      <c r="AC452" s="171" t="str">
        <f t="shared" si="261"/>
        <v>-0.114810619848758+0.108767757044184i</v>
      </c>
      <c r="AD452" s="190">
        <f t="shared" si="262"/>
        <v>-16.018532572603398</v>
      </c>
      <c r="AE452" s="169">
        <f t="shared" si="263"/>
        <v>136.54820993152583</v>
      </c>
      <c r="AF452" s="98" t="str">
        <f t="shared" si="249"/>
        <v>-0.0000816326530612245</v>
      </c>
      <c r="AG452" s="98" t="str">
        <f t="shared" si="250"/>
        <v>0.0323033624743463i</v>
      </c>
      <c r="AH452" s="98">
        <f t="shared" si="264"/>
        <v>3.23033624743463E-2</v>
      </c>
      <c r="AI452" s="98">
        <f t="shared" si="265"/>
        <v>1.5707963267948966</v>
      </c>
      <c r="AJ452" s="98" t="str">
        <f t="shared" si="251"/>
        <v>1+9.8445557345993i</v>
      </c>
      <c r="AK452" s="98">
        <f t="shared" si="266"/>
        <v>9.8952148845607155</v>
      </c>
      <c r="AL452" s="98">
        <f t="shared" si="267"/>
        <v>1.4695645663786563</v>
      </c>
      <c r="AM452" s="98" t="str">
        <f t="shared" si="252"/>
        <v>1+154.23137317539i</v>
      </c>
      <c r="AN452" s="98">
        <f t="shared" si="268"/>
        <v>154.23461502388628</v>
      </c>
      <c r="AO452" s="98">
        <f t="shared" si="269"/>
        <v>1.564312652515824</v>
      </c>
      <c r="AP452" s="168" t="str">
        <f t="shared" si="270"/>
        <v>-0.00372643255171618+0.0392121365959614i</v>
      </c>
      <c r="AQ452" s="98">
        <f t="shared" si="271"/>
        <v>-28.09254390665075</v>
      </c>
      <c r="AR452" s="169">
        <f t="shared" si="272"/>
        <v>95.428665452601678</v>
      </c>
      <c r="AS452" s="168" t="str">
        <f t="shared" si="273"/>
        <v>-0.00383718211536576-0.0049072854186031i</v>
      </c>
      <c r="AT452" s="190">
        <f t="shared" si="274"/>
        <v>-44.111076479254152</v>
      </c>
      <c r="AU452" s="169">
        <f t="shared" si="275"/>
        <v>-128.02312461587246</v>
      </c>
      <c r="AV452" s="225"/>
      <c r="AX452">
        <f t="shared" si="276"/>
        <v>0</v>
      </c>
      <c r="AY452">
        <f t="shared" si="277"/>
        <v>0</v>
      </c>
    </row>
    <row r="453" spans="14:51" x14ac:dyDescent="0.25">
      <c r="N453" s="170">
        <v>35</v>
      </c>
      <c r="O453" s="199">
        <f t="shared" si="278"/>
        <v>223872.11385683404</v>
      </c>
      <c r="P453" s="189" t="str">
        <f t="shared" si="244"/>
        <v>18.0065359477124</v>
      </c>
      <c r="Q453" s="160" t="str">
        <f t="shared" si="245"/>
        <v>1+441.295678893333i</v>
      </c>
      <c r="R453" s="160">
        <f t="shared" si="253"/>
        <v>441.29681191906167</v>
      </c>
      <c r="S453" s="160">
        <f t="shared" si="254"/>
        <v>1.5685302763072835</v>
      </c>
      <c r="T453" s="160" t="str">
        <f t="shared" si="246"/>
        <v>1+0.562651990589i</v>
      </c>
      <c r="U453" s="160">
        <f t="shared" si="255"/>
        <v>1.1474220071594252</v>
      </c>
      <c r="V453" s="160">
        <f t="shared" si="256"/>
        <v>0.51250491153854516</v>
      </c>
      <c r="W453" s="98" t="str">
        <f t="shared" si="247"/>
        <v>1-7.94882313574485i</v>
      </c>
      <c r="X453" s="160">
        <f t="shared" si="257"/>
        <v>8.0114785928287038</v>
      </c>
      <c r="Y453" s="160">
        <f t="shared" si="258"/>
        <v>-1.4456490054178743</v>
      </c>
      <c r="Z453" s="98" t="str">
        <f t="shared" si="248"/>
        <v>0.393648715460383+2.37594328009658i</v>
      </c>
      <c r="AA453" s="160">
        <f t="shared" si="259"/>
        <v>2.4083325728436482</v>
      </c>
      <c r="AB453" s="160">
        <f t="shared" si="260"/>
        <v>1.4066068061298946</v>
      </c>
      <c r="AC453" s="171" t="str">
        <f t="shared" si="261"/>
        <v>-0.112170616510466+0.108049889148928i</v>
      </c>
      <c r="AD453" s="190">
        <f t="shared" si="262"/>
        <v>-16.151624507101058</v>
      </c>
      <c r="AE453" s="169">
        <f t="shared" si="263"/>
        <v>136.07198344663925</v>
      </c>
      <c r="AF453" s="98" t="str">
        <f t="shared" si="249"/>
        <v>-0.0000816326530612245</v>
      </c>
      <c r="AG453" s="98" t="str">
        <f t="shared" si="250"/>
        <v>0.0330558044471036i</v>
      </c>
      <c r="AH453" s="98">
        <f t="shared" si="264"/>
        <v>3.3055804447103598E-2</v>
      </c>
      <c r="AI453" s="98">
        <f t="shared" si="265"/>
        <v>1.5707963267948966</v>
      </c>
      <c r="AJ453" s="98" t="str">
        <f t="shared" si="251"/>
        <v>1+10.0738648953328i</v>
      </c>
      <c r="AK453" s="98">
        <f t="shared" si="266"/>
        <v>10.123376607111805</v>
      </c>
      <c r="AL453" s="98">
        <f t="shared" si="267"/>
        <v>1.4718537000875869</v>
      </c>
      <c r="AM453" s="98" t="str">
        <f t="shared" si="252"/>
        <v>1+157.823883360215i</v>
      </c>
      <c r="AN453" s="98">
        <f t="shared" si="268"/>
        <v>157.82705141672881</v>
      </c>
      <c r="AO453" s="98">
        <f t="shared" si="269"/>
        <v>1.5644602349648538</v>
      </c>
      <c r="AP453" s="168" t="str">
        <f t="shared" si="270"/>
        <v>-0.00356035199887007+0.0383360456743303i</v>
      </c>
      <c r="AQ453" s="98">
        <f t="shared" si="271"/>
        <v>-28.290555400846653</v>
      </c>
      <c r="AR453" s="169">
        <f t="shared" si="272"/>
        <v>95.30596360379846</v>
      </c>
      <c r="AS453" s="168" t="str">
        <f t="shared" si="273"/>
        <v>-0.0037428386068121-0.00468487351667209i</v>
      </c>
      <c r="AT453" s="190">
        <f t="shared" si="274"/>
        <v>-44.442179907947718</v>
      </c>
      <c r="AU453" s="169">
        <f t="shared" si="275"/>
        <v>-128.62205294956223</v>
      </c>
      <c r="AV453" s="225"/>
      <c r="AX453">
        <f t="shared" si="276"/>
        <v>0</v>
      </c>
      <c r="AY453">
        <f t="shared" si="277"/>
        <v>0</v>
      </c>
    </row>
    <row r="454" spans="14:51" x14ac:dyDescent="0.25">
      <c r="N454" s="170">
        <v>36</v>
      </c>
      <c r="O454" s="199">
        <f t="shared" si="278"/>
        <v>229086.76527677779</v>
      </c>
      <c r="P454" s="189" t="str">
        <f t="shared" si="244"/>
        <v>18.0065359477124</v>
      </c>
      <c r="Q454" s="160" t="str">
        <f t="shared" si="245"/>
        <v>1+451.574775735325i</v>
      </c>
      <c r="R454" s="160">
        <f t="shared" si="253"/>
        <v>451.57588297030333</v>
      </c>
      <c r="S454" s="160">
        <f t="shared" si="254"/>
        <v>1.5685818577432391</v>
      </c>
      <c r="T454" s="160" t="str">
        <f t="shared" si="246"/>
        <v>1+0.57575783906254i</v>
      </c>
      <c r="U454" s="160">
        <f t="shared" si="255"/>
        <v>1.1539051474198241</v>
      </c>
      <c r="V454" s="160">
        <f t="shared" si="256"/>
        <v>0.52240362946761387</v>
      </c>
      <c r="W454" s="98" t="str">
        <f t="shared" si="247"/>
        <v>1-8.13397501168683i</v>
      </c>
      <c r="X454" s="160">
        <f t="shared" si="257"/>
        <v>8.1952150362724332</v>
      </c>
      <c r="Y454" s="160">
        <f t="shared" si="258"/>
        <v>-1.4484690479737337</v>
      </c>
      <c r="Z454" s="98" t="str">
        <f t="shared" si="248"/>
        <v>0.365072259811234+2.43128610857937i</v>
      </c>
      <c r="AA454" s="160">
        <f t="shared" si="259"/>
        <v>2.4585422299921342</v>
      </c>
      <c r="AB454" s="160">
        <f t="shared" si="260"/>
        <v>1.4217537901436847</v>
      </c>
      <c r="AC454" s="171" t="str">
        <f t="shared" si="261"/>
        <v>-0.109594291662087+0.107297377122236i</v>
      </c>
      <c r="AD454" s="190">
        <f t="shared" si="262"/>
        <v>-16.284955512083556</v>
      </c>
      <c r="AE454" s="169">
        <f t="shared" si="263"/>
        <v>135.60674801514395</v>
      </c>
      <c r="AF454" s="98" t="str">
        <f t="shared" si="249"/>
        <v>-0.0000816326530612245</v>
      </c>
      <c r="AG454" s="98" t="str">
        <f t="shared" si="250"/>
        <v>0.0338257730449242i</v>
      </c>
      <c r="AH454" s="98">
        <f t="shared" si="264"/>
        <v>3.38257730449242E-2</v>
      </c>
      <c r="AI454" s="98">
        <f t="shared" si="265"/>
        <v>1.5707963267948966</v>
      </c>
      <c r="AJ454" s="98" t="str">
        <f t="shared" si="251"/>
        <v>1+10.3085153525771i</v>
      </c>
      <c r="AK454" s="98">
        <f t="shared" si="266"/>
        <v>10.35690536667772</v>
      </c>
      <c r="AL454" s="98">
        <f t="shared" si="267"/>
        <v>1.4740917324678848</v>
      </c>
      <c r="AM454" s="98" t="str">
        <f t="shared" si="252"/>
        <v>1+161.500073857042i</v>
      </c>
      <c r="AN454" s="98">
        <f t="shared" si="268"/>
        <v>161.50316980118387</v>
      </c>
      <c r="AO454" s="98">
        <f t="shared" si="269"/>
        <v>1.5646044582939116</v>
      </c>
      <c r="AP454" s="168" t="str">
        <f t="shared" si="270"/>
        <v>-0.00340160364691007+0.0374788104671038i</v>
      </c>
      <c r="AQ454" s="98">
        <f t="shared" si="271"/>
        <v>-28.488655535207357</v>
      </c>
      <c r="AR454" s="169">
        <f t="shared" si="272"/>
        <v>95.185997182056113</v>
      </c>
      <c r="AS454" s="168" t="str">
        <f t="shared" si="273"/>
        <v>-0.00364858171858336-0.00447244683480274i</v>
      </c>
      <c r="AT454" s="190">
        <f t="shared" si="274"/>
        <v>-44.773611047290913</v>
      </c>
      <c r="AU454" s="169">
        <f t="shared" si="275"/>
        <v>-129.20725480279989</v>
      </c>
      <c r="AV454" s="225"/>
      <c r="AX454">
        <f t="shared" si="276"/>
        <v>0</v>
      </c>
      <c r="AY454">
        <f t="shared" si="277"/>
        <v>0</v>
      </c>
    </row>
    <row r="455" spans="14:51" x14ac:dyDescent="0.25">
      <c r="N455" s="170">
        <v>37</v>
      </c>
      <c r="O455" s="199">
        <f t="shared" si="278"/>
        <v>234422.88153199267</v>
      </c>
      <c r="P455" s="189" t="str">
        <f t="shared" si="244"/>
        <v>18.0065359477124</v>
      </c>
      <c r="Q455" s="160" t="str">
        <f t="shared" si="245"/>
        <v>1+462.093303500712i</v>
      </c>
      <c r="R455" s="160">
        <f t="shared" si="253"/>
        <v>462.09438553200488</v>
      </c>
      <c r="S455" s="160">
        <f t="shared" si="254"/>
        <v>1.5686322650537519</v>
      </c>
      <c r="T455" s="160" t="str">
        <f t="shared" si="246"/>
        <v>1+0.589168961963408i</v>
      </c>
      <c r="U455" s="160">
        <f t="shared" si="255"/>
        <v>1.160655015816948</v>
      </c>
      <c r="V455" s="160">
        <f t="shared" si="256"/>
        <v>0.5324174346378886</v>
      </c>
      <c r="W455" s="98" t="str">
        <f t="shared" si="247"/>
        <v>1-8.32343962884591i</v>
      </c>
      <c r="X455" s="160">
        <f t="shared" si="257"/>
        <v>8.3832957275192506</v>
      </c>
      <c r="Y455" s="160">
        <f t="shared" si="258"/>
        <v>-1.45122678929796</v>
      </c>
      <c r="Z455" s="98" t="str">
        <f t="shared" si="248"/>
        <v>0.335149037298899+2.48791803713882i</v>
      </c>
      <c r="AA455" s="160">
        <f t="shared" si="259"/>
        <v>2.5103906143712091</v>
      </c>
      <c r="AB455" s="160">
        <f t="shared" si="260"/>
        <v>1.4368917880757761</v>
      </c>
      <c r="AC455" s="171" t="str">
        <f t="shared" si="261"/>
        <v>-0.10708093529928+0.106513326607008i</v>
      </c>
      <c r="AD455" s="190">
        <f t="shared" si="262"/>
        <v>-16.418477658931177</v>
      </c>
      <c r="AE455" s="169">
        <f t="shared" si="263"/>
        <v>135.15225833146428</v>
      </c>
      <c r="AF455" s="98" t="str">
        <f t="shared" si="249"/>
        <v>-0.0000816326530612245</v>
      </c>
      <c r="AG455" s="98" t="str">
        <f t="shared" si="250"/>
        <v>0.0346136765153502i</v>
      </c>
      <c r="AH455" s="98">
        <f t="shared" si="264"/>
        <v>3.4613676515350203E-2</v>
      </c>
      <c r="AI455" s="98">
        <f t="shared" si="265"/>
        <v>1.5707963267948966</v>
      </c>
      <c r="AJ455" s="98" t="str">
        <f t="shared" si="251"/>
        <v>1+10.5486315211108i</v>
      </c>
      <c r="AK455" s="98">
        <f t="shared" si="266"/>
        <v>10.595925017107866</v>
      </c>
      <c r="AL455" s="98">
        <f t="shared" si="267"/>
        <v>1.4762797604260165</v>
      </c>
      <c r="AM455" s="98" t="str">
        <f t="shared" si="252"/>
        <v>1+165.261893830736i</v>
      </c>
      <c r="AN455" s="98">
        <f t="shared" si="268"/>
        <v>165.26491930389054</v>
      </c>
      <c r="AO455" s="98">
        <f t="shared" si="269"/>
        <v>1.5647453989481028</v>
      </c>
      <c r="AP455" s="168" t="str">
        <f t="shared" si="270"/>
        <v>-0.00324986987287537+0.0366400727996804i</v>
      </c>
      <c r="AQ455" s="98">
        <f t="shared" si="271"/>
        <v>-28.686840395017036</v>
      </c>
      <c r="AR455" s="169">
        <f t="shared" si="272"/>
        <v>95.068707719245481</v>
      </c>
      <c r="AS455" s="168" t="str">
        <f t="shared" si="273"/>
        <v>-0.00355465693542846-0.00426960771602334i</v>
      </c>
      <c r="AT455" s="190">
        <f t="shared" si="274"/>
        <v>-45.10531805394821</v>
      </c>
      <c r="AU455" s="169">
        <f t="shared" si="275"/>
        <v>-129.77903394929018</v>
      </c>
      <c r="AV455" s="225"/>
      <c r="AX455">
        <f t="shared" si="276"/>
        <v>0</v>
      </c>
      <c r="AY455">
        <f t="shared" si="277"/>
        <v>0</v>
      </c>
    </row>
    <row r="456" spans="14:51" x14ac:dyDescent="0.25">
      <c r="N456" s="170">
        <v>38</v>
      </c>
      <c r="O456" s="199">
        <f t="shared" si="278"/>
        <v>239883.29190194907</v>
      </c>
      <c r="P456" s="189" t="str">
        <f t="shared" si="244"/>
        <v>18.0065359477124</v>
      </c>
      <c r="Q456" s="160" t="str">
        <f t="shared" si="245"/>
        <v>1+472.856839252141i</v>
      </c>
      <c r="R456" s="160">
        <f t="shared" si="253"/>
        <v>472.85789665345033</v>
      </c>
      <c r="S456" s="160">
        <f t="shared" si="254"/>
        <v>1.5686815249644197</v>
      </c>
      <c r="T456" s="160" t="str">
        <f t="shared" si="246"/>
        <v>1+0.60289247004648i</v>
      </c>
      <c r="U456" s="160">
        <f t="shared" si="255"/>
        <v>1.1676811767082425</v>
      </c>
      <c r="V456" s="160">
        <f t="shared" si="256"/>
        <v>0.54254360273729685</v>
      </c>
      <c r="W456" s="98" t="str">
        <f t="shared" si="247"/>
        <v>1-8.51731744386991i</v>
      </c>
      <c r="X456" s="160">
        <f t="shared" si="257"/>
        <v>8.5758204528575952</v>
      </c>
      <c r="Y456" s="160">
        <f t="shared" si="258"/>
        <v>-1.4539235237074901</v>
      </c>
      <c r="Z456" s="98" t="str">
        <f t="shared" si="248"/>
        <v>0.303815576756557+2.54586909277304i</v>
      </c>
      <c r="AA456" s="160">
        <f t="shared" si="259"/>
        <v>2.563933178188726</v>
      </c>
      <c r="AB456" s="160">
        <f t="shared" si="260"/>
        <v>1.452021351325943</v>
      </c>
      <c r="AC456" s="171" t="str">
        <f t="shared" si="261"/>
        <v>-0.104629721055696+0.105700728813782i</v>
      </c>
      <c r="AD456" s="190">
        <f t="shared" si="262"/>
        <v>-16.552144336498081</v>
      </c>
      <c r="AE456" s="169">
        <f t="shared" si="263"/>
        <v>134.70825102097513</v>
      </c>
      <c r="AF456" s="98" t="str">
        <f t="shared" si="249"/>
        <v>-0.0000816326530612245</v>
      </c>
      <c r="AG456" s="98" t="str">
        <f t="shared" si="250"/>
        <v>0.0354199326152307i</v>
      </c>
      <c r="AH456" s="98">
        <f t="shared" si="264"/>
        <v>3.5419932615230701E-2</v>
      </c>
      <c r="AI456" s="98">
        <f t="shared" si="265"/>
        <v>1.5707963267948966</v>
      </c>
      <c r="AJ456" s="98" t="str">
        <f t="shared" si="251"/>
        <v>1+10.7943407137045i</v>
      </c>
      <c r="AK456" s="98">
        <f t="shared" si="266"/>
        <v>10.840562321371459</v>
      </c>
      <c r="AL456" s="98">
        <f t="shared" si="267"/>
        <v>1.4784188602363473</v>
      </c>
      <c r="AM456" s="98" t="str">
        <f t="shared" si="252"/>
        <v>1+169.111337848038i</v>
      </c>
      <c r="AN456" s="98">
        <f t="shared" si="268"/>
        <v>169.11429445423369</v>
      </c>
      <c r="AO456" s="98">
        <f t="shared" si="269"/>
        <v>1.5648831316336174</v>
      </c>
      <c r="AP456" s="168" t="str">
        <f t="shared" si="270"/>
        <v>-0.00310484628174463+0.0358194780687945i</v>
      </c>
      <c r="AQ456" s="98">
        <f t="shared" si="271"/>
        <v>-28.885106235261979</v>
      </c>
      <c r="AR456" s="169">
        <f t="shared" si="272"/>
        <v>94.954037829737288</v>
      </c>
      <c r="AS456" s="168" t="str">
        <f t="shared" si="273"/>
        <v>-0.0034612857372211-0.00407596651353376i</v>
      </c>
      <c r="AT456" s="190">
        <f t="shared" si="274"/>
        <v>-45.437250571760053</v>
      </c>
      <c r="AU456" s="169">
        <f t="shared" si="275"/>
        <v>-130.33771114928751</v>
      </c>
      <c r="AV456" s="225"/>
      <c r="AX456">
        <f t="shared" si="276"/>
        <v>0</v>
      </c>
      <c r="AY456">
        <f t="shared" si="277"/>
        <v>0</v>
      </c>
    </row>
    <row r="457" spans="14:51" x14ac:dyDescent="0.25">
      <c r="N457" s="170">
        <v>39</v>
      </c>
      <c r="O457" s="199">
        <f t="shared" si="278"/>
        <v>245470.89156850305</v>
      </c>
      <c r="P457" s="189" t="str">
        <f t="shared" si="244"/>
        <v>18.0065359477124</v>
      </c>
      <c r="Q457" s="160" t="str">
        <f t="shared" si="245"/>
        <v>1+483.871089958742i</v>
      </c>
      <c r="R457" s="160">
        <f t="shared" si="253"/>
        <v>483.87212329071093</v>
      </c>
      <c r="S457" s="160">
        <f t="shared" si="254"/>
        <v>1.5687296635925425</v>
      </c>
      <c r="T457" s="160" t="str">
        <f t="shared" si="246"/>
        <v>1+0.616935639697396i</v>
      </c>
      <c r="U457" s="160">
        <f t="shared" si="255"/>
        <v>1.174993439781191</v>
      </c>
      <c r="V457" s="160">
        <f t="shared" si="256"/>
        <v>0.55277919564235223</v>
      </c>
      <c r="W457" s="98" t="str">
        <f t="shared" si="247"/>
        <v>1-8.71571125334269i</v>
      </c>
      <c r="X457" s="160">
        <f t="shared" si="257"/>
        <v>8.7728913507260753</v>
      </c>
      <c r="Y457" s="160">
        <f t="shared" si="258"/>
        <v>-1.4565605240688357</v>
      </c>
      <c r="Z457" s="98" t="str">
        <f t="shared" si="248"/>
        <v>0.271005415713444+2.6051700018988i</v>
      </c>
      <c r="AA457" s="160">
        <f t="shared" si="259"/>
        <v>2.6192278774744686</v>
      </c>
      <c r="AB457" s="160">
        <f t="shared" si="260"/>
        <v>1.4671431446575844</v>
      </c>
      <c r="AC457" s="171" t="str">
        <f t="shared" si="261"/>
        <v>-0.102239715356207+0.10486245656305i</v>
      </c>
      <c r="AD457" s="190">
        <f t="shared" si="262"/>
        <v>-16.685910435949239</v>
      </c>
      <c r="AE457" s="169">
        <f t="shared" si="263"/>
        <v>134.27444522717414</v>
      </c>
      <c r="AF457" s="98" t="str">
        <f t="shared" si="249"/>
        <v>-0.0000816326530612245</v>
      </c>
      <c r="AG457" s="98" t="str">
        <f t="shared" si="250"/>
        <v>0.0362449688322221i</v>
      </c>
      <c r="AH457" s="98">
        <f t="shared" si="264"/>
        <v>3.6244968832222099E-2</v>
      </c>
      <c r="AI457" s="98">
        <f t="shared" si="265"/>
        <v>1.5707963267948966</v>
      </c>
      <c r="AJ457" s="98" t="str">
        <f t="shared" si="251"/>
        <v>1+11.0457732086246i</v>
      </c>
      <c r="AK457" s="98">
        <f t="shared" si="266"/>
        <v>11.090947018914527</v>
      </c>
      <c r="AL457" s="98">
        <f t="shared" si="267"/>
        <v>1.4805100877308659</v>
      </c>
      <c r="AM457" s="98" t="str">
        <f t="shared" si="252"/>
        <v>1+173.05044693512i</v>
      </c>
      <c r="AN457" s="98">
        <f t="shared" si="268"/>
        <v>173.05333624187884</v>
      </c>
      <c r="AO457" s="98">
        <f t="shared" si="269"/>
        <v>1.5650177293572334</v>
      </c>
      <c r="AP457" s="168" t="str">
        <f t="shared" si="270"/>
        <v>-0.00296624120222168+0.0350166754500402i</v>
      </c>
      <c r="AQ457" s="98">
        <f t="shared" si="271"/>
        <v>-29.083449473552644</v>
      </c>
      <c r="AR457" s="169">
        <f t="shared" si="272"/>
        <v>94.841931201794907</v>
      </c>
      <c r="AS457" s="168" t="str">
        <f t="shared" si="273"/>
        <v>-0.00336866695216926-0.00389114226995629i</v>
      </c>
      <c r="AT457" s="190">
        <f t="shared" si="274"/>
        <v>-45.769359909501894</v>
      </c>
      <c r="AU457" s="169">
        <f t="shared" si="275"/>
        <v>-130.88362357103097</v>
      </c>
      <c r="AV457" s="225"/>
      <c r="AX457">
        <f t="shared" si="276"/>
        <v>0</v>
      </c>
      <c r="AY457">
        <f t="shared" si="277"/>
        <v>0</v>
      </c>
    </row>
    <row r="458" spans="14:51" x14ac:dyDescent="0.25">
      <c r="N458" s="170">
        <v>40</v>
      </c>
      <c r="O458" s="199">
        <f t="shared" si="278"/>
        <v>251188.64315095844</v>
      </c>
      <c r="P458" s="189" t="str">
        <f t="shared" si="244"/>
        <v>18.0065359477124</v>
      </c>
      <c r="Q458" s="160" t="str">
        <f t="shared" si="245"/>
        <v>1+495.141895522033i</v>
      </c>
      <c r="R458" s="160">
        <f t="shared" si="253"/>
        <v>495.14290533254319</v>
      </c>
      <c r="S458" s="160">
        <f t="shared" si="254"/>
        <v>1.5687767064609655</v>
      </c>
      <c r="T458" s="160" t="str">
        <f t="shared" si="246"/>
        <v>1+0.631305916790592i</v>
      </c>
      <c r="U458" s="160">
        <f t="shared" si="255"/>
        <v>1.1826018605493609</v>
      </c>
      <c r="V458" s="160">
        <f t="shared" si="256"/>
        <v>0.56312106111819116</v>
      </c>
      <c r="W458" s="98" t="str">
        <f t="shared" si="247"/>
        <v>1-8.91872624828812i</v>
      </c>
      <c r="X458" s="160">
        <f t="shared" si="257"/>
        <v>8.9746129661341651</v>
      </c>
      <c r="Y458" s="160">
        <f t="shared" si="258"/>
        <v>-1.4591390417785495</v>
      </c>
      <c r="Z458" s="98" t="str">
        <f t="shared" si="248"/>
        <v>0.236648959419044+2.6658522066431i</v>
      </c>
      <c r="AA458" s="160">
        <f t="shared" si="259"/>
        <v>2.6763353148770435</v>
      </c>
      <c r="AB458" s="160">
        <f t="shared" si="260"/>
        <v>1.4822579344576545</v>
      </c>
      <c r="AC458" s="171" t="str">
        <f t="shared" si="261"/>
        <v>-0.099909886553743+0.104001261059314i</v>
      </c>
      <c r="AD458" s="190">
        <f t="shared" si="262"/>
        <v>-16.819732531092527</v>
      </c>
      <c r="AE458" s="169">
        <f t="shared" si="263"/>
        <v>133.85054326747746</v>
      </c>
      <c r="AF458" s="98" t="str">
        <f t="shared" si="249"/>
        <v>-0.0000816326530612245</v>
      </c>
      <c r="AG458" s="98" t="str">
        <f t="shared" si="250"/>
        <v>0.0370892226114472i</v>
      </c>
      <c r="AH458" s="98">
        <f t="shared" si="264"/>
        <v>3.7089222611447203E-2</v>
      </c>
      <c r="AI458" s="98">
        <f t="shared" si="265"/>
        <v>1.5707963267948966</v>
      </c>
      <c r="AJ458" s="98" t="str">
        <f t="shared" si="251"/>
        <v>1+11.3030623187081i</v>
      </c>
      <c r="AK458" s="98">
        <f t="shared" si="266"/>
        <v>11.347211894584456</v>
      </c>
      <c r="AL458" s="98">
        <f t="shared" si="267"/>
        <v>1.4825544785022493</v>
      </c>
      <c r="AM458" s="98" t="str">
        <f t="shared" si="252"/>
        <v>1+177.081309659761i</v>
      </c>
      <c r="AN458" s="98">
        <f t="shared" si="268"/>
        <v>177.08413319892938</v>
      </c>
      <c r="AO458" s="98">
        <f t="shared" si="269"/>
        <v>1.5651492634649269</v>
      </c>
      <c r="AP458" s="168" t="str">
        <f t="shared" si="270"/>
        <v>-0.00283377519754777+0.0342313180831914i</v>
      </c>
      <c r="AQ458" s="98">
        <f t="shared" si="271"/>
        <v>-29.281866683316093</v>
      </c>
      <c r="AR458" s="169">
        <f t="shared" si="272"/>
        <v>94.732332588152019</v>
      </c>
      <c r="AS458" s="168" t="str">
        <f t="shared" si="273"/>
        <v>-0.0032769780898686-0.00371476330038032i</v>
      </c>
      <c r="AT458" s="190">
        <f t="shared" si="274"/>
        <v>-46.101599214408616</v>
      </c>
      <c r="AU458" s="169">
        <f t="shared" si="275"/>
        <v>-131.41712414437055</v>
      </c>
      <c r="AV458" s="225"/>
      <c r="AX458">
        <f t="shared" si="276"/>
        <v>0</v>
      </c>
      <c r="AY458">
        <f t="shared" si="277"/>
        <v>0</v>
      </c>
    </row>
    <row r="459" spans="14:51" x14ac:dyDescent="0.25">
      <c r="N459" s="170">
        <v>41</v>
      </c>
      <c r="O459" s="199">
        <f t="shared" si="278"/>
        <v>257039.57827688678</v>
      </c>
      <c r="P459" s="189" t="str">
        <f t="shared" si="244"/>
        <v>18.0065359477124</v>
      </c>
      <c r="Q459" s="160" t="str">
        <f t="shared" si="245"/>
        <v>1+506.675231872304i</v>
      </c>
      <c r="R459" s="160">
        <f t="shared" si="253"/>
        <v>506.67621869676594</v>
      </c>
      <c r="S459" s="160">
        <f t="shared" si="254"/>
        <v>1.5688226785116064</v>
      </c>
      <c r="T459" s="160" t="str">
        <f t="shared" si="246"/>
        <v>1+0.646010920637188i</v>
      </c>
      <c r="U459" s="160">
        <f t="shared" si="255"/>
        <v>1.190516740572138</v>
      </c>
      <c r="V459" s="160">
        <f t="shared" si="256"/>
        <v>0.57356583336264566</v>
      </c>
      <c r="W459" s="98" t="str">
        <f t="shared" si="247"/>
        <v>1-9.12647006994363i</v>
      </c>
      <c r="X459" s="160">
        <f t="shared" si="257"/>
        <v>9.1810923063422525</v>
      </c>
      <c r="Y459" s="160">
        <f t="shared" si="258"/>
        <v>-1.4616603067751899</v>
      </c>
      <c r="Z459" s="98" t="str">
        <f t="shared" si="248"/>
        <v>0.200673333223324+2.72794788151406i</v>
      </c>
      <c r="AA459" s="160">
        <f t="shared" si="259"/>
        <v>2.7353188901705789</v>
      </c>
      <c r="AB459" s="160">
        <f t="shared" si="260"/>
        <v>1.4973665766162432</v>
      </c>
      <c r="AC459" s="171" t="str">
        <f t="shared" si="261"/>
        <v>-0.0976391139970399+0.103119769363953i</v>
      </c>
      <c r="AD459" s="190">
        <f t="shared" si="262"/>
        <v>-16.953569053574594</v>
      </c>
      <c r="AE459" s="169">
        <f t="shared" si="263"/>
        <v>133.43623135738045</v>
      </c>
      <c r="AF459" s="98" t="str">
        <f t="shared" si="249"/>
        <v>-0.0000816326530612245</v>
      </c>
      <c r="AG459" s="98" t="str">
        <f t="shared" si="250"/>
        <v>0.0379531415874348i</v>
      </c>
      <c r="AH459" s="98">
        <f t="shared" si="264"/>
        <v>3.7953141587434798E-2</v>
      </c>
      <c r="AI459" s="98">
        <f t="shared" si="265"/>
        <v>1.5707963267948966</v>
      </c>
      <c r="AJ459" s="98" t="str">
        <f t="shared" si="251"/>
        <v>1+11.5663444620466i</v>
      </c>
      <c r="AK459" s="98">
        <f t="shared" si="266"/>
        <v>11.609492849160812</v>
      </c>
      <c r="AL459" s="98">
        <f t="shared" si="267"/>
        <v>1.484553048118902</v>
      </c>
      <c r="AM459" s="98" t="str">
        <f t="shared" si="252"/>
        <v>1+181.206063238731i</v>
      </c>
      <c r="AN459" s="98">
        <f t="shared" si="268"/>
        <v>181.20882250729122</v>
      </c>
      <c r="AO459" s="98">
        <f t="shared" si="269"/>
        <v>1.5652778036796069</v>
      </c>
      <c r="AP459" s="168" t="str">
        <f t="shared" si="270"/>
        <v>-0.0027071805912934+0.0334630632368007i</v>
      </c>
      <c r="AQ459" s="98">
        <f t="shared" si="271"/>
        <v>-29.480354587251153</v>
      </c>
      <c r="AR459" s="169">
        <f t="shared" si="272"/>
        <v>94.625187795853606</v>
      </c>
      <c r="AS459" s="168" t="str">
        <f t="shared" si="273"/>
        <v>-0.00318637664882639-0.00354646768426888i</v>
      </c>
      <c r="AT459" s="190">
        <f t="shared" si="274"/>
        <v>-46.433923640825753</v>
      </c>
      <c r="AU459" s="169">
        <f t="shared" si="275"/>
        <v>-131.93858084676592</v>
      </c>
      <c r="AV459" s="225"/>
      <c r="AX459">
        <f t="shared" si="276"/>
        <v>0</v>
      </c>
      <c r="AY459">
        <f t="shared" si="277"/>
        <v>0</v>
      </c>
    </row>
    <row r="460" spans="14:51" x14ac:dyDescent="0.25">
      <c r="N460" s="170">
        <v>42</v>
      </c>
      <c r="O460" s="199">
        <f t="shared" si="278"/>
        <v>263026.79918953858</v>
      </c>
      <c r="P460" s="189" t="str">
        <f t="shared" si="244"/>
        <v>18.0065359477124</v>
      </c>
      <c r="Q460" s="160" t="str">
        <f t="shared" si="245"/>
        <v>1+518.477214137155i</v>
      </c>
      <c r="R460" s="160">
        <f t="shared" si="253"/>
        <v>518.47817849879209</v>
      </c>
      <c r="S460" s="160">
        <f t="shared" si="254"/>
        <v>1.5688676041186773</v>
      </c>
      <c r="T460" s="160" t="str">
        <f t="shared" si="246"/>
        <v>1+0.661058448024872i</v>
      </c>
      <c r="U460" s="160">
        <f t="shared" si="255"/>
        <v>1.1987486274048669</v>
      </c>
      <c r="V460" s="160">
        <f t="shared" si="256"/>
        <v>0.58410993443441805</v>
      </c>
      <c r="W460" s="98" t="str">
        <f t="shared" si="247"/>
        <v>1-9.33905286683335i</v>
      </c>
      <c r="X460" s="160">
        <f t="shared" si="257"/>
        <v>9.392438897832033</v>
      </c>
      <c r="Y460" s="160">
        <f t="shared" si="258"/>
        <v>-1.4641255275802909</v>
      </c>
      <c r="Z460" s="98" t="str">
        <f t="shared" si="248"/>
        <v>0.163002227999776+2.79148995046046i</v>
      </c>
      <c r="AA460" s="160">
        <f t="shared" si="259"/>
        <v>2.7962449588429537</v>
      </c>
      <c r="AB460" s="160">
        <f t="shared" si="260"/>
        <v>1.5124700040765795</v>
      </c>
      <c r="AC460" s="171" t="str">
        <f t="shared" si="261"/>
        <v>-0.0954261969823702+0.1022204825313i</v>
      </c>
      <c r="AD460" s="190">
        <f t="shared" si="262"/>
        <v>-17.087380462285765</v>
      </c>
      <c r="AE460" s="169">
        <f t="shared" si="263"/>
        <v>133.0311804025159</v>
      </c>
      <c r="AF460" s="98" t="str">
        <f t="shared" si="249"/>
        <v>-0.0000816326530612245</v>
      </c>
      <c r="AG460" s="98" t="str">
        <f t="shared" si="250"/>
        <v>0.0388371838214613i</v>
      </c>
      <c r="AH460" s="98">
        <f t="shared" si="264"/>
        <v>3.8837183821461299E-2</v>
      </c>
      <c r="AI460" s="98">
        <f t="shared" si="265"/>
        <v>1.5707963267948966</v>
      </c>
      <c r="AJ460" s="98" t="str">
        <f t="shared" si="251"/>
        <v>1+11.8357592343176i</v>
      </c>
      <c r="AK460" s="98">
        <f t="shared" si="266"/>
        <v>11.877928971530951</v>
      </c>
      <c r="AL460" s="98">
        <f t="shared" si="267"/>
        <v>1.4865067923506963</v>
      </c>
      <c r="AM460" s="98" t="str">
        <f t="shared" si="252"/>
        <v>1+185.426894670977i</v>
      </c>
      <c r="AN460" s="98">
        <f t="shared" si="268"/>
        <v>185.42959113184065</v>
      </c>
      <c r="AO460" s="98">
        <f t="shared" si="269"/>
        <v>1.5654034181379961</v>
      </c>
      <c r="AP460" s="168" t="str">
        <f t="shared" si="270"/>
        <v>-0.00258620100803638+0.0327115724534814i</v>
      </c>
      <c r="AQ460" s="98">
        <f t="shared" si="271"/>
        <v>-29.678910051038301</v>
      </c>
      <c r="AR460" s="169">
        <f t="shared" si="272"/>
        <v>94.520443675435303</v>
      </c>
      <c r="AS460" s="168" t="str">
        <f t="shared" si="273"/>
        <v>-0.00309700139372357-0.0033859036715134i</v>
      </c>
      <c r="AT460" s="190">
        <f t="shared" si="274"/>
        <v>-46.766290513324066</v>
      </c>
      <c r="AU460" s="169">
        <f t="shared" si="275"/>
        <v>-132.44837592204888</v>
      </c>
      <c r="AV460" s="225"/>
      <c r="AX460">
        <f t="shared" si="276"/>
        <v>0</v>
      </c>
      <c r="AY460">
        <f t="shared" si="277"/>
        <v>0</v>
      </c>
    </row>
    <row r="461" spans="14:51" x14ac:dyDescent="0.25">
      <c r="N461" s="170">
        <v>43</v>
      </c>
      <c r="O461" s="199">
        <f t="shared" si="278"/>
        <v>269153.48039269145</v>
      </c>
      <c r="P461" s="189" t="str">
        <f t="shared" si="244"/>
        <v>18.0065359477124</v>
      </c>
      <c r="Q461" s="160" t="str">
        <f t="shared" si="245"/>
        <v>1+530.554099883799i</v>
      </c>
      <c r="R461" s="160">
        <f t="shared" si="253"/>
        <v>530.55504229392466</v>
      </c>
      <c r="S461" s="160">
        <f t="shared" si="254"/>
        <v>1.5689115071016042</v>
      </c>
      <c r="T461" s="160" t="str">
        <f t="shared" si="246"/>
        <v>1+0.676456477351844i</v>
      </c>
      <c r="U461" s="160">
        <f t="shared" si="255"/>
        <v>1.2073083142889665</v>
      </c>
      <c r="V461" s="160">
        <f t="shared" si="256"/>
        <v>0.59474957660021122</v>
      </c>
      <c r="W461" s="98" t="str">
        <f t="shared" si="247"/>
        <v>1-9.55658735317007i</v>
      </c>
      <c r="X461" s="160">
        <f t="shared" si="257"/>
        <v>9.6087648445973599</v>
      </c>
      <c r="Y461" s="160">
        <f t="shared" si="258"/>
        <v>-1.4665358913659832</v>
      </c>
      <c r="Z461" s="98" t="str">
        <f t="shared" si="248"/>
        <v>0.123555738283565+2.85651210432835i</v>
      </c>
      <c r="AA461" s="160">
        <f t="shared" si="259"/>
        <v>2.8591829991515367</v>
      </c>
      <c r="AB461" s="160">
        <f t="shared" si="260"/>
        <v>1.527569214105251</v>
      </c>
      <c r="AC461" s="171" t="str">
        <f t="shared" si="261"/>
        <v>-0.0932698635480533+0.101305774370515i</v>
      </c>
      <c r="AD461" s="190">
        <f t="shared" si="262"/>
        <v>-17.221129406289492</v>
      </c>
      <c r="AE461" s="169">
        <f t="shared" si="263"/>
        <v>132.6350468578795</v>
      </c>
      <c r="AF461" s="98" t="str">
        <f t="shared" si="249"/>
        <v>-0.0000816326530612245</v>
      </c>
      <c r="AG461" s="98" t="str">
        <f t="shared" si="250"/>
        <v>0.0397418180444208i</v>
      </c>
      <c r="AH461" s="98">
        <f t="shared" si="264"/>
        <v>3.9741818044420799E-2</v>
      </c>
      <c r="AI461" s="98">
        <f t="shared" si="265"/>
        <v>1.5707963267948966</v>
      </c>
      <c r="AJ461" s="98" t="str">
        <f t="shared" si="251"/>
        <v>1+12.1114494827995i</v>
      </c>
      <c r="AK461" s="98">
        <f t="shared" si="266"/>
        <v>12.152662612547273</v>
      </c>
      <c r="AL461" s="98">
        <f t="shared" si="267"/>
        <v>1.4884166874041935</v>
      </c>
      <c r="AM461" s="98" t="str">
        <f t="shared" si="252"/>
        <v>1+189.746041897192i</v>
      </c>
      <c r="AN461" s="98">
        <f t="shared" si="268"/>
        <v>189.74867697997507</v>
      </c>
      <c r="AO461" s="98">
        <f t="shared" si="269"/>
        <v>1.5655261734266777</v>
      </c>
      <c r="AP461" s="168" t="str">
        <f t="shared" si="270"/>
        <v>-0.00247059092879048+0.0319765116772026i</v>
      </c>
      <c r="AQ461" s="98">
        <f t="shared" si="271"/>
        <v>-29.877530077295646</v>
      </c>
      <c r="AR461" s="169">
        <f t="shared" si="272"/>
        <v>94.418048109511361</v>
      </c>
      <c r="AS461" s="168" t="str">
        <f t="shared" si="273"/>
        <v>-0.00300897359831548-0.00323273000806931i</v>
      </c>
      <c r="AT461" s="190">
        <f t="shared" si="274"/>
        <v>-47.098659483585131</v>
      </c>
      <c r="AU461" s="169">
        <f t="shared" si="275"/>
        <v>-132.9469050326091</v>
      </c>
      <c r="AV461" s="225"/>
      <c r="AX461">
        <f t="shared" si="276"/>
        <v>0</v>
      </c>
      <c r="AY461">
        <f t="shared" si="277"/>
        <v>0</v>
      </c>
    </row>
    <row r="462" spans="14:51" x14ac:dyDescent="0.25">
      <c r="N462" s="170">
        <v>44</v>
      </c>
      <c r="O462" s="199">
        <f t="shared" si="278"/>
        <v>275422.87033381703</v>
      </c>
      <c r="P462" s="189" t="str">
        <f t="shared" si="244"/>
        <v>18.0065359477124</v>
      </c>
      <c r="Q462" s="160" t="str">
        <f t="shared" si="245"/>
        <v>1+542.912292436916i</v>
      </c>
      <c r="R462" s="160">
        <f t="shared" si="253"/>
        <v>542.91321339520493</v>
      </c>
      <c r="S462" s="160">
        <f t="shared" si="254"/>
        <v>1.5689544107376523</v>
      </c>
      <c r="T462" s="160" t="str">
        <f t="shared" si="246"/>
        <v>1+0.692213172857068i</v>
      </c>
      <c r="U462" s="160">
        <f t="shared" si="255"/>
        <v>1.2162068395946675</v>
      </c>
      <c r="V462" s="160">
        <f t="shared" si="256"/>
        <v>0.60548076562990139</v>
      </c>
      <c r="W462" s="98" t="str">
        <f t="shared" si="247"/>
        <v>1-9.77918886861783i</v>
      </c>
      <c r="X462" s="160">
        <f t="shared" si="257"/>
        <v>9.8301848877881675</v>
      </c>
      <c r="Y462" s="160">
        <f t="shared" si="258"/>
        <v>-1.4688925640470605</v>
      </c>
      <c r="Z462" s="98" t="str">
        <f t="shared" si="248"/>
        <v>0.082250192781322+2.92304881872435i</v>
      </c>
      <c r="AA462" s="160">
        <f t="shared" si="259"/>
        <v>2.9242057880488477</v>
      </c>
      <c r="AB462" s="160">
        <f t="shared" si="260"/>
        <v>1.5426652553317923</v>
      </c>
      <c r="AC462" s="171" t="str">
        <f t="shared" si="261"/>
        <v>-0.0911687790760399+0.100377890794594i</v>
      </c>
      <c r="AD462" s="190">
        <f t="shared" si="262"/>
        <v>-17.354780880571244</v>
      </c>
      <c r="AE462" s="169">
        <f t="shared" si="263"/>
        <v>132.24747365321087</v>
      </c>
      <c r="AF462" s="98" t="str">
        <f t="shared" si="249"/>
        <v>-0.0000816326530612245</v>
      </c>
      <c r="AG462" s="98" t="str">
        <f t="shared" si="250"/>
        <v>0.0406675239053527i</v>
      </c>
      <c r="AH462" s="98">
        <f t="shared" si="264"/>
        <v>4.06675239053527E-2</v>
      </c>
      <c r="AI462" s="98">
        <f t="shared" si="265"/>
        <v>1.5707963267948966</v>
      </c>
      <c r="AJ462" s="98" t="str">
        <f t="shared" si="251"/>
        <v>1+12.3935613821111i</v>
      </c>
      <c r="AK462" s="98">
        <f t="shared" si="266"/>
        <v>12.433839460607315</v>
      </c>
      <c r="AL462" s="98">
        <f t="shared" si="267"/>
        <v>1.4902836901662488</v>
      </c>
      <c r="AM462" s="98" t="str">
        <f t="shared" si="252"/>
        <v>1+194.165794986408i</v>
      </c>
      <c r="AN462" s="98">
        <f t="shared" si="268"/>
        <v>194.16837008818871</v>
      </c>
      <c r="AO462" s="98">
        <f t="shared" si="269"/>
        <v>1.5656461346173238</v>
      </c>
      <c r="AP462" s="168" t="str">
        <f t="shared" si="270"/>
        <v>-0.0023601152610123+0.0312575513638501i</v>
      </c>
      <c r="AQ462" s="98">
        <f t="shared" si="271"/>
        <v>-30.076211799773304</v>
      </c>
      <c r="AR462" s="169">
        <f t="shared" si="272"/>
        <v>94.317950000835708</v>
      </c>
      <c r="AS462" s="168" t="str">
        <f t="shared" si="273"/>
        <v>-0.00292239825048174-0.00308661618668137i</v>
      </c>
      <c r="AT462" s="190">
        <f t="shared" si="274"/>
        <v>-47.430992680344545</v>
      </c>
      <c r="AU462" s="169">
        <f t="shared" si="275"/>
        <v>-133.43457634595342</v>
      </c>
      <c r="AV462" s="225"/>
      <c r="AX462">
        <f t="shared" si="276"/>
        <v>0</v>
      </c>
      <c r="AY462">
        <f t="shared" si="277"/>
        <v>0</v>
      </c>
    </row>
    <row r="463" spans="14:51" x14ac:dyDescent="0.25">
      <c r="N463" s="170">
        <v>45</v>
      </c>
      <c r="O463" s="199">
        <f t="shared" si="278"/>
        <v>281838.29312644573</v>
      </c>
      <c r="P463" s="189" t="str">
        <f t="shared" si="244"/>
        <v>18.0065359477124</v>
      </c>
      <c r="Q463" s="160" t="str">
        <f t="shared" si="245"/>
        <v>1+555.558344273776i</v>
      </c>
      <c r="R463" s="160">
        <f t="shared" si="253"/>
        <v>555.55924426852937</v>
      </c>
      <c r="S463" s="160">
        <f t="shared" si="254"/>
        <v>1.5689963377742653</v>
      </c>
      <c r="T463" s="160" t="str">
        <f t="shared" si="246"/>
        <v>1+0.708336888949064i</v>
      </c>
      <c r="U463" s="160">
        <f t="shared" si="255"/>
        <v>1.2254554860320461</v>
      </c>
      <c r="V463" s="160">
        <f t="shared" si="256"/>
        <v>0.61629930506222863</v>
      </c>
      <c r="W463" s="98" t="str">
        <f t="shared" si="247"/>
        <v>1-10.0069754394466i</v>
      </c>
      <c r="X463" s="160">
        <f t="shared" si="257"/>
        <v>10.056816466739734</v>
      </c>
      <c r="Y463" s="160">
        <f t="shared" si="258"/>
        <v>-1.4711966903954161</v>
      </c>
      <c r="Z463" s="98" t="str">
        <f t="shared" si="248"/>
        <v>0.038997976893114+2.99113537229517i</v>
      </c>
      <c r="AA463" s="160">
        <f t="shared" si="259"/>
        <v>2.9913895863957807</v>
      </c>
      <c r="AB463" s="160">
        <f t="shared" si="260"/>
        <v>1.557759214605972</v>
      </c>
      <c r="AC463" s="171" t="str">
        <f t="shared" si="261"/>
        <v>-0.0891215546701346+0.0994389497173842i</v>
      </c>
      <c r="AD463" s="190">
        <f t="shared" si="262"/>
        <v>-17.488302373877129</v>
      </c>
      <c r="AE463" s="169">
        <f t="shared" si="263"/>
        <v>131.86809118315512</v>
      </c>
      <c r="AF463" s="98" t="str">
        <f t="shared" si="249"/>
        <v>-0.0000816326530612245</v>
      </c>
      <c r="AG463" s="98" t="str">
        <f t="shared" si="250"/>
        <v>0.0416147922257574i</v>
      </c>
      <c r="AH463" s="98">
        <f t="shared" si="264"/>
        <v>4.1614792225757397E-2</v>
      </c>
      <c r="AI463" s="98">
        <f t="shared" si="265"/>
        <v>1.5707963267948966</v>
      </c>
      <c r="AJ463" s="98" t="str">
        <f t="shared" si="251"/>
        <v>1+12.6822445117156i</v>
      </c>
      <c r="AK463" s="98">
        <f t="shared" si="266"/>
        <v>12.721608618997067</v>
      </c>
      <c r="AL463" s="98">
        <f t="shared" si="267"/>
        <v>1.4921087384549558</v>
      </c>
      <c r="AM463" s="98" t="str">
        <f t="shared" si="252"/>
        <v>1+198.688497350212i</v>
      </c>
      <c r="AN463" s="98">
        <f t="shared" si="268"/>
        <v>198.69101383627091</v>
      </c>
      <c r="AO463" s="98">
        <f t="shared" si="269"/>
        <v>1.5657633653011267</v>
      </c>
      <c r="AP463" s="168" t="str">
        <f t="shared" si="270"/>
        <v>-0.00225454892298152+0.0305543665762345i</v>
      </c>
      <c r="AQ463" s="98">
        <f t="shared" si="271"/>
        <v>-30.274952477778747</v>
      </c>
      <c r="AR463" s="169">
        <f t="shared" si="272"/>
        <v>94.220099259896557</v>
      </c>
      <c r="AS463" s="168" t="str">
        <f t="shared" si="273"/>
        <v>-0.00283736521652472-0.00294724262822296i</v>
      </c>
      <c r="AT463" s="190">
        <f t="shared" si="274"/>
        <v>-47.763254851655866</v>
      </c>
      <c r="AU463" s="169">
        <f t="shared" si="275"/>
        <v>-133.91180955694838</v>
      </c>
      <c r="AV463" s="225"/>
      <c r="AX463">
        <f t="shared" si="276"/>
        <v>0</v>
      </c>
      <c r="AY463">
        <f t="shared" si="277"/>
        <v>0</v>
      </c>
    </row>
    <row r="464" spans="14:51" x14ac:dyDescent="0.25">
      <c r="N464" s="170">
        <v>46</v>
      </c>
      <c r="O464" s="199">
        <f t="shared" si="278"/>
        <v>288403.1503126609</v>
      </c>
      <c r="P464" s="189" t="str">
        <f t="shared" si="244"/>
        <v>18.0065359477124</v>
      </c>
      <c r="Q464" s="160" t="str">
        <f t="shared" si="245"/>
        <v>1+568.498960498453i</v>
      </c>
      <c r="R464" s="160">
        <f t="shared" si="253"/>
        <v>568.49984000685663</v>
      </c>
      <c r="S464" s="160">
        <f t="shared" si="254"/>
        <v>1.5690373104411226</v>
      </c>
      <c r="T464" s="160" t="str">
        <f t="shared" si="246"/>
        <v>1+0.724836174635528i</v>
      </c>
      <c r="U464" s="160">
        <f t="shared" si="255"/>
        <v>1.2350657796491107</v>
      </c>
      <c r="V464" s="160">
        <f t="shared" si="256"/>
        <v>0.62720080145625323</v>
      </c>
      <c r="W464" s="98" t="str">
        <f t="shared" si="247"/>
        <v>1-10.2400678411113i</v>
      </c>
      <c r="X464" s="160">
        <f t="shared" si="257"/>
        <v>10.288779781420235</v>
      </c>
      <c r="Y464" s="160">
        <f t="shared" si="258"/>
        <v>-1.4734493941748954</v>
      </c>
      <c r="Z464" s="98" t="str">
        <f t="shared" si="248"/>
        <v>-0.00629265312988991+3.06080786543273i</v>
      </c>
      <c r="AA464" s="160">
        <f t="shared" si="259"/>
        <v>3.0608143338951939</v>
      </c>
      <c r="AB464" s="160">
        <f t="shared" si="260"/>
        <v>1.5728522037205217</v>
      </c>
      <c r="AC464" s="171" t="str">
        <f t="shared" si="261"/>
        <v>-0.0871267552854223+0.0984909414594817i</v>
      </c>
      <c r="AD464" s="190">
        <f t="shared" si="262"/>
        <v>-17.621664007893763</v>
      </c>
      <c r="AE464" s="169">
        <f t="shared" si="263"/>
        <v>131.49651836046564</v>
      </c>
      <c r="AF464" s="98" t="str">
        <f t="shared" si="249"/>
        <v>-0.0000816326530612245</v>
      </c>
      <c r="AG464" s="98" t="str">
        <f t="shared" si="250"/>
        <v>0.0425841252598372i</v>
      </c>
      <c r="AH464" s="98">
        <f t="shared" si="264"/>
        <v>4.2584125259837201E-2</v>
      </c>
      <c r="AI464" s="98">
        <f t="shared" si="265"/>
        <v>1.5707963267948966</v>
      </c>
      <c r="AJ464" s="98" t="str">
        <f t="shared" si="251"/>
        <v>1+12.9776519352297i</v>
      </c>
      <c r="AK464" s="98">
        <f t="shared" si="266"/>
        <v>13.016122685038397</v>
      </c>
      <c r="AL464" s="98">
        <f t="shared" si="267"/>
        <v>1.4938927512769626</v>
      </c>
      <c r="AM464" s="98" t="str">
        <f t="shared" si="252"/>
        <v>1+203.316546985266i</v>
      </c>
      <c r="AN464" s="98">
        <f t="shared" si="268"/>
        <v>203.3190061898097</v>
      </c>
      <c r="AO464" s="98">
        <f t="shared" si="269"/>
        <v>1.5658779276224508</v>
      </c>
      <c r="AP464" s="168" t="str">
        <f t="shared" si="270"/>
        <v>-0.00215367644232399+0.0298666370646652i</v>
      </c>
      <c r="AQ464" s="98">
        <f t="shared" si="271"/>
        <v>-30.473749490824439</v>
      </c>
      <c r="AR464" s="169">
        <f t="shared" si="272"/>
        <v>94.124446792101452</v>
      </c>
      <c r="AS464" s="168" t="str">
        <f t="shared" si="273"/>
        <v>-0.00275395036237319-0.00281430079913521i</v>
      </c>
      <c r="AT464" s="190">
        <f t="shared" si="274"/>
        <v>-48.095413498718187</v>
      </c>
      <c r="AU464" s="169">
        <f t="shared" si="275"/>
        <v>-134.37903484743293</v>
      </c>
      <c r="AV464" s="225"/>
      <c r="AX464">
        <f t="shared" si="276"/>
        <v>0</v>
      </c>
      <c r="AY464">
        <f t="shared" si="277"/>
        <v>0</v>
      </c>
    </row>
    <row r="465" spans="14:51" x14ac:dyDescent="0.25">
      <c r="N465" s="170">
        <v>47</v>
      </c>
      <c r="O465" s="199">
        <f t="shared" si="278"/>
        <v>295120.92266663886</v>
      </c>
      <c r="P465" s="189" t="str">
        <f t="shared" si="244"/>
        <v>18.0065359477124</v>
      </c>
      <c r="Q465" s="160" t="str">
        <f t="shared" si="245"/>
        <v>1+581.74100239696i</v>
      </c>
      <c r="R465" s="160">
        <f t="shared" si="253"/>
        <v>581.74186188533815</v>
      </c>
      <c r="S465" s="160">
        <f t="shared" si="254"/>
        <v>1.5690773504619244</v>
      </c>
      <c r="T465" s="160" t="str">
        <f t="shared" si="246"/>
        <v>1+0.741719778056124i</v>
      </c>
      <c r="U465" s="160">
        <f t="shared" si="255"/>
        <v>1.2450494886387551</v>
      </c>
      <c r="V465" s="160">
        <f t="shared" si="256"/>
        <v>0.63818067063601824</v>
      </c>
      <c r="W465" s="98" t="str">
        <f t="shared" si="247"/>
        <v>1-10.4785896622887i</v>
      </c>
      <c r="X465" s="160">
        <f t="shared" si="257"/>
        <v>10.526197856330825</v>
      </c>
      <c r="Y465" s="160">
        <f t="shared" si="258"/>
        <v>-1.4756517782947389</v>
      </c>
      <c r="Z465" s="98" t="str">
        <f t="shared" si="248"/>
        <v>-0.0537177647861899+3.13210323941512i</v>
      </c>
      <c r="AA465" s="160">
        <f t="shared" si="259"/>
        <v>3.1325638541948853</v>
      </c>
      <c r="AB465" s="160">
        <f t="shared" si="260"/>
        <v>1.5879453460465356</v>
      </c>
      <c r="AC465" s="171" t="str">
        <f t="shared" si="261"/>
        <v>-0.0851829075880296+0.0975357296244174i</v>
      </c>
      <c r="AD465" s="190">
        <f t="shared" si="262"/>
        <v>-17.754838667009945</v>
      </c>
      <c r="AE465" s="169">
        <f t="shared" si="263"/>
        <v>131.13236373006384</v>
      </c>
      <c r="AF465" s="98" t="str">
        <f t="shared" si="249"/>
        <v>-0.0000816326530612245</v>
      </c>
      <c r="AG465" s="98" t="str">
        <f t="shared" si="250"/>
        <v>0.0435760369607972i</v>
      </c>
      <c r="AH465" s="98">
        <f t="shared" si="264"/>
        <v>4.3576036960797197E-2</v>
      </c>
      <c r="AI465" s="98">
        <f t="shared" si="265"/>
        <v>1.5707963267948966</v>
      </c>
      <c r="AJ465" s="98" t="str">
        <f t="shared" si="251"/>
        <v>1+13.2799402815793i</v>
      </c>
      <c r="AK465" s="98">
        <f t="shared" si="266"/>
        <v>13.317537831082459</v>
      </c>
      <c r="AL465" s="98">
        <f t="shared" si="267"/>
        <v>1.4956366290902618</v>
      </c>
      <c r="AM465" s="98" t="str">
        <f t="shared" si="252"/>
        <v>1+208.052397744743i</v>
      </c>
      <c r="AN465" s="98">
        <f t="shared" si="268"/>
        <v>208.05480097161114</v>
      </c>
      <c r="AO465" s="98">
        <f t="shared" si="269"/>
        <v>1.5659898823117198</v>
      </c>
      <c r="AP465" s="168" t="str">
        <f t="shared" si="270"/>
        <v>-0.00205729156842224+0.0291940473341384i</v>
      </c>
      <c r="AQ465" s="98">
        <f t="shared" si="271"/>
        <v>-30.672600333490692</v>
      </c>
      <c r="AR465" s="169">
        <f t="shared" si="272"/>
        <v>94.030944484604717</v>
      </c>
      <c r="AS465" s="168" t="str">
        <f t="shared" si="273"/>
        <v>-0.00267221662987042-0.0026874932703607i</v>
      </c>
      <c r="AT465" s="190">
        <f t="shared" si="274"/>
        <v>-48.427439000500634</v>
      </c>
      <c r="AU465" s="169">
        <f t="shared" si="275"/>
        <v>-134.8366917853314</v>
      </c>
      <c r="AV465" s="225"/>
      <c r="AX465">
        <f t="shared" si="276"/>
        <v>0</v>
      </c>
      <c r="AY465">
        <f t="shared" si="277"/>
        <v>0</v>
      </c>
    </row>
    <row r="466" spans="14:51" x14ac:dyDescent="0.25">
      <c r="N466" s="170">
        <v>48</v>
      </c>
      <c r="O466" s="199">
        <f t="shared" si="278"/>
        <v>301995.17204020242</v>
      </c>
      <c r="P466" s="189" t="str">
        <f t="shared" si="244"/>
        <v>18.0065359477124</v>
      </c>
      <c r="Q466" s="160" t="str">
        <f t="shared" si="245"/>
        <v>1+595.291491075191i</v>
      </c>
      <c r="R466" s="160">
        <f t="shared" si="253"/>
        <v>595.29233099925295</v>
      </c>
      <c r="S466" s="160">
        <f t="shared" si="254"/>
        <v>1.5691164790659056</v>
      </c>
      <c r="T466" s="160" t="str">
        <f t="shared" si="246"/>
        <v>1+0.758996651120868i</v>
      </c>
      <c r="U466" s="160">
        <f t="shared" si="255"/>
        <v>1.2554186219794148</v>
      </c>
      <c r="V466" s="160">
        <f t="shared" si="256"/>
        <v>0.64923414492753062</v>
      </c>
      <c r="W466" s="98" t="str">
        <f t="shared" si="247"/>
        <v>1-10.7226673704056i</v>
      </c>
      <c r="X466" s="160">
        <f t="shared" si="257"/>
        <v>10.769196605892242</v>
      </c>
      <c r="Y466" s="160">
        <f t="shared" si="258"/>
        <v>-1.4778049249798961</v>
      </c>
      <c r="Z466" s="98" t="str">
        <f t="shared" si="248"/>
        <v>-0.103377953096+3.20505929599334i</v>
      </c>
      <c r="AA466" s="160">
        <f t="shared" si="259"/>
        <v>3.2067260706240002</v>
      </c>
      <c r="AB466" s="160">
        <f t="shared" si="260"/>
        <v>1.6030397631284761</v>
      </c>
      <c r="AC466" s="171" t="str">
        <f t="shared" si="261"/>
        <v>-0.083288507528647+0.0965750524075132i</v>
      </c>
      <c r="AD466" s="190">
        <f t="shared" si="262"/>
        <v>-17.887802117890036</v>
      </c>
      <c r="AE466" s="169">
        <f t="shared" si="263"/>
        <v>130.7752266413199</v>
      </c>
      <c r="AF466" s="98" t="str">
        <f t="shared" si="249"/>
        <v>-0.0000816326530612245</v>
      </c>
      <c r="AG466" s="98" t="str">
        <f t="shared" si="250"/>
        <v>0.044591053253351i</v>
      </c>
      <c r="AH466" s="98">
        <f t="shared" si="264"/>
        <v>4.4591053253350998E-2</v>
      </c>
      <c r="AI466" s="98">
        <f t="shared" si="265"/>
        <v>1.5707963267948966</v>
      </c>
      <c r="AJ466" s="98" t="str">
        <f t="shared" si="251"/>
        <v>1+13.589269828047i</v>
      </c>
      <c r="AK466" s="98">
        <f t="shared" si="266"/>
        <v>13.626013887394528</v>
      </c>
      <c r="AL466" s="98">
        <f t="shared" si="267"/>
        <v>1.4973412540716335</v>
      </c>
      <c r="AM466" s="98" t="str">
        <f t="shared" si="252"/>
        <v>1+212.898560639404i</v>
      </c>
      <c r="AN466" s="98">
        <f t="shared" si="268"/>
        <v>212.90090916276048</v>
      </c>
      <c r="AO466" s="98">
        <f t="shared" si="269"/>
        <v>1.5660992887175591</v>
      </c>
      <c r="AP466" s="168" t="str">
        <f t="shared" si="270"/>
        <v>-0.0019651968984389+0.0285362866991266i</v>
      </c>
      <c r="AQ466" s="98">
        <f t="shared" si="271"/>
        <v>-30.87150261049657</v>
      </c>
      <c r="AR466" s="169">
        <f t="shared" si="272"/>
        <v>93.939545192825832</v>
      </c>
      <c r="AS466" s="168" t="str">
        <f t="shared" si="273"/>
        <v>-0.00259221506681307-0.00256653372303765i</v>
      </c>
      <c r="AT466" s="190">
        <f t="shared" si="274"/>
        <v>-48.75930472838661</v>
      </c>
      <c r="AU466" s="169">
        <f t="shared" si="275"/>
        <v>-135.28522816585428</v>
      </c>
      <c r="AV466" s="225"/>
      <c r="AX466">
        <f t="shared" si="276"/>
        <v>0</v>
      </c>
      <c r="AY466">
        <f t="shared" si="277"/>
        <v>0</v>
      </c>
    </row>
    <row r="467" spans="14:51" x14ac:dyDescent="0.25">
      <c r="N467" s="170">
        <v>49</v>
      </c>
      <c r="O467" s="199">
        <f t="shared" si="278"/>
        <v>309029.54325135931</v>
      </c>
      <c r="P467" s="189" t="str">
        <f t="shared" ref="P467:P530" si="279">COMPLEX(Adc,0)</f>
        <v>18.0065359477124</v>
      </c>
      <c r="Q467" s="160" t="str">
        <f t="shared" ref="Q467:Q530" si="280">IMSUM(COMPLEX(1,0),IMDIV(COMPLEX(0,2*PI()*O467),COMPLEX(wp_lf,0)))</f>
        <v>1+609.157611181603i</v>
      </c>
      <c r="R467" s="160">
        <f t="shared" si="253"/>
        <v>609.15843198668529</v>
      </c>
      <c r="S467" s="160">
        <f t="shared" si="254"/>
        <v>1.5691547169990905</v>
      </c>
      <c r="T467" s="160" t="str">
        <f t="shared" ref="T467:T530" si="281">IMSUM(COMPLEX(1,0),IMDIV(COMPLEX(0,2*PI()*O467),COMPLEX(wz_esr,0)))</f>
        <v>1+0.776675954256544i</v>
      </c>
      <c r="U467" s="160">
        <f t="shared" si="255"/>
        <v>1.2661854279371223</v>
      </c>
      <c r="V467" s="160">
        <f t="shared" si="256"/>
        <v>0.66035628137840574</v>
      </c>
      <c r="W467" s="98" t="str">
        <f t="shared" ref="W467:W530" si="282">IMSUB(COMPLEX(1,0),IMDIV(COMPLEX(0,2*PI()*O467),COMPLEX(wz_rhp,0)))</f>
        <v>1-10.9724303786935i</v>
      </c>
      <c r="X467" s="160">
        <f t="shared" si="257"/>
        <v>11.017904901353795</v>
      </c>
      <c r="Y467" s="160">
        <f t="shared" si="258"/>
        <v>-1.4799098959566095</v>
      </c>
      <c r="Z467" s="98" t="str">
        <f t="shared" ref="Z467:Z530" si="283">IF(Dc_Mode_Loop="CCM",IMSUM(COMPLEX(1,0),IMDIV(COMPLEX(0,2*PI()*O467),COMPLEX(Q*(wsl/2),0)),IMDIV(IMPOWER(COMPLEX(0,2*PI()*O467),2),IMPOWER(COMPLEX(wsl/2,0),2))),COMPLEX(1,0))</f>
        <v>-0.15537855397679+3.27971471743427i</v>
      </c>
      <c r="AA467" s="160">
        <f t="shared" si="259"/>
        <v>3.2833932330427418</v>
      </c>
      <c r="AB467" s="160">
        <f t="shared" si="260"/>
        <v>1.6181365612855549</v>
      </c>
      <c r="AC467" s="171" t="str">
        <f t="shared" si="261"/>
        <v>-0.0814420276170324+0.0956105243010964i</v>
      </c>
      <c r="AD467" s="190">
        <f t="shared" si="262"/>
        <v>-18.02053311809048</v>
      </c>
      <c r="AE467" s="169">
        <f t="shared" si="263"/>
        <v>130.42469847541022</v>
      </c>
      <c r="AF467" s="98" t="str">
        <f t="shared" ref="AF467:AF530" si="284">COMPLEX(Adc_ea,0)</f>
        <v>-0.0000816326530612245</v>
      </c>
      <c r="AG467" s="98" t="str">
        <f t="shared" ref="AG467:AG530" si="285">COMPLEX(0,2*PI()*O467*wp0_ea)</f>
        <v>0.0456297123125719i</v>
      </c>
      <c r="AH467" s="98">
        <f t="shared" si="264"/>
        <v>4.5629712312571902E-2</v>
      </c>
      <c r="AI467" s="98">
        <f t="shared" si="265"/>
        <v>1.5707963267948966</v>
      </c>
      <c r="AJ467" s="98" t="str">
        <f t="shared" ref="AJ467:AJ530" si="286">IMSUM(COMPLEX(1,0),IMDIV(COMPLEX(0,2*PI()*O467),COMPLEX(wp1_ea,0)))</f>
        <v>1+13.9058045852528i</v>
      </c>
      <c r="AK467" s="98">
        <f t="shared" si="266"/>
        <v>13.941714426971952</v>
      </c>
      <c r="AL467" s="98">
        <f t="shared" si="267"/>
        <v>1.4990074903879551</v>
      </c>
      <c r="AM467" s="98" t="str">
        <f t="shared" ref="AM467:AM530" si="287">IMSUM(COMPLEX(1,0),IMDIV(COMPLEX(0,2*PI()*O467),COMPLEX(wz_ea,0)))</f>
        <v>1+217.857605168961i</v>
      </c>
      <c r="AN467" s="98">
        <f t="shared" si="268"/>
        <v>217.85990023396892</v>
      </c>
      <c r="AO467" s="98">
        <f t="shared" si="269"/>
        <v>1.5662062048382113</v>
      </c>
      <c r="AP467" s="168" t="str">
        <f t="shared" si="270"/>
        <v>-0.00187720351666284+0.027893049326902i</v>
      </c>
      <c r="AQ467" s="98">
        <f t="shared" si="271"/>
        <v>-31.070454031970559</v>
      </c>
      <c r="AR467" s="169">
        <f t="shared" si="272"/>
        <v>93.850202726704453</v>
      </c>
      <c r="AS467" s="168" t="str">
        <f t="shared" si="273"/>
        <v>-0.0025139858098546-0.0024511469060528i</v>
      </c>
      <c r="AT467" s="190">
        <f t="shared" si="274"/>
        <v>-49.090987150061032</v>
      </c>
      <c r="AU467" s="169">
        <f t="shared" si="275"/>
        <v>-135.72509879788527</v>
      </c>
      <c r="AV467" s="225"/>
      <c r="AX467">
        <f t="shared" si="276"/>
        <v>0</v>
      </c>
      <c r="AY467">
        <f t="shared" si="277"/>
        <v>0</v>
      </c>
    </row>
    <row r="468" spans="14:51" x14ac:dyDescent="0.25">
      <c r="N468" s="170">
        <v>50</v>
      </c>
      <c r="O468" s="199">
        <f t="shared" si="278"/>
        <v>316227.7660168382</v>
      </c>
      <c r="P468" s="189" t="str">
        <f t="shared" si="279"/>
        <v>18.0065359477124</v>
      </c>
      <c r="Q468" s="160" t="str">
        <f t="shared" si="280"/>
        <v>1+623.346714716618i</v>
      </c>
      <c r="R468" s="160">
        <f t="shared" ref="R468:R531" si="288">IMABS(Q468)</f>
        <v>623.34751683791967</v>
      </c>
      <c r="S468" s="160">
        <f t="shared" ref="S468:S531" si="289">IMARGUMENT(Q468)</f>
        <v>1.5691920845352898</v>
      </c>
      <c r="T468" s="160" t="str">
        <f t="shared" si="281"/>
        <v>1+0.794767061263688i</v>
      </c>
      <c r="U468" s="160">
        <f t="shared" ref="U468:U531" si="290">IMABS(T468)</f>
        <v>1.2773623924594457</v>
      </c>
      <c r="V468" s="160">
        <f t="shared" ref="V468:V531" si="291">IMARGUMENT(T468)</f>
        <v>0.67154197094147428</v>
      </c>
      <c r="W468" s="98" t="str">
        <f t="shared" si="282"/>
        <v>1-11.2280111148055i</v>
      </c>
      <c r="X468" s="160">
        <f t="shared" ref="X468:X531" si="292">IMABS(W468)</f>
        <v>11.272454639260957</v>
      </c>
      <c r="Y468" s="160">
        <f t="shared" ref="Y468:Y531" si="293">IMARGUMENT(W468)</f>
        <v>-1.4819677326517677</v>
      </c>
      <c r="Z468" s="98" t="str">
        <f t="shared" si="283"/>
        <v>-0.20982986767486+3.35610908703054i</v>
      </c>
      <c r="AA468" s="160">
        <f t="shared" ref="AA468:AA531" si="294">IMABS(Z468)</f>
        <v>3.3626621563007806</v>
      </c>
      <c r="AB468" s="160">
        <f t="shared" ref="AB468:AB531" si="295">IMARGUMENT(Z468)</f>
        <v>1.6332368182662569</v>
      </c>
      <c r="AC468" s="171" t="str">
        <f t="shared" ref="AC468:AC531" si="296">(IMDIV(IMPRODUCT(P468,T468,W468),IMPRODUCT(Q468,Z468)))</f>
        <v>-0.0796419238881327+0.0946436381613456i</v>
      </c>
      <c r="AD468" s="190">
        <f t="shared" ref="AD468:AD531" si="297">20*LOG(IMABS(AC468))</f>
        <v>-18.153013512959429</v>
      </c>
      <c r="AE468" s="169">
        <f t="shared" ref="AE468:AE531" si="298">(180/PI())*IMARGUMENT(AC468)</f>
        <v>130.08036392408567</v>
      </c>
      <c r="AF468" s="98" t="str">
        <f t="shared" si="284"/>
        <v>-0.0000816326530612245</v>
      </c>
      <c r="AG468" s="98" t="str">
        <f t="shared" si="285"/>
        <v>0.0466925648492417i</v>
      </c>
      <c r="AH468" s="98">
        <f t="shared" ref="AH468:AH531" si="299">IMABS(AG468)</f>
        <v>4.6692564849241697E-2</v>
      </c>
      <c r="AI468" s="98">
        <f t="shared" ref="AI468:AI531" si="300">IMARGUMENT(AG468)</f>
        <v>1.5707963267948966</v>
      </c>
      <c r="AJ468" s="98" t="str">
        <f t="shared" si="286"/>
        <v>1+14.2297123841147i</v>
      </c>
      <c r="AK468" s="98">
        <f t="shared" ref="AK468:AK531" si="301">IMABS(AJ468)</f>
        <v>14.264806852342142</v>
      </c>
      <c r="AL468" s="98">
        <f t="shared" ref="AL468:AL531" si="302">IMARGUMENT(AJ468)</f>
        <v>1.5006361844706748</v>
      </c>
      <c r="AM468" s="98" t="str">
        <f t="shared" si="287"/>
        <v>1+222.932160684464i</v>
      </c>
      <c r="AN468" s="98">
        <f t="shared" ref="AN468:AN531" si="303">IMABS(AM468)</f>
        <v>222.93440350794597</v>
      </c>
      <c r="AO468" s="98">
        <f t="shared" ref="AO468:AO531" si="304">IMARGUMENT(AM468)</f>
        <v>1.5663106873522354</v>
      </c>
      <c r="AP468" s="168" t="str">
        <f t="shared" ref="AP468:AP531" si="305">IMPRODUCT(AF468,IMDIV(AM468,IMPRODUCT(AG468,AJ468)))</f>
        <v>-0.00179313064687333+0.0272640342702641i</v>
      </c>
      <c r="AQ468" s="98">
        <f t="shared" ref="AQ468:AQ531" si="306">20*LOG(IMABS(AP468))</f>
        <v>-31.269452408914837</v>
      </c>
      <c r="AR468" s="169">
        <f t="shared" ref="AR468:AR531" si="307">(180/PI())*IMARGUMENT(AP468)</f>
        <v>93.762871836733169</v>
      </c>
      <c r="AS468" s="168" t="str">
        <f t="shared" ref="AS468:AS531" si="308">IMPRODUCT(AC468,AP468)</f>
        <v>-0.00243755901979364-0.00234106855035451i</v>
      </c>
      <c r="AT468" s="190">
        <f t="shared" ref="AT468:AT531" si="309">20*LOG(IMABS(AS468))</f>
        <v>-49.42246592187427</v>
      </c>
      <c r="AU468" s="169">
        <f t="shared" ref="AU468:AU531" si="310">(180/PI())*IMARGUMENT(AS468)</f>
        <v>-136.1567642391812</v>
      </c>
      <c r="AV468" s="225"/>
      <c r="AX468">
        <f t="shared" ref="AX468:AX531" si="311">SUM((AT469&lt;0)*(AT468&gt;0))*O468</f>
        <v>0</v>
      </c>
      <c r="AY468">
        <f t="shared" ref="AY468:AY531" si="312">IF(AX468&gt;0,AU468,0)</f>
        <v>0</v>
      </c>
    </row>
    <row r="469" spans="14:51" x14ac:dyDescent="0.25">
      <c r="N469" s="170">
        <v>51</v>
      </c>
      <c r="O469" s="199">
        <f t="shared" si="278"/>
        <v>323593.65692962846</v>
      </c>
      <c r="P469" s="189" t="str">
        <f t="shared" si="279"/>
        <v>18.0065359477124</v>
      </c>
      <c r="Q469" s="160" t="str">
        <f t="shared" si="280"/>
        <v>1+637.866324930745i</v>
      </c>
      <c r="R469" s="160">
        <f t="shared" si="288"/>
        <v>637.86710879355962</v>
      </c>
      <c r="S469" s="160">
        <f t="shared" si="289"/>
        <v>1.5692286014868484</v>
      </c>
      <c r="T469" s="160" t="str">
        <f t="shared" si="281"/>
        <v>1+0.8132795642867i</v>
      </c>
      <c r="U469" s="160">
        <f t="shared" si="290"/>
        <v>1.2889622374943204</v>
      </c>
      <c r="V469" s="160">
        <f t="shared" si="291"/>
        <v>0.68278594859437514</v>
      </c>
      <c r="W469" s="98" t="str">
        <f t="shared" si="282"/>
        <v>1-11.4895450910309i</v>
      </c>
      <c r="X469" s="160">
        <f t="shared" si="292"/>
        <v>11.532980811517559</v>
      </c>
      <c r="Y469" s="160">
        <f t="shared" si="293"/>
        <v>-1.4839794564046171</v>
      </c>
      <c r="Z469" s="98" t="str">
        <f t="shared" si="283"/>
        <v>-0.26684739272698+3.43428291008811i</v>
      </c>
      <c r="AA469" s="160">
        <f t="shared" si="294"/>
        <v>3.444634470815219</v>
      </c>
      <c r="AB469" s="160">
        <f t="shared" si="295"/>
        <v>1.6483415700030295</v>
      </c>
      <c r="AC469" s="171" t="str">
        <f t="shared" si="296"/>
        <v>-0.0778866425534569+0.0936757676038733i</v>
      </c>
      <c r="AD469" s="190">
        <f t="shared" si="297"/>
        <v>-18.285228320075369</v>
      </c>
      <c r="AE469" s="169">
        <f t="shared" si="298"/>
        <v>129.74180231563687</v>
      </c>
      <c r="AF469" s="98" t="str">
        <f t="shared" si="284"/>
        <v>-0.0000816326530612245</v>
      </c>
      <c r="AG469" s="98" t="str">
        <f t="shared" si="285"/>
        <v>0.0477801744018437i</v>
      </c>
      <c r="AH469" s="98">
        <f t="shared" si="299"/>
        <v>4.7780174401843699E-2</v>
      </c>
      <c r="AI469" s="98">
        <f t="shared" si="300"/>
        <v>1.5707963267948966</v>
      </c>
      <c r="AJ469" s="98" t="str">
        <f t="shared" si="286"/>
        <v>1+14.5611649648352i</v>
      </c>
      <c r="AK469" s="98">
        <f t="shared" si="301"/>
        <v>14.595462484386854</v>
      </c>
      <c r="AL469" s="98">
        <f t="shared" si="302"/>
        <v>1.5022281652927862</v>
      </c>
      <c r="AM469" s="98" t="str">
        <f t="shared" si="287"/>
        <v>1+228.124917782419i</v>
      </c>
      <c r="AN469" s="98">
        <f t="shared" si="303"/>
        <v>228.12710955350184</v>
      </c>
      <c r="AO469" s="98">
        <f t="shared" si="304"/>
        <v>1.5664127916485135</v>
      </c>
      <c r="AP469" s="168" t="str">
        <f t="shared" si="305"/>
        <v>-0.00171280531740798+0.026648945490493i</v>
      </c>
      <c r="AQ469" s="98">
        <f t="shared" si="306"/>
        <v>-31.468495648855477</v>
      </c>
      <c r="AR469" s="169">
        <f t="shared" si="307"/>
        <v>93.677508199807306</v>
      </c>
      <c r="AS469" s="168" t="str">
        <f t="shared" si="308"/>
        <v>-0.00236295576913509-0.00223604524470877i</v>
      </c>
      <c r="AT469" s="190">
        <f t="shared" si="309"/>
        <v>-49.753723968930863</v>
      </c>
      <c r="AU469" s="169">
        <f t="shared" si="310"/>
        <v>-136.58068948455582</v>
      </c>
      <c r="AV469" s="225"/>
      <c r="AX469">
        <f t="shared" si="311"/>
        <v>0</v>
      </c>
      <c r="AY469">
        <f t="shared" si="312"/>
        <v>0</v>
      </c>
    </row>
    <row r="470" spans="14:51" x14ac:dyDescent="0.25">
      <c r="N470" s="170">
        <v>52</v>
      </c>
      <c r="O470" s="199">
        <f t="shared" si="278"/>
        <v>331131.12148259126</v>
      </c>
      <c r="P470" s="189" t="str">
        <f t="shared" si="279"/>
        <v>18.0065359477124</v>
      </c>
      <c r="Q470" s="160" t="str">
        <f t="shared" si="280"/>
        <v>1+652.724140313512i</v>
      </c>
      <c r="R470" s="160">
        <f t="shared" si="288"/>
        <v>652.72490633345171</v>
      </c>
      <c r="S470" s="160">
        <f t="shared" si="289"/>
        <v>1.5692642872151474</v>
      </c>
      <c r="T470" s="160" t="str">
        <f t="shared" si="281"/>
        <v>1+0.832223278899728i</v>
      </c>
      <c r="U470" s="160">
        <f t="shared" si="290"/>
        <v>1.3009979192691334</v>
      </c>
      <c r="V470" s="160">
        <f t="shared" si="291"/>
        <v>0.6940828043578624</v>
      </c>
      <c r="W470" s="98" t="str">
        <f t="shared" si="282"/>
        <v>1-11.7571709761457i</v>
      </c>
      <c r="X470" s="160">
        <f t="shared" si="292"/>
        <v>11.799621577081311</v>
      </c>
      <c r="Y470" s="160">
        <f t="shared" si="293"/>
        <v>-1.4859460686895294</v>
      </c>
      <c r="Z470" s="98" t="str">
        <f t="shared" si="283"/>
        <v>-0.32655207094828+3.51427763540273i</v>
      </c>
      <c r="AA470" s="160">
        <f t="shared" si="294"/>
        <v>3.5294168857946508</v>
      </c>
      <c r="AB470" s="160">
        <f t="shared" si="295"/>
        <v>1.6634517975144822</v>
      </c>
      <c r="AC470" s="171" t="str">
        <f t="shared" si="296"/>
        <v>-0.0761746263338764+0.092708169697104i</v>
      </c>
      <c r="AD470" s="190">
        <f t="shared" si="297"/>
        <v>-18.417165800509618</v>
      </c>
      <c r="AE470" s="169">
        <f t="shared" si="298"/>
        <v>129.40858898327966</v>
      </c>
      <c r="AF470" s="98" t="str">
        <f t="shared" si="284"/>
        <v>-0.0000816326530612245</v>
      </c>
      <c r="AG470" s="98" t="str">
        <f t="shared" si="285"/>
        <v>0.0488931176353589i</v>
      </c>
      <c r="AH470" s="98">
        <f t="shared" si="299"/>
        <v>4.8893117635358897E-2</v>
      </c>
      <c r="AI470" s="98">
        <f t="shared" si="300"/>
        <v>1.5707963267948966</v>
      </c>
      <c r="AJ470" s="98" t="str">
        <f t="shared" si="286"/>
        <v>1+14.90033806796i</v>
      </c>
      <c r="AK470" s="98">
        <f t="shared" si="301"/>
        <v>14.933856653239241</v>
      </c>
      <c r="AL470" s="98">
        <f t="shared" si="302"/>
        <v>1.503784244647693</v>
      </c>
      <c r="AM470" s="98" t="str">
        <f t="shared" si="287"/>
        <v>1+233.438629731374i</v>
      </c>
      <c r="AN470" s="98">
        <f t="shared" si="303"/>
        <v>233.44077161211902</v>
      </c>
      <c r="AO470" s="98">
        <f t="shared" si="304"/>
        <v>1.5665125718555744</v>
      </c>
      <c r="AP470" s="168" t="str">
        <f t="shared" si="305"/>
        <v>-0.0016360620386112+0.0260474918712972i</v>
      </c>
      <c r="AQ470" s="98">
        <f t="shared" si="306"/>
        <v>-31.667581751671989</v>
      </c>
      <c r="AR470" s="169">
        <f t="shared" si="307"/>
        <v>93.594068404927242</v>
      </c>
      <c r="AS470" s="168" t="str">
        <f t="shared" si="308"/>
        <v>-0.00229018888213791-0.0021358342773413i</v>
      </c>
      <c r="AT470" s="190">
        <f t="shared" si="309"/>
        <v>-50.084747552181611</v>
      </c>
      <c r="AU470" s="169">
        <f t="shared" si="310"/>
        <v>-136.99734261179313</v>
      </c>
      <c r="AV470" s="225"/>
      <c r="AX470">
        <f t="shared" si="311"/>
        <v>0</v>
      </c>
      <c r="AY470">
        <f t="shared" si="312"/>
        <v>0</v>
      </c>
    </row>
    <row r="471" spans="14:51" x14ac:dyDescent="0.25">
      <c r="N471" s="170">
        <v>53</v>
      </c>
      <c r="O471" s="199">
        <f t="shared" si="278"/>
        <v>338844.15613920329</v>
      </c>
      <c r="P471" s="189" t="str">
        <f t="shared" si="279"/>
        <v>18.0065359477124</v>
      </c>
      <c r="Q471" s="160" t="str">
        <f t="shared" si="280"/>
        <v>1+667.928038675297i</v>
      </c>
      <c r="R471" s="160">
        <f t="shared" si="288"/>
        <v>667.92878725851381</v>
      </c>
      <c r="S471" s="160">
        <f t="shared" si="289"/>
        <v>1.5692991606408684</v>
      </c>
      <c r="T471" s="160" t="str">
        <f t="shared" si="281"/>
        <v>1+0.851608249311004i</v>
      </c>
      <c r="U471" s="160">
        <f t="shared" si="290"/>
        <v>1.3134826265674597</v>
      </c>
      <c r="V471" s="160">
        <f t="shared" si="291"/>
        <v>0.70542699516629903</v>
      </c>
      <c r="W471" s="98" t="str">
        <f t="shared" si="282"/>
        <v>1-12.0310306689366i</v>
      </c>
      <c r="X471" s="160">
        <f t="shared" si="292"/>
        <v>12.072518335330582</v>
      </c>
      <c r="Y471" s="160">
        <f t="shared" si="293"/>
        <v>-1.4878685513486005</v>
      </c>
      <c r="Z471" s="98" t="str">
        <f t="shared" si="283"/>
        <v>-0.38907054396599+3.59613567723659i</v>
      </c>
      <c r="AA471" s="160">
        <f t="shared" si="294"/>
        <v>3.6171214656513615</v>
      </c>
      <c r="AB471" s="160">
        <f t="shared" si="295"/>
        <v>1.6785684140029691</v>
      </c>
      <c r="AC471" s="171" t="str">
        <f t="shared" si="296"/>
        <v>-0.0745043204721997+0.0917419879245918i</v>
      </c>
      <c r="AD471" s="190">
        <f t="shared" si="297"/>
        <v>-18.548817516232965</v>
      </c>
      <c r="AE471" s="169">
        <f t="shared" si="298"/>
        <v>129.08029667062303</v>
      </c>
      <c r="AF471" s="98" t="str">
        <f t="shared" si="284"/>
        <v>-0.0000816326530612245</v>
      </c>
      <c r="AG471" s="98" t="str">
        <f t="shared" si="285"/>
        <v>0.0500319846470214i</v>
      </c>
      <c r="AH471" s="98">
        <f t="shared" si="299"/>
        <v>5.0031984647021403E-2</v>
      </c>
      <c r="AI471" s="98">
        <f t="shared" si="300"/>
        <v>1.5707963267948966</v>
      </c>
      <c r="AJ471" s="98" t="str">
        <f t="shared" si="286"/>
        <v>1+15.2474115275576i</v>
      </c>
      <c r="AK471" s="98">
        <f t="shared" si="301"/>
        <v>15.280168791302549</v>
      </c>
      <c r="AL471" s="98">
        <f t="shared" si="302"/>
        <v>1.505305217429401</v>
      </c>
      <c r="AM471" s="98" t="str">
        <f t="shared" si="287"/>
        <v>1+238.876113931737i</v>
      </c>
      <c r="AN471" s="98">
        <f t="shared" si="303"/>
        <v>238.8782070577561</v>
      </c>
      <c r="AO471" s="98">
        <f t="shared" si="304"/>
        <v>1.5666100808702526</v>
      </c>
      <c r="AP471" s="168" t="str">
        <f t="shared" si="305"/>
        <v>-0.00156274249233442+0.0254593872244771i</v>
      </c>
      <c r="AQ471" s="98">
        <f t="shared" si="306"/>
        <v>-31.866708805599391</v>
      </c>
      <c r="AR471" s="169">
        <f t="shared" si="307"/>
        <v>93.51250993878665</v>
      </c>
      <c r="AS471" s="168" t="str">
        <f t="shared" si="308"/>
        <v>-0.00221926372785108-0.00204020344765926i</v>
      </c>
      <c r="AT471" s="190">
        <f t="shared" si="309"/>
        <v>-50.415526321832346</v>
      </c>
      <c r="AU471" s="169">
        <f t="shared" si="310"/>
        <v>-137.40719339059035</v>
      </c>
      <c r="AV471" s="225"/>
      <c r="AX471">
        <f t="shared" si="311"/>
        <v>0</v>
      </c>
      <c r="AY471">
        <f t="shared" si="312"/>
        <v>0</v>
      </c>
    </row>
    <row r="472" spans="14:51" x14ac:dyDescent="0.25">
      <c r="N472" s="170">
        <v>54</v>
      </c>
      <c r="O472" s="199">
        <f t="shared" si="278"/>
        <v>346736.85045253241</v>
      </c>
      <c r="P472" s="189" t="str">
        <f t="shared" si="279"/>
        <v>18.0065359477124</v>
      </c>
      <c r="Q472" s="160" t="str">
        <f t="shared" si="280"/>
        <v>1+683.48608132426i</v>
      </c>
      <c r="R472" s="160">
        <f t="shared" si="288"/>
        <v>683.48681286766089</v>
      </c>
      <c r="S472" s="160">
        <f t="shared" si="289"/>
        <v>1.5693332402540241</v>
      </c>
      <c r="T472" s="160" t="str">
        <f t="shared" si="281"/>
        <v>1+0.871444753688432i</v>
      </c>
      <c r="U472" s="160">
        <f t="shared" si="290"/>
        <v>1.3264297790426345</v>
      </c>
      <c r="V472" s="160">
        <f t="shared" si="291"/>
        <v>0.71681285753484258</v>
      </c>
      <c r="W472" s="98" t="str">
        <f t="shared" si="282"/>
        <v>1-12.3112693734376i</v>
      </c>
      <c r="X472" s="160">
        <f t="shared" si="292"/>
        <v>12.35181580114206</v>
      </c>
      <c r="Y472" s="160">
        <f t="shared" si="293"/>
        <v>-1.4897478668329398</v>
      </c>
      <c r="Z472" s="98" t="str">
        <f t="shared" si="283"/>
        <v>-0.45453542184338+3.67990043780701i</v>
      </c>
      <c r="AA472" s="160">
        <f t="shared" si="294"/>
        <v>3.7078659201598114</v>
      </c>
      <c r="AB472" s="160">
        <f t="shared" si="295"/>
        <v>1.6936922521961573</v>
      </c>
      <c r="AC472" s="171" t="str">
        <f t="shared" si="296"/>
        <v>-0.0728741784255764+0.0907782553894771i</v>
      </c>
      <c r="AD472" s="190">
        <f t="shared" si="297"/>
        <v>-18.68017837304032</v>
      </c>
      <c r="AE472" s="169">
        <f t="shared" si="298"/>
        <v>128.75649696832141</v>
      </c>
      <c r="AF472" s="98" t="str">
        <f t="shared" si="284"/>
        <v>-0.0000816326530612245</v>
      </c>
      <c r="AG472" s="98" t="str">
        <f t="shared" si="285"/>
        <v>0.0511973792791953i</v>
      </c>
      <c r="AH472" s="98">
        <f t="shared" si="299"/>
        <v>5.11973792791953E-2</v>
      </c>
      <c r="AI472" s="98">
        <f t="shared" si="300"/>
        <v>1.5707963267948966</v>
      </c>
      <c r="AJ472" s="98" t="str">
        <f t="shared" si="286"/>
        <v>1+15.6025693665705i</v>
      </c>
      <c r="AK472" s="98">
        <f t="shared" si="301"/>
        <v>15.634582528441369</v>
      </c>
      <c r="AL472" s="98">
        <f t="shared" si="302"/>
        <v>1.5067918619135277</v>
      </c>
      <c r="AM472" s="98" t="str">
        <f t="shared" si="287"/>
        <v>1+244.440253409605i</v>
      </c>
      <c r="AN472" s="98">
        <f t="shared" si="303"/>
        <v>244.44229889066233</v>
      </c>
      <c r="AO472" s="98">
        <f t="shared" si="304"/>
        <v>1.5667053703856972</v>
      </c>
      <c r="AP472" s="168" t="str">
        <f t="shared" si="305"/>
        <v>-0.00149269523315448+0.0248843502879785i</v>
      </c>
      <c r="AQ472" s="98">
        <f t="shared" si="306"/>
        <v>-32.065874983396839</v>
      </c>
      <c r="AR472" s="169">
        <f t="shared" si="307"/>
        <v>93.432791171276619</v>
      </c>
      <c r="AS472" s="168" t="str">
        <f t="shared" si="308"/>
        <v>-0.00215017896688741-0.00194893085198464i</v>
      </c>
      <c r="AT472" s="190">
        <f t="shared" si="309"/>
        <v>-50.746053356437173</v>
      </c>
      <c r="AU472" s="169">
        <f t="shared" si="310"/>
        <v>-137.81071186040191</v>
      </c>
      <c r="AV472" s="225"/>
      <c r="AX472">
        <f t="shared" si="311"/>
        <v>0</v>
      </c>
      <c r="AY472">
        <f t="shared" si="312"/>
        <v>0</v>
      </c>
    </row>
    <row r="473" spans="14:51" x14ac:dyDescent="0.25">
      <c r="N473" s="170">
        <v>55</v>
      </c>
      <c r="O473" s="199">
        <f t="shared" si="278"/>
        <v>354813.38923357555</v>
      </c>
      <c r="P473" s="189" t="str">
        <f t="shared" si="279"/>
        <v>18.0065359477124</v>
      </c>
      <c r="Q473" s="160" t="str">
        <f t="shared" si="280"/>
        <v>1+699.406517340546i</v>
      </c>
      <c r="R473" s="160">
        <f t="shared" si="288"/>
        <v>699.40723223200325</v>
      </c>
      <c r="S473" s="160">
        <f t="shared" si="289"/>
        <v>1.5693665441237596</v>
      </c>
      <c r="T473" s="160" t="str">
        <f t="shared" si="281"/>
        <v>1+0.891743309609196i</v>
      </c>
      <c r="U473" s="160">
        <f t="shared" si="290"/>
        <v>1.3398530256086905</v>
      </c>
      <c r="V473" s="160">
        <f t="shared" si="291"/>
        <v>0.72823462095913094</v>
      </c>
      <c r="W473" s="98" t="str">
        <f t="shared" si="282"/>
        <v>1-12.5980356759194i</v>
      </c>
      <c r="X473" s="160">
        <f t="shared" si="292"/>
        <v>12.637662081719784</v>
      </c>
      <c r="Y473" s="160">
        <f t="shared" si="293"/>
        <v>-1.4915849584515941</v>
      </c>
      <c r="Z473" s="98" t="str">
        <f t="shared" si="283"/>
        <v>-0.52308556436345+3.76561633029877i</v>
      </c>
      <c r="AA473" s="160">
        <f t="shared" si="294"/>
        <v>3.8017739089349072</v>
      </c>
      <c r="AB473" s="160">
        <f t="shared" si="295"/>
        <v>1.7088240519818165</v>
      </c>
      <c r="AC473" s="171" t="str">
        <f t="shared" si="296"/>
        <v>-0.0712826672392052+0.0898178982364351i</v>
      </c>
      <c r="AD473" s="190">
        <f t="shared" si="297"/>
        <v>-18.811246648421317</v>
      </c>
      <c r="AE473" s="169">
        <f t="shared" si="298"/>
        <v>128.43676177546982</v>
      </c>
      <c r="AF473" s="98" t="str">
        <f t="shared" si="284"/>
        <v>-0.0000816326530612245</v>
      </c>
      <c r="AG473" s="98" t="str">
        <f t="shared" si="285"/>
        <v>0.0523899194395404i</v>
      </c>
      <c r="AH473" s="98">
        <f t="shared" si="299"/>
        <v>5.2389919439540397E-2</v>
      </c>
      <c r="AI473" s="98">
        <f t="shared" si="300"/>
        <v>1.5707963267948966</v>
      </c>
      <c r="AJ473" s="98" t="str">
        <f t="shared" si="286"/>
        <v>1+15.9659998943859i</v>
      </c>
      <c r="AK473" s="98">
        <f t="shared" si="301"/>
        <v>15.997285789393482</v>
      </c>
      <c r="AL473" s="98">
        <f t="shared" si="302"/>
        <v>1.5082449400386415</v>
      </c>
      <c r="AM473" s="98" t="str">
        <f t="shared" si="287"/>
        <v>1+250.133998345379i</v>
      </c>
      <c r="AN473" s="98">
        <f t="shared" si="303"/>
        <v>250.13599726597946</v>
      </c>
      <c r="AO473" s="98">
        <f t="shared" si="304"/>
        <v>1.5667984909187449</v>
      </c>
      <c r="AP473" s="168" t="str">
        <f t="shared" si="305"/>
        <v>-0.00142577540097506+0.0243221047169709i</v>
      </c>
      <c r="AQ473" s="98">
        <f t="shared" si="306"/>
        <v>-32.265078538675539</v>
      </c>
      <c r="AR473" s="169">
        <f t="shared" si="307"/>
        <v>93.354871340934451</v>
      </c>
      <c r="AS473" s="168" t="str">
        <f t="shared" si="308"/>
        <v>-0.00208292725289926-0.00186180464696973i</v>
      </c>
      <c r="AT473" s="190">
        <f t="shared" si="309"/>
        <v>-51.076325187096856</v>
      </c>
      <c r="AU473" s="169">
        <f t="shared" si="310"/>
        <v>-138.20836688359572</v>
      </c>
      <c r="AV473" s="225"/>
      <c r="AX473">
        <f t="shared" si="311"/>
        <v>0</v>
      </c>
      <c r="AY473">
        <f t="shared" si="312"/>
        <v>0</v>
      </c>
    </row>
    <row r="474" spans="14:51" x14ac:dyDescent="0.25">
      <c r="N474" s="170">
        <v>56</v>
      </c>
      <c r="O474" s="199">
        <f t="shared" si="278"/>
        <v>363078.05477010203</v>
      </c>
      <c r="P474" s="189" t="str">
        <f t="shared" si="279"/>
        <v>18.0065359477124</v>
      </c>
      <c r="Q474" s="160" t="str">
        <f t="shared" si="280"/>
        <v>1+715.697787950071i</v>
      </c>
      <c r="R474" s="160">
        <f t="shared" si="288"/>
        <v>715.69848656862814</v>
      </c>
      <c r="S474" s="160">
        <f t="shared" si="289"/>
        <v>1.5693990899079318</v>
      </c>
      <c r="T474" s="160" t="str">
        <f t="shared" si="281"/>
        <v>1+0.91251467963634i</v>
      </c>
      <c r="U474" s="160">
        <f t="shared" si="290"/>
        <v>1.3537662429503154</v>
      </c>
      <c r="V474" s="160">
        <f t="shared" si="291"/>
        <v>0.7396864219752316</v>
      </c>
      <c r="W474" s="98" t="str">
        <f t="shared" si="282"/>
        <v>1-12.8914816236712i</v>
      </c>
      <c r="X474" s="160">
        <f t="shared" si="292"/>
        <v>12.930208755215524</v>
      </c>
      <c r="Y474" s="160">
        <f t="shared" si="293"/>
        <v>-1.4933807506271108</v>
      </c>
      <c r="Z474" s="98" t="str">
        <f t="shared" si="283"/>
        <v>-0.59486637556919+3.85332880241272i</v>
      </c>
      <c r="AA474" s="160">
        <f t="shared" si="294"/>
        <v>3.8989753608206184</v>
      </c>
      <c r="AB474" s="160">
        <f t="shared" si="295"/>
        <v>1.7239644483859748</v>
      </c>
      <c r="AC474" s="171" t="str">
        <f t="shared" si="296"/>
        <v>-0.0697282726037866+0.0888617392684159i</v>
      </c>
      <c r="AD474" s="190">
        <f t="shared" si="297"/>
        <v>-18.942024003883638</v>
      </c>
      <c r="AE474" s="169">
        <f t="shared" si="298"/>
        <v>128.12066477878898</v>
      </c>
      <c r="AF474" s="98" t="str">
        <f t="shared" si="284"/>
        <v>-0.0000816326530612245</v>
      </c>
      <c r="AG474" s="98" t="str">
        <f t="shared" si="285"/>
        <v>0.053610237428635i</v>
      </c>
      <c r="AH474" s="98">
        <f t="shared" si="299"/>
        <v>5.3610237428635001E-2</v>
      </c>
      <c r="AI474" s="98">
        <f t="shared" si="300"/>
        <v>1.5707963267948966</v>
      </c>
      <c r="AJ474" s="98" t="str">
        <f t="shared" si="286"/>
        <v>1+16.3378958066804i</v>
      </c>
      <c r="AK474" s="98">
        <f t="shared" si="301"/>
        <v>16.368470893456877</v>
      </c>
      <c r="AL474" s="98">
        <f t="shared" si="302"/>
        <v>1.5096651976875053</v>
      </c>
      <c r="AM474" s="98" t="str">
        <f t="shared" si="287"/>
        <v>1+255.960367637993i</v>
      </c>
      <c r="AN474" s="98">
        <f t="shared" si="303"/>
        <v>255.96232105795676</v>
      </c>
      <c r="AO474" s="98">
        <f t="shared" si="304"/>
        <v>1.5668894918366711</v>
      </c>
      <c r="AP474" s="168" t="str">
        <f t="shared" si="305"/>
        <v>-0.0013618444446742+0.0237723790685392i</v>
      </c>
      <c r="AQ474" s="98">
        <f t="shared" si="306"/>
        <v>-32.464317802380982</v>
      </c>
      <c r="AR474" s="169">
        <f t="shared" si="307"/>
        <v>93.278710540362383</v>
      </c>
      <c r="AS474" s="168" t="str">
        <f t="shared" si="308"/>
        <v>-0.00201749588989628-0.00177862279409843i</v>
      </c>
      <c r="AT474" s="190">
        <f t="shared" si="309"/>
        <v>-51.406341806264628</v>
      </c>
      <c r="AU474" s="169">
        <f t="shared" si="310"/>
        <v>-138.60062468084863</v>
      </c>
      <c r="AV474" s="225"/>
      <c r="AX474">
        <f t="shared" si="311"/>
        <v>0</v>
      </c>
      <c r="AY474">
        <f t="shared" si="312"/>
        <v>0</v>
      </c>
    </row>
    <row r="475" spans="14:51" x14ac:dyDescent="0.25">
      <c r="N475" s="170">
        <v>57</v>
      </c>
      <c r="O475" s="199">
        <f t="shared" si="278"/>
        <v>371535.2290971732</v>
      </c>
      <c r="P475" s="189" t="str">
        <f t="shared" si="279"/>
        <v>18.0065359477124</v>
      </c>
      <c r="Q475" s="160" t="str">
        <f t="shared" si="280"/>
        <v>1+732.368531000144i</v>
      </c>
      <c r="R475" s="160">
        <f t="shared" si="288"/>
        <v>732.36921371621634</v>
      </c>
      <c r="S475" s="160">
        <f t="shared" si="289"/>
        <v>1.5694308948624702</v>
      </c>
      <c r="T475" s="160" t="str">
        <f t="shared" si="281"/>
        <v>1+0.933769877025184i</v>
      </c>
      <c r="U475" s="160">
        <f t="shared" si="290"/>
        <v>1.3681835341940156</v>
      </c>
      <c r="V475" s="160">
        <f t="shared" si="291"/>
        <v>0.75116231880007023</v>
      </c>
      <c r="W475" s="98" t="str">
        <f t="shared" si="282"/>
        <v>1-13.1917628056189i</v>
      </c>
      <c r="X475" s="160">
        <f t="shared" si="292"/>
        <v>13.229610951184856</v>
      </c>
      <c r="Y475" s="160">
        <f t="shared" si="293"/>
        <v>-1.4951361491568405</v>
      </c>
      <c r="Z475" s="98" t="str">
        <f t="shared" si="283"/>
        <v>-0.67003011218497+3.94308436046252i</v>
      </c>
      <c r="AA475" s="160">
        <f t="shared" si="294"/>
        <v>3.9996068087949248</v>
      </c>
      <c r="AB475" s="160">
        <f t="shared" si="295"/>
        <v>1.7391139599453525</v>
      </c>
      <c r="AC475" s="171" t="str">
        <f t="shared" si="296"/>
        <v>-0.0682095035999204+0.0879105017375061i</v>
      </c>
      <c r="AD475" s="190">
        <f t="shared" si="297"/>
        <v>-19.072515481309448</v>
      </c>
      <c r="AE475" s="169">
        <f t="shared" si="298"/>
        <v>127.80778294216321</v>
      </c>
      <c r="AF475" s="98" t="str">
        <f t="shared" si="284"/>
        <v>-0.0000816326530612245</v>
      </c>
      <c r="AG475" s="98" t="str">
        <f t="shared" si="285"/>
        <v>0.0548589802752296i</v>
      </c>
      <c r="AH475" s="98">
        <f t="shared" si="299"/>
        <v>5.4858980275229598E-2</v>
      </c>
      <c r="AI475" s="98">
        <f t="shared" si="300"/>
        <v>1.5707963267948966</v>
      </c>
      <c r="AJ475" s="98" t="str">
        <f t="shared" si="286"/>
        <v>1+16.7184542875891i</v>
      </c>
      <c r="AK475" s="98">
        <f t="shared" si="301"/>
        <v>16.74833465650261</v>
      </c>
      <c r="AL475" s="98">
        <f t="shared" si="302"/>
        <v>1.5110533649678124</v>
      </c>
      <c r="AM475" s="98" t="str">
        <f t="shared" si="287"/>
        <v>1+261.922450505564i</v>
      </c>
      <c r="AN475" s="98">
        <f t="shared" si="303"/>
        <v>261.92435946058856</v>
      </c>
      <c r="AO475" s="98">
        <f t="shared" si="304"/>
        <v>1.5669784213833349</v>
      </c>
      <c r="AP475" s="168" t="str">
        <f t="shared" si="305"/>
        <v>-0.00130076985646206+0.0232349067805438i</v>
      </c>
      <c r="AQ475" s="98">
        <f t="shared" si="306"/>
        <v>-32.663591179422774</v>
      </c>
      <c r="AR475" s="169">
        <f t="shared" si="307"/>
        <v>93.20426970164047</v>
      </c>
      <c r="AS475" s="168" t="str">
        <f t="shared" si="308"/>
        <v>-0.00195386744669477-0.00169919278841792i</v>
      </c>
      <c r="AT475" s="190">
        <f t="shared" si="309"/>
        <v>-51.736106660732233</v>
      </c>
      <c r="AU475" s="169">
        <f t="shared" si="310"/>
        <v>-138.98794735619632</v>
      </c>
      <c r="AV475" s="225"/>
      <c r="AX475">
        <f t="shared" si="311"/>
        <v>0</v>
      </c>
      <c r="AY475">
        <f t="shared" si="312"/>
        <v>0</v>
      </c>
    </row>
    <row r="476" spans="14:51" x14ac:dyDescent="0.25">
      <c r="N476" s="170">
        <v>58</v>
      </c>
      <c r="O476" s="199">
        <f t="shared" si="278"/>
        <v>380189.39632056188</v>
      </c>
      <c r="P476" s="189" t="str">
        <f t="shared" si="279"/>
        <v>18.0065359477124</v>
      </c>
      <c r="Q476" s="160" t="str">
        <f t="shared" si="280"/>
        <v>1+749.427585539398i</v>
      </c>
      <c r="R476" s="160">
        <f t="shared" si="288"/>
        <v>749.42825271496918</v>
      </c>
      <c r="S476" s="160">
        <f t="shared" si="289"/>
        <v>1.5694619758505253</v>
      </c>
      <c r="T476" s="160" t="str">
        <f t="shared" si="281"/>
        <v>1+0.955520171562732i</v>
      </c>
      <c r="U476" s="160">
        <f t="shared" si="290"/>
        <v>1.3831192277830833</v>
      </c>
      <c r="V476" s="160">
        <f t="shared" si="291"/>
        <v>0.76265630646601623</v>
      </c>
      <c r="W476" s="98" t="str">
        <f t="shared" si="282"/>
        <v>1-13.4990384348197i</v>
      </c>
      <c r="X476" s="160">
        <f t="shared" si="292"/>
        <v>13.536027432919139</v>
      </c>
      <c r="Y476" s="160">
        <f t="shared" si="293"/>
        <v>-1.4968520414791073</v>
      </c>
      <c r="Z476" s="98" t="str">
        <f t="shared" si="283"/>
        <v>-0.74873620657353+4.03493059403314i</v>
      </c>
      <c r="AA476" s="160">
        <f t="shared" si="294"/>
        <v>4.1038117410157531</v>
      </c>
      <c r="AB476" s="160">
        <f t="shared" si="295"/>
        <v>1.7542729775258386</v>
      </c>
      <c r="AC476" s="171" t="str">
        <f t="shared" si="296"/>
        <v>-0.0667248971329793+0.0869648132909191i</v>
      </c>
      <c r="AD476" s="190">
        <f t="shared" si="297"/>
        <v>-19.202729483028925</v>
      </c>
      <c r="AE476" s="169">
        <f t="shared" si="298"/>
        <v>127.49769799866739</v>
      </c>
      <c r="AF476" s="98" t="str">
        <f t="shared" si="284"/>
        <v>-0.0000816326530612245</v>
      </c>
      <c r="AG476" s="98" t="str">
        <f t="shared" si="285"/>
        <v>0.0561368100793105i</v>
      </c>
      <c r="AH476" s="98">
        <f t="shared" si="299"/>
        <v>5.6136810079310498E-2</v>
      </c>
      <c r="AI476" s="98">
        <f t="shared" si="300"/>
        <v>1.5707963267948966</v>
      </c>
      <c r="AJ476" s="98" t="str">
        <f t="shared" si="286"/>
        <v>1+17.1078771142561i</v>
      </c>
      <c r="AK476" s="98">
        <f t="shared" si="301"/>
        <v>17.137078495370432</v>
      </c>
      <c r="AL476" s="98">
        <f t="shared" si="302"/>
        <v>1.5124101564920625</v>
      </c>
      <c r="AM476" s="98" t="str">
        <f t="shared" si="287"/>
        <v>1+268.023408123346i</v>
      </c>
      <c r="AN476" s="98">
        <f t="shared" si="303"/>
        <v>268.02527362555509</v>
      </c>
      <c r="AO476" s="98">
        <f t="shared" si="304"/>
        <v>1.5670653267047294</v>
      </c>
      <c r="AP476" s="168" t="str">
        <f t="shared" si="305"/>
        <v>-0.00124242491661428+0.0227094261451654i</v>
      </c>
      <c r="AQ476" s="98">
        <f t="shared" si="306"/>
        <v>-32.862897145446539</v>
      </c>
      <c r="AR476" s="169">
        <f t="shared" si="307"/>
        <v>93.131510581754938</v>
      </c>
      <c r="AS476" s="168" t="str">
        <f t="shared" si="308"/>
        <v>-0.00189202032990169-0.0016233313743865i</v>
      </c>
      <c r="AT476" s="190">
        <f t="shared" si="309"/>
        <v>-52.065626628475457</v>
      </c>
      <c r="AU476" s="169">
        <f t="shared" si="310"/>
        <v>-139.37079141957767</v>
      </c>
      <c r="AV476" s="225"/>
      <c r="AX476">
        <f t="shared" si="311"/>
        <v>0</v>
      </c>
      <c r="AY476">
        <f t="shared" si="312"/>
        <v>0</v>
      </c>
    </row>
    <row r="477" spans="14:51" x14ac:dyDescent="0.25">
      <c r="N477" s="170">
        <v>59</v>
      </c>
      <c r="O477" s="199">
        <f t="shared" si="278"/>
        <v>389045.14499428123</v>
      </c>
      <c r="P477" s="189" t="str">
        <f t="shared" si="279"/>
        <v>18.0065359477124</v>
      </c>
      <c r="Q477" s="160" t="str">
        <f t="shared" si="280"/>
        <v>1+766.883996504351i</v>
      </c>
      <c r="R477" s="160">
        <f t="shared" si="288"/>
        <v>766.88464849316506</v>
      </c>
      <c r="S477" s="160">
        <f t="shared" si="289"/>
        <v>1.5694923493514079</v>
      </c>
      <c r="T477" s="160" t="str">
        <f t="shared" si="281"/>
        <v>1+0.977777095543048i</v>
      </c>
      <c r="U477" s="160">
        <f t="shared" si="290"/>
        <v>1.3985878765986064</v>
      </c>
      <c r="V477" s="160">
        <f t="shared" si="291"/>
        <v>0.77416233235741061</v>
      </c>
      <c r="W477" s="98" t="str">
        <f t="shared" si="282"/>
        <v>1-13.8134714328796i</v>
      </c>
      <c r="X477" s="160">
        <f t="shared" si="292"/>
        <v>13.849620681700303</v>
      </c>
      <c r="Y477" s="160">
        <f t="shared" si="293"/>
        <v>-1.4985292969434818</v>
      </c>
      <c r="Z477" s="98" t="str">
        <f t="shared" si="283"/>
        <v>-0.83115160491338+4.12891620121333i</v>
      </c>
      <c r="AA477" s="160">
        <f t="shared" si="294"/>
        <v>4.211740968648475</v>
      </c>
      <c r="AB477" s="160">
        <f t="shared" si="295"/>
        <v>1.7694417536394289</v>
      </c>
      <c r="AC477" s="171" t="str">
        <f t="shared" si="296"/>
        <v>-0.0652730220622322+0.0860252100548783i</v>
      </c>
      <c r="AD477" s="190">
        <f t="shared" si="297"/>
        <v>-19.332677735385985</v>
      </c>
      <c r="AE477" s="169">
        <f t="shared" si="298"/>
        <v>127.18999793684148</v>
      </c>
      <c r="AF477" s="98" t="str">
        <f t="shared" si="284"/>
        <v>-0.0000816326530612245</v>
      </c>
      <c r="AG477" s="98" t="str">
        <f t="shared" si="285"/>
        <v>0.0574444043631541i</v>
      </c>
      <c r="AH477" s="98">
        <f t="shared" si="299"/>
        <v>5.7444404363154102E-2</v>
      </c>
      <c r="AI477" s="98">
        <f t="shared" si="300"/>
        <v>1.5707963267948966</v>
      </c>
      <c r="AJ477" s="98" t="str">
        <f t="shared" si="286"/>
        <v>1+17.5063707638186i</v>
      </c>
      <c r="AK477" s="98">
        <f t="shared" si="301"/>
        <v>17.534908534699653</v>
      </c>
      <c r="AL477" s="98">
        <f t="shared" si="302"/>
        <v>1.5137362716562268</v>
      </c>
      <c r="AM477" s="98" t="str">
        <f t="shared" si="287"/>
        <v>1+274.266475299825i</v>
      </c>
      <c r="AN477" s="98">
        <f t="shared" si="303"/>
        <v>274.26829833830504</v>
      </c>
      <c r="AO477" s="98">
        <f t="shared" si="304"/>
        <v>1.5671502538739526</v>
      </c>
      <c r="AP477" s="168" t="str">
        <f t="shared" si="305"/>
        <v>-0.00118668844824923+0.0221956802776165i</v>
      </c>
      <c r="AQ477" s="98">
        <f t="shared" si="306"/>
        <v>-33.062234243742246</v>
      </c>
      <c r="AR477" s="169">
        <f t="shared" si="307"/>
        <v>93.060395748062533</v>
      </c>
      <c r="AS477" s="168" t="str">
        <f t="shared" si="308"/>
        <v>-0.00183192931692931-0.00155086425147745i</v>
      </c>
      <c r="AT477" s="190">
        <f t="shared" si="309"/>
        <v>-52.394911979128238</v>
      </c>
      <c r="AU477" s="169">
        <f t="shared" si="310"/>
        <v>-139.749606315096</v>
      </c>
      <c r="AV477" s="225"/>
      <c r="AX477">
        <f t="shared" si="311"/>
        <v>0</v>
      </c>
      <c r="AY477">
        <f t="shared" si="312"/>
        <v>0</v>
      </c>
    </row>
    <row r="478" spans="14:51" x14ac:dyDescent="0.25">
      <c r="N478" s="170">
        <v>60</v>
      </c>
      <c r="O478" s="199">
        <f t="shared" si="278"/>
        <v>398107.17055349716</v>
      </c>
      <c r="P478" s="189" t="str">
        <f t="shared" si="279"/>
        <v>18.0065359477124</v>
      </c>
      <c r="Q478" s="160" t="str">
        <f t="shared" si="280"/>
        <v>1+784.747019515159i</v>
      </c>
      <c r="R478" s="160">
        <f t="shared" si="288"/>
        <v>784.74765666290807</v>
      </c>
      <c r="S478" s="160">
        <f t="shared" si="289"/>
        <v>1.5695220314693259</v>
      </c>
      <c r="T478" s="160" t="str">
        <f t="shared" si="281"/>
        <v>1+1.00055244988183i</v>
      </c>
      <c r="U478" s="160">
        <f t="shared" si="290"/>
        <v>1.4146042573683042</v>
      </c>
      <c r="V478" s="160">
        <f t="shared" si="291"/>
        <v>0.78567431205219596</v>
      </c>
      <c r="W478" s="98" t="str">
        <f t="shared" si="282"/>
        <v>1-14.135228516336i</v>
      </c>
      <c r="X478" s="160">
        <f t="shared" si="292"/>
        <v>14.170556983020758</v>
      </c>
      <c r="Y478" s="160">
        <f t="shared" si="293"/>
        <v>-1.5001687670844053</v>
      </c>
      <c r="Z478" s="98" t="str">
        <f t="shared" si="283"/>
        <v>-0.91745112131401+4.22509101441607i</v>
      </c>
      <c r="AA478" s="160">
        <f t="shared" si="294"/>
        <v>4.323553011135604</v>
      </c>
      <c r="AB478" s="160">
        <f t="shared" si="295"/>
        <v>1.7846203923126145</v>
      </c>
      <c r="AC478" s="171" t="str">
        <f t="shared" si="296"/>
        <v>-0.0638524830278588+0.0850921408404914i</v>
      </c>
      <c r="AD478" s="190">
        <f t="shared" si="297"/>
        <v>-19.462375235692704</v>
      </c>
      <c r="AE478" s="169">
        <f t="shared" si="298"/>
        <v>126.88427847266897</v>
      </c>
      <c r="AF478" s="98" t="str">
        <f t="shared" si="284"/>
        <v>-0.0000816326530612245</v>
      </c>
      <c r="AG478" s="98" t="str">
        <f t="shared" si="285"/>
        <v>0.0587824564305574i</v>
      </c>
      <c r="AH478" s="98">
        <f t="shared" si="299"/>
        <v>5.8782456430557399E-2</v>
      </c>
      <c r="AI478" s="98">
        <f t="shared" si="300"/>
        <v>1.5707963267948966</v>
      </c>
      <c r="AJ478" s="98" t="str">
        <f t="shared" si="286"/>
        <v>1+17.9141465228842i</v>
      </c>
      <c r="AK478" s="98">
        <f t="shared" si="301"/>
        <v>17.942035716254832</v>
      </c>
      <c r="AL478" s="98">
        <f t="shared" si="302"/>
        <v>1.515032394916912</v>
      </c>
      <c r="AM478" s="98" t="str">
        <f t="shared" si="287"/>
        <v>1+280.654962191853i</v>
      </c>
      <c r="AN478" s="98">
        <f t="shared" si="303"/>
        <v>280.65674373317739</v>
      </c>
      <c r="AO478" s="98">
        <f t="shared" si="304"/>
        <v>1.5672332479156101</v>
      </c>
      <c r="AP478" s="168" t="str">
        <f t="shared" si="305"/>
        <v>-0.00113344458182054+0.0216934170804689i</v>
      </c>
      <c r="AQ478" s="98">
        <f t="shared" si="306"/>
        <v>-33.261601082283917</v>
      </c>
      <c r="AR478" s="169">
        <f t="shared" si="307"/>
        <v>92.990888563808241</v>
      </c>
      <c r="AS478" s="168" t="str">
        <f t="shared" si="308"/>
        <v>-0.00177356605059907-0.00148162577193807i</v>
      </c>
      <c r="AT478" s="190">
        <f t="shared" si="309"/>
        <v>-52.723976317976607</v>
      </c>
      <c r="AU478" s="169">
        <f t="shared" si="310"/>
        <v>-140.12483296352281</v>
      </c>
      <c r="AV478" s="225"/>
      <c r="AX478">
        <f t="shared" si="311"/>
        <v>0</v>
      </c>
      <c r="AY478">
        <f t="shared" si="312"/>
        <v>0</v>
      </c>
    </row>
    <row r="479" spans="14:51" x14ac:dyDescent="0.25">
      <c r="N479" s="170">
        <v>61</v>
      </c>
      <c r="O479" s="199">
        <f t="shared" si="278"/>
        <v>407380.27780411334</v>
      </c>
      <c r="P479" s="189" t="str">
        <f t="shared" si="279"/>
        <v>18.0065359477124</v>
      </c>
      <c r="Q479" s="160" t="str">
        <f t="shared" si="280"/>
        <v>1+803.026125783071i</v>
      </c>
      <c r="R479" s="160">
        <f t="shared" si="288"/>
        <v>803.02674842757801</v>
      </c>
      <c r="S479" s="160">
        <f t="shared" si="289"/>
        <v>1.5695510379419217</v>
      </c>
      <c r="T479" s="160" t="str">
        <f t="shared" si="281"/>
        <v>1+1.02385831037342i</v>
      </c>
      <c r="U479" s="160">
        <f t="shared" si="290"/>
        <v>1.4311833704039165</v>
      </c>
      <c r="V479" s="160">
        <f t="shared" si="291"/>
        <v>0.7971861453681468</v>
      </c>
      <c r="W479" s="98" t="str">
        <f t="shared" si="282"/>
        <v>1-14.4644802850538i</v>
      </c>
      <c r="X479" s="160">
        <f t="shared" si="292"/>
        <v>14.499006514817145</v>
      </c>
      <c r="Y479" s="160">
        <f t="shared" si="293"/>
        <v>-1.5017712858975096</v>
      </c>
      <c r="Z479" s="98" t="str">
        <f t="shared" si="283"/>
        <v>-1.00781780862011+4.32350602680035i</v>
      </c>
      <c r="AA479" s="160">
        <f t="shared" si="294"/>
        <v>4.4394144995878442</v>
      </c>
      <c r="AB479" s="160">
        <f t="shared" si="295"/>
        <v>1.799808839559603</v>
      </c>
      <c r="AC479" s="171" t="str">
        <f t="shared" si="296"/>
        <v>-0.0624619239793213+0.084165971457027i</v>
      </c>
      <c r="AD479" s="190">
        <f t="shared" si="297"/>
        <v>-19.59184018258043</v>
      </c>
      <c r="AE479" s="169">
        <f t="shared" si="298"/>
        <v>126.5801444984821</v>
      </c>
      <c r="AF479" s="98" t="str">
        <f t="shared" si="284"/>
        <v>-0.0000816326530612245</v>
      </c>
      <c r="AG479" s="98" t="str">
        <f t="shared" si="285"/>
        <v>0.0601516757344383i</v>
      </c>
      <c r="AH479" s="98">
        <f t="shared" si="299"/>
        <v>6.0151675734438297E-2</v>
      </c>
      <c r="AI479" s="98">
        <f t="shared" si="300"/>
        <v>1.5707963267948966</v>
      </c>
      <c r="AJ479" s="98" t="str">
        <f t="shared" si="286"/>
        <v>1+18.331420599558i</v>
      </c>
      <c r="AK479" s="98">
        <f t="shared" si="301"/>
        <v>18.358675910803026</v>
      </c>
      <c r="AL479" s="98">
        <f t="shared" si="302"/>
        <v>1.5162991960667389</v>
      </c>
      <c r="AM479" s="98" t="str">
        <f t="shared" si="287"/>
        <v>1+287.192256059743i</v>
      </c>
      <c r="AN479" s="98">
        <f t="shared" si="303"/>
        <v>287.19399704848456</v>
      </c>
      <c r="AO479" s="98">
        <f t="shared" si="304"/>
        <v>1.567314352829666</v>
      </c>
      <c r="AP479" s="168" t="str">
        <f t="shared" si="305"/>
        <v>-0.00108258252900131+0.0212023892040176i</v>
      </c>
      <c r="AQ479" s="98">
        <f t="shared" si="306"/>
        <v>-33.460996330895185</v>
      </c>
      <c r="AR479" s="169">
        <f t="shared" si="307"/>
        <v>92.922953173713978</v>
      </c>
      <c r="AS479" s="168" t="str">
        <f t="shared" si="308"/>
        <v>-0.0017168994969383-0.00141545863287713i</v>
      </c>
      <c r="AT479" s="190">
        <f t="shared" si="309"/>
        <v>-53.052836513475619</v>
      </c>
      <c r="AU479" s="169">
        <f t="shared" si="310"/>
        <v>-140.49690232780392</v>
      </c>
      <c r="AV479" s="225"/>
      <c r="AX479">
        <f t="shared" si="311"/>
        <v>0</v>
      </c>
      <c r="AY479">
        <f t="shared" si="312"/>
        <v>0</v>
      </c>
    </row>
    <row r="480" spans="14:51" x14ac:dyDescent="0.25">
      <c r="N480" s="170">
        <v>62</v>
      </c>
      <c r="O480" s="199">
        <f t="shared" si="278"/>
        <v>416869.38347033598</v>
      </c>
      <c r="P480" s="189" t="str">
        <f t="shared" si="279"/>
        <v>18.0065359477124</v>
      </c>
      <c r="Q480" s="160" t="str">
        <f t="shared" si="280"/>
        <v>1+821.731007132182i</v>
      </c>
      <c r="R480" s="160">
        <f t="shared" si="288"/>
        <v>821.73161560358005</v>
      </c>
      <c r="S480" s="160">
        <f t="shared" si="289"/>
        <v>1.5695793841486161</v>
      </c>
      <c r="T480" s="160" t="str">
        <f t="shared" si="281"/>
        <v>1+1.04770703409353i</v>
      </c>
      <c r="U480" s="160">
        <f t="shared" si="290"/>
        <v>1.4483404397064459</v>
      </c>
      <c r="V480" s="160">
        <f t="shared" si="291"/>
        <v>0.80869173251074056</v>
      </c>
      <c r="W480" s="98" t="str">
        <f t="shared" si="282"/>
        <v>1-14.8014013126787i</v>
      </c>
      <c r="X480" s="160">
        <f t="shared" si="292"/>
        <v>14.835143437761792</v>
      </c>
      <c r="Y480" s="160">
        <f t="shared" si="293"/>
        <v>-1.5033376701179892</v>
      </c>
      <c r="Z480" s="98" t="str">
        <f t="shared" si="283"/>
        <v>-1.10244334669113+4.42421341930841i</v>
      </c>
      <c r="AA480" s="160">
        <f t="shared" si="294"/>
        <v>4.5595005989967969</v>
      </c>
      <c r="AB480" s="160">
        <f t="shared" si="295"/>
        <v>1.8150068745137413</v>
      </c>
      <c r="AC480" s="171" t="str">
        <f t="shared" si="296"/>
        <v>-0.0611000314081515+0.0832469891189671i</v>
      </c>
      <c r="AD480" s="190">
        <f t="shared" si="297"/>
        <v>-19.721093889886049</v>
      </c>
      <c r="AE480" s="169">
        <f t="shared" si="298"/>
        <v>126.27721149987015</v>
      </c>
      <c r="AF480" s="98" t="str">
        <f t="shared" si="284"/>
        <v>-0.0000816326530612245</v>
      </c>
      <c r="AG480" s="98" t="str">
        <f t="shared" si="285"/>
        <v>0.061552788252995i</v>
      </c>
      <c r="AH480" s="98">
        <f t="shared" si="299"/>
        <v>6.1552788252994997E-2</v>
      </c>
      <c r="AI480" s="98">
        <f t="shared" si="300"/>
        <v>1.5707963267948966</v>
      </c>
      <c r="AJ480" s="98" t="str">
        <f t="shared" si="286"/>
        <v>1+18.7584142380788i</v>
      </c>
      <c r="AK480" s="98">
        <f t="shared" si="301"/>
        <v>18.785050032601919</v>
      </c>
      <c r="AL480" s="98">
        <f t="shared" si="302"/>
        <v>1.5175373305076829</v>
      </c>
      <c r="AM480" s="98" t="str">
        <f t="shared" si="287"/>
        <v>1+293.881823063236i</v>
      </c>
      <c r="AN480" s="98">
        <f t="shared" si="303"/>
        <v>293.8835244224677</v>
      </c>
      <c r="AO480" s="98">
        <f t="shared" si="304"/>
        <v>1.5673936116147487</v>
      </c>
      <c r="AP480" s="168" t="str">
        <f t="shared" si="305"/>
        <v>-0.00103399636564083+0.0207223540030722i</v>
      </c>
      <c r="AQ480" s="98">
        <f t="shared" si="306"/>
        <v>-33.660418718535311</v>
      </c>
      <c r="AR480" s="169">
        <f t="shared" si="307"/>
        <v>92.85655448965268</v>
      </c>
      <c r="AS480" s="168" t="str">
        <f t="shared" si="308"/>
        <v>-0.00166189636779657-0.0013522135646381i</v>
      </c>
      <c r="AT480" s="190">
        <f t="shared" si="309"/>
        <v>-53.381512608421353</v>
      </c>
      <c r="AU480" s="169">
        <f t="shared" si="310"/>
        <v>-140.86623401047723</v>
      </c>
      <c r="AV480" s="225"/>
      <c r="AX480">
        <f t="shared" si="311"/>
        <v>0</v>
      </c>
      <c r="AY480">
        <f t="shared" si="312"/>
        <v>0</v>
      </c>
    </row>
    <row r="481" spans="14:51" x14ac:dyDescent="0.25">
      <c r="N481" s="170">
        <v>63</v>
      </c>
      <c r="O481" s="199">
        <f t="shared" si="278"/>
        <v>426579.51880159322</v>
      </c>
      <c r="P481" s="189" t="str">
        <f t="shared" si="279"/>
        <v>18.0065359477124</v>
      </c>
      <c r="Q481" s="160" t="str">
        <f t="shared" si="280"/>
        <v>1+840.871581138168i</v>
      </c>
      <c r="R481" s="160">
        <f t="shared" si="288"/>
        <v>840.87217575907619</v>
      </c>
      <c r="S481" s="160">
        <f t="shared" si="289"/>
        <v>1.5696070851187605</v>
      </c>
      <c r="T481" s="160" t="str">
        <f t="shared" si="281"/>
        <v>1+1.07211126595116i</v>
      </c>
      <c r="U481" s="160">
        <f t="shared" si="290"/>
        <v>1.4660909134768549</v>
      </c>
      <c r="V481" s="160">
        <f t="shared" si="291"/>
        <v>0.82018499021855329</v>
      </c>
      <c r="W481" s="98" t="str">
        <f t="shared" si="282"/>
        <v>1-15.1461702391992i</v>
      </c>
      <c r="X481" s="160">
        <f t="shared" si="292"/>
        <v>15.179145987663587</v>
      </c>
      <c r="Y481" s="160">
        <f t="shared" si="293"/>
        <v>-1.50486871950047</v>
      </c>
      <c r="Z481" s="98" t="str">
        <f t="shared" si="283"/>
        <v>-1.20152844897995+4.52726658833277i</v>
      </c>
      <c r="AA481" s="160">
        <f t="shared" si="294"/>
        <v>4.6839954499916416</v>
      </c>
      <c r="AB481" s="160">
        <f t="shared" si="295"/>
        <v>1.8302141012703488</v>
      </c>
      <c r="AC481" s="171" t="str">
        <f t="shared" si="296"/>
        <v>-0.0597655372877931+0.0823354069340318i</v>
      </c>
      <c r="AD481" s="190">
        <f t="shared" si="297"/>
        <v>-19.850160684337215</v>
      </c>
      <c r="AE481" s="169">
        <f t="shared" si="298"/>
        <v>125.97510693161193</v>
      </c>
      <c r="AF481" s="98" t="str">
        <f t="shared" si="284"/>
        <v>-0.0000816326530612245</v>
      </c>
      <c r="AG481" s="98" t="str">
        <f t="shared" si="285"/>
        <v>0.0629865368746309i</v>
      </c>
      <c r="AH481" s="98">
        <f t="shared" si="299"/>
        <v>6.2986536874630905E-2</v>
      </c>
      <c r="AI481" s="98">
        <f t="shared" si="300"/>
        <v>1.5707963267948966</v>
      </c>
      <c r="AJ481" s="98" t="str">
        <f t="shared" si="286"/>
        <v>1+19.1953538361256i</v>
      </c>
      <c r="AK481" s="98">
        <f t="shared" si="301"/>
        <v>19.221384156560156</v>
      </c>
      <c r="AL481" s="98">
        <f t="shared" si="302"/>
        <v>1.5187474395221545</v>
      </c>
      <c r="AM481" s="98" t="str">
        <f t="shared" si="287"/>
        <v>1+300.727210099302i</v>
      </c>
      <c r="AN481" s="98">
        <f t="shared" si="303"/>
        <v>300.72887273108597</v>
      </c>
      <c r="AO481" s="98">
        <f t="shared" si="304"/>
        <v>1.5674710662909292</v>
      </c>
      <c r="AP481" s="168" t="str">
        <f t="shared" si="305"/>
        <v>-0.000987584823480098+0.0202530734905363i</v>
      </c>
      <c r="AQ481" s="98">
        <f t="shared" si="306"/>
        <v>-33.859867030702333</v>
      </c>
      <c r="AR481" s="169">
        <f t="shared" si="307"/>
        <v>92.79165817642145</v>
      </c>
      <c r="AS481" s="168" t="str">
        <f t="shared" si="308"/>
        <v>-0.0016085215099156-0.00129174901721417i</v>
      </c>
      <c r="AT481" s="190">
        <f t="shared" si="309"/>
        <v>-53.710027715039537</v>
      </c>
      <c r="AU481" s="169">
        <f t="shared" si="310"/>
        <v>-141.23323489196659</v>
      </c>
      <c r="AV481" s="225"/>
      <c r="AX481">
        <f t="shared" si="311"/>
        <v>0</v>
      </c>
      <c r="AY481">
        <f t="shared" si="312"/>
        <v>0</v>
      </c>
    </row>
    <row r="482" spans="14:51" x14ac:dyDescent="0.25">
      <c r="N482" s="170">
        <v>64</v>
      </c>
      <c r="O482" s="199">
        <f t="shared" si="278"/>
        <v>436515.83224016649</v>
      </c>
      <c r="P482" s="189" t="str">
        <f t="shared" si="279"/>
        <v>18.0065359477124</v>
      </c>
      <c r="Q482" s="160" t="str">
        <f t="shared" si="280"/>
        <v>1+860.457996386723i</v>
      </c>
      <c r="R482" s="160">
        <f t="shared" si="288"/>
        <v>860.45857747241621</v>
      </c>
      <c r="S482" s="160">
        <f t="shared" si="289"/>
        <v>1.5696341555396056</v>
      </c>
      <c r="T482" s="160" t="str">
        <f t="shared" si="281"/>
        <v>1+1.09708394539307i</v>
      </c>
      <c r="U482" s="160">
        <f t="shared" si="290"/>
        <v>1.4844504650675361</v>
      </c>
      <c r="V482" s="160">
        <f t="shared" si="291"/>
        <v>0.83165986780199275</v>
      </c>
      <c r="W482" s="98" t="str">
        <f t="shared" si="282"/>
        <v>1-15.4989698656639i</v>
      </c>
      <c r="X482" s="160">
        <f t="shared" si="292"/>
        <v>15.531196570025042</v>
      </c>
      <c r="Y482" s="160">
        <f t="shared" si="293"/>
        <v>-1.5063652170998307</v>
      </c>
      <c r="Z482" s="98" t="str">
        <f t="shared" si="283"/>
        <v>-1.30528328827311+4.63272017402771i</v>
      </c>
      <c r="AA482" s="160">
        <f t="shared" si="294"/>
        <v>4.8130926308859259</v>
      </c>
      <c r="AB482" s="160">
        <f t="shared" si="295"/>
        <v>1.8454299414934652</v>
      </c>
      <c r="AC482" s="171" t="str">
        <f t="shared" si="296"/>
        <v>-0.0584572217225882+0.0814313684599i</v>
      </c>
      <c r="AD482" s="190">
        <f t="shared" si="297"/>
        <v>-19.979067787437003</v>
      </c>
      <c r="AE482" s="169">
        <f t="shared" si="298"/>
        <v>125.67347154368339</v>
      </c>
      <c r="AF482" s="98" t="str">
        <f t="shared" si="284"/>
        <v>-0.0000816326530612245</v>
      </c>
      <c r="AG482" s="98" t="str">
        <f t="shared" si="285"/>
        <v>0.0644536817918431i</v>
      </c>
      <c r="AH482" s="98">
        <f t="shared" si="299"/>
        <v>6.4453681791843104E-2</v>
      </c>
      <c r="AI482" s="98">
        <f t="shared" si="300"/>
        <v>1.5707963267948966</v>
      </c>
      <c r="AJ482" s="98" t="str">
        <f t="shared" si="286"/>
        <v>1+19.6424710648567i</v>
      </c>
      <c r="AK482" s="98">
        <f t="shared" si="301"/>
        <v>19.667909638132183</v>
      </c>
      <c r="AL482" s="98">
        <f t="shared" si="302"/>
        <v>1.519930150541611</v>
      </c>
      <c r="AM482" s="98" t="str">
        <f t="shared" si="287"/>
        <v>1+307.732046682757i</v>
      </c>
      <c r="AN482" s="98">
        <f t="shared" si="303"/>
        <v>307.73367146862324</v>
      </c>
      <c r="AO482" s="98">
        <f t="shared" si="304"/>
        <v>1.5675467579219833</v>
      </c>
      <c r="AP482" s="168" t="str">
        <f t="shared" si="305"/>
        <v>-0.000943251090319388+0.0197943142881191i</v>
      </c>
      <c r="AQ482" s="98">
        <f t="shared" si="306"/>
        <v>-34.059340106946017</v>
      </c>
      <c r="AR482" s="169">
        <f t="shared" si="307"/>
        <v>92.728230637626808</v>
      </c>
      <c r="AS482" s="168" t="str">
        <f t="shared" si="308"/>
        <v>-0.00155673826208002-0.00123393084627317i</v>
      </c>
      <c r="AT482" s="190">
        <f t="shared" si="309"/>
        <v>-54.03840789438302</v>
      </c>
      <c r="AU482" s="169">
        <f t="shared" si="310"/>
        <v>-141.59829781868996</v>
      </c>
      <c r="AV482" s="225"/>
      <c r="AX482">
        <f t="shared" si="311"/>
        <v>0</v>
      </c>
      <c r="AY482">
        <f t="shared" si="312"/>
        <v>0</v>
      </c>
    </row>
    <row r="483" spans="14:51" x14ac:dyDescent="0.25">
      <c r="N483" s="170">
        <v>65</v>
      </c>
      <c r="O483" s="199">
        <f t="shared" si="278"/>
        <v>446683.59215096442</v>
      </c>
      <c r="P483" s="189" t="str">
        <f t="shared" si="279"/>
        <v>18.0065359477124</v>
      </c>
      <c r="Q483" s="160" t="str">
        <f t="shared" si="280"/>
        <v>1+880.500637854475i</v>
      </c>
      <c r="R483" s="160">
        <f t="shared" si="288"/>
        <v>880.50120571305149</v>
      </c>
      <c r="S483" s="160">
        <f t="shared" si="289"/>
        <v>1.5696606097640884</v>
      </c>
      <c r="T483" s="160" t="str">
        <f t="shared" si="281"/>
        <v>1+1.12263831326446i</v>
      </c>
      <c r="U483" s="160">
        <f t="shared" si="290"/>
        <v>1.503434994407564</v>
      </c>
      <c r="V483" s="160">
        <f t="shared" si="291"/>
        <v>0.84311036297256992</v>
      </c>
      <c r="W483" s="98" t="str">
        <f t="shared" si="282"/>
        <v>1-15.8599872511045i</v>
      </c>
      <c r="X483" s="160">
        <f t="shared" si="292"/>
        <v>15.891481856806095</v>
      </c>
      <c r="Y483" s="160">
        <f t="shared" si="293"/>
        <v>-1.5078279295524923</v>
      </c>
      <c r="Z483" s="98" t="str">
        <f t="shared" si="283"/>
        <v>-1.41392794249545+4.74063008928025i</v>
      </c>
      <c r="AA483" s="160">
        <f t="shared" si="294"/>
        <v>4.9469956407863034</v>
      </c>
      <c r="AB483" s="160">
        <f t="shared" si="295"/>
        <v>1.8606536278378438</v>
      </c>
      <c r="AC483" s="171" t="str">
        <f t="shared" si="296"/>
        <v>-0.0571739153075091+0.0805349523176839i</v>
      </c>
      <c r="AD483" s="190">
        <f t="shared" si="297"/>
        <v>-20.107845182080354</v>
      </c>
      <c r="AE483" s="169">
        <f t="shared" si="298"/>
        <v>125.37196064853669</v>
      </c>
      <c r="AF483" s="98" t="str">
        <f t="shared" si="284"/>
        <v>-0.0000816326530612245</v>
      </c>
      <c r="AG483" s="98" t="str">
        <f t="shared" si="285"/>
        <v>0.0659550009042868i</v>
      </c>
      <c r="AH483" s="98">
        <f t="shared" si="299"/>
        <v>6.5955000904286798E-2</v>
      </c>
      <c r="AI483" s="98">
        <f t="shared" si="300"/>
        <v>1.5707963267948966</v>
      </c>
      <c r="AJ483" s="98" t="str">
        <f t="shared" si="286"/>
        <v>1+20.1000029917455i</v>
      </c>
      <c r="AK483" s="98">
        <f t="shared" si="301"/>
        <v>20.12486323601177</v>
      </c>
      <c r="AL483" s="98">
        <f t="shared" si="302"/>
        <v>1.5210860774125199</v>
      </c>
      <c r="AM483" s="98" t="str">
        <f t="shared" si="287"/>
        <v>1+314.90004687068i</v>
      </c>
      <c r="AN483" s="98">
        <f t="shared" si="303"/>
        <v>314.90163467209317</v>
      </c>
      <c r="AO483" s="98">
        <f t="shared" si="304"/>
        <v>1.5676207266371436</v>
      </c>
      <c r="AP483" s="168" t="str">
        <f t="shared" si="305"/>
        <v>-0.000900902618336327+0.0193458475744871i</v>
      </c>
      <c r="AQ483" s="98">
        <f t="shared" si="306"/>
        <v>-34.258836838489046</v>
      </c>
      <c r="AR483" s="169">
        <f t="shared" si="307"/>
        <v>92.666239001692659</v>
      </c>
      <c r="AS483" s="168" t="str">
        <f t="shared" si="308"/>
        <v>-0.00150650878195542-0.0011786320001863i</v>
      </c>
      <c r="AT483" s="190">
        <f t="shared" si="309"/>
        <v>-54.366682020569421</v>
      </c>
      <c r="AU483" s="169">
        <f t="shared" si="310"/>
        <v>-141.9618003497705</v>
      </c>
      <c r="AV483" s="225"/>
      <c r="AX483">
        <f t="shared" si="311"/>
        <v>0</v>
      </c>
      <c r="AY483">
        <f t="shared" si="312"/>
        <v>0</v>
      </c>
    </row>
    <row r="484" spans="14:51" x14ac:dyDescent="0.25">
      <c r="N484" s="170">
        <v>66</v>
      </c>
      <c r="O484" s="199">
        <f t="shared" ref="O484:O518" si="313">10^(5+(N484/100))</f>
        <v>457088.18961487547</v>
      </c>
      <c r="P484" s="189" t="str">
        <f t="shared" si="279"/>
        <v>18.0065359477124</v>
      </c>
      <c r="Q484" s="160" t="str">
        <f t="shared" si="280"/>
        <v>1+901.010132415216i</v>
      </c>
      <c r="R484" s="160">
        <f t="shared" si="288"/>
        <v>901.01068734776129</v>
      </c>
      <c r="S484" s="160">
        <f t="shared" si="289"/>
        <v>1.5696864618184403</v>
      </c>
      <c r="T484" s="160" t="str">
        <f t="shared" si="281"/>
        <v>1+1.1487879188294i</v>
      </c>
      <c r="U484" s="160">
        <f t="shared" si="290"/>
        <v>1.5230606299318434</v>
      </c>
      <c r="V484" s="160">
        <f t="shared" si="291"/>
        <v>0.85453053736231321</v>
      </c>
      <c r="W484" s="98" t="str">
        <f t="shared" si="282"/>
        <v>1-16.2294138117172i</v>
      </c>
      <c r="X484" s="160">
        <f t="shared" si="292"/>
        <v>16.260192885447488</v>
      </c>
      <c r="Y484" s="160">
        <f t="shared" si="293"/>
        <v>-1.5092576073577317</v>
      </c>
      <c r="Z484" s="98" t="str">
        <f t="shared" si="283"/>
        <v>-1.52769286152474+4.85105354935575i</v>
      </c>
      <c r="AA484" s="160">
        <f t="shared" si="294"/>
        <v>5.085918404562805</v>
      </c>
      <c r="AB484" s="160">
        <f t="shared" si="295"/>
        <v>1.8758841982359369</v>
      </c>
      <c r="AC484" s="171" t="str">
        <f t="shared" si="296"/>
        <v>-0.055914501199737+0.0796461768503366i</v>
      </c>
      <c r="AD484" s="190">
        <f t="shared" si="297"/>
        <v>-20.236525464567272</v>
      </c>
      <c r="AE484" s="169">
        <f t="shared" si="298"/>
        <v>125.07024532107489</v>
      </c>
      <c r="AF484" s="98" t="str">
        <f t="shared" si="284"/>
        <v>-0.0000816326530612245</v>
      </c>
      <c r="AG484" s="98" t="str">
        <f t="shared" si="285"/>
        <v>0.0674912902312273i</v>
      </c>
      <c r="AH484" s="98">
        <f t="shared" si="299"/>
        <v>6.7491290231227297E-2</v>
      </c>
      <c r="AI484" s="98">
        <f t="shared" si="300"/>
        <v>1.5707963267948966</v>
      </c>
      <c r="AJ484" s="98" t="str">
        <f t="shared" si="286"/>
        <v>1+20.5681922062752i</v>
      </c>
      <c r="AK484" s="98">
        <f t="shared" si="301"/>
        <v>20.592487237686463</v>
      </c>
      <c r="AL484" s="98">
        <f t="shared" si="302"/>
        <v>1.5222158206595011</v>
      </c>
      <c r="AM484" s="98" t="str">
        <f t="shared" si="287"/>
        <v>1+322.235011231647i</v>
      </c>
      <c r="AN484" s="98">
        <f t="shared" si="303"/>
        <v>322.23656289046357</v>
      </c>
      <c r="AO484" s="98">
        <f t="shared" si="304"/>
        <v>1.5676930116523631</v>
      </c>
      <c r="AP484" s="168" t="str">
        <f t="shared" si="305"/>
        <v>-0.000860450940260686+0.0189074490311535i</v>
      </c>
      <c r="AQ484" s="98">
        <f t="shared" si="306"/>
        <v>-34.458356165949517</v>
      </c>
      <c r="AR484" s="169">
        <f t="shared" si="307"/>
        <v>92.605651108001339</v>
      </c>
      <c r="AS484" s="168" t="str">
        <f t="shared" si="308"/>
        <v>-0.00145779434419246-0.00112573220929544i</v>
      </c>
      <c r="AT484" s="190">
        <f t="shared" si="309"/>
        <v>-54.694881630516775</v>
      </c>
      <c r="AU484" s="169">
        <f t="shared" si="310"/>
        <v>-142.3241035709238</v>
      </c>
      <c r="AV484" s="225"/>
      <c r="AX484">
        <f t="shared" si="311"/>
        <v>0</v>
      </c>
      <c r="AY484">
        <f t="shared" si="312"/>
        <v>0</v>
      </c>
    </row>
    <row r="485" spans="14:51" x14ac:dyDescent="0.25">
      <c r="N485" s="170">
        <v>67</v>
      </c>
      <c r="O485" s="199">
        <f t="shared" si="313"/>
        <v>467735.14128719864</v>
      </c>
      <c r="P485" s="189" t="str">
        <f t="shared" si="279"/>
        <v>18.0065359477124</v>
      </c>
      <c r="Q485" s="160" t="str">
        <f t="shared" si="280"/>
        <v>1+921.997354474444i</v>
      </c>
      <c r="R485" s="160">
        <f t="shared" si="288"/>
        <v>921.9978967751897</v>
      </c>
      <c r="S485" s="160">
        <f t="shared" si="289"/>
        <v>1.5697117254096249</v>
      </c>
      <c r="T485" s="160" t="str">
        <f t="shared" si="281"/>
        <v>1+1.17554662695492i</v>
      </c>
      <c r="U485" s="160">
        <f t="shared" si="290"/>
        <v>1.5433437310414975</v>
      </c>
      <c r="V485" s="160">
        <f t="shared" si="291"/>
        <v>0.86591453163673227</v>
      </c>
      <c r="W485" s="98" t="str">
        <f t="shared" si="282"/>
        <v>1-16.6074454223547i</v>
      </c>
      <c r="X485" s="160">
        <f t="shared" si="292"/>
        <v>16.637525160206071</v>
      </c>
      <c r="Y485" s="160">
        <f t="shared" si="293"/>
        <v>-1.5106549851586082</v>
      </c>
      <c r="Z485" s="98" t="str">
        <f t="shared" si="283"/>
        <v>-1.64681935600702+4.96404910223441i</v>
      </c>
      <c r="AA485" s="160">
        <f t="shared" si="294"/>
        <v>5.2300858005116542</v>
      </c>
      <c r="AB485" s="160">
        <f t="shared" si="295"/>
        <v>1.8911204910974593</v>
      </c>
      <c r="AC485" s="171" t="str">
        <f t="shared" si="296"/>
        <v>-0.0546779169027446+0.0787650048140447i</v>
      </c>
      <c r="AD485" s="190">
        <f t="shared" si="297"/>
        <v>-20.365143682811532</v>
      </c>
      <c r="AE485" s="169">
        <f t="shared" si="298"/>
        <v>124.76801352308395</v>
      </c>
      <c r="AF485" s="98" t="str">
        <f t="shared" si="284"/>
        <v>-0.0000816326530612245</v>
      </c>
      <c r="AG485" s="98" t="str">
        <f t="shared" si="285"/>
        <v>0.0690633643336014i</v>
      </c>
      <c r="AH485" s="98">
        <f t="shared" si="299"/>
        <v>6.9063364333601399E-2</v>
      </c>
      <c r="AI485" s="98">
        <f t="shared" si="300"/>
        <v>1.5707963267948966</v>
      </c>
      <c r="AJ485" s="98" t="str">
        <f t="shared" si="286"/>
        <v>1+21.0472869485651i</v>
      </c>
      <c r="AK485" s="98">
        <f t="shared" si="301"/>
        <v>21.071029587925665</v>
      </c>
      <c r="AL485" s="98">
        <f t="shared" si="302"/>
        <v>1.5233199677455167</v>
      </c>
      <c r="AM485" s="98" t="str">
        <f t="shared" si="287"/>
        <v>1+329.740828860854i</v>
      </c>
      <c r="AN485" s="98">
        <f t="shared" si="303"/>
        <v>329.74234519976801</v>
      </c>
      <c r="AO485" s="98">
        <f t="shared" si="304"/>
        <v>1.56776365129109</v>
      </c>
      <c r="AP485" s="168" t="str">
        <f t="shared" si="305"/>
        <v>-0.00082181149311849+0.0184788987863718i</v>
      </c>
      <c r="AQ485" s="98">
        <f t="shared" si="306"/>
        <v>-34.657897077162723</v>
      </c>
      <c r="AR485" s="169">
        <f t="shared" si="307"/>
        <v>92.546435493176361</v>
      </c>
      <c r="AS485" s="168" t="str">
        <f t="shared" si="308"/>
        <v>-0.00141055561133637-0.00107511767850718i</v>
      </c>
      <c r="AT485" s="190">
        <f t="shared" si="309"/>
        <v>-55.023040759974236</v>
      </c>
      <c r="AU485" s="169">
        <f t="shared" si="310"/>
        <v>-142.68555098373974</v>
      </c>
      <c r="AV485" s="225"/>
      <c r="AX485">
        <f t="shared" si="311"/>
        <v>0</v>
      </c>
      <c r="AY485">
        <f t="shared" si="312"/>
        <v>0</v>
      </c>
    </row>
    <row r="486" spans="14:51" x14ac:dyDescent="0.25">
      <c r="N486" s="170">
        <v>68</v>
      </c>
      <c r="O486" s="199">
        <f t="shared" si="313"/>
        <v>478630.09232263872</v>
      </c>
      <c r="P486" s="189" t="str">
        <f t="shared" si="279"/>
        <v>18.0065359477124</v>
      </c>
      <c r="Q486" s="160" t="str">
        <f t="shared" si="280"/>
        <v>1+943.473431735093i</v>
      </c>
      <c r="R486" s="160">
        <f t="shared" si="288"/>
        <v>943.47396169157378</v>
      </c>
      <c r="S486" s="160">
        <f t="shared" si="289"/>
        <v>1.5697364139326031</v>
      </c>
      <c r="T486" s="160" t="str">
        <f t="shared" si="281"/>
        <v>1+1.20292862546224i</v>
      </c>
      <c r="U486" s="160">
        <f t="shared" si="290"/>
        <v>1.5643008911192482</v>
      </c>
      <c r="V486" s="160">
        <f t="shared" si="291"/>
        <v>0.87725658010929608</v>
      </c>
      <c r="W486" s="98" t="str">
        <f t="shared" si="282"/>
        <v>1-16.9942825203807i</v>
      </c>
      <c r="X486" s="160">
        <f t="shared" si="292"/>
        <v>17.023678755854064</v>
      </c>
      <c r="Y486" s="160">
        <f t="shared" si="293"/>
        <v>-1.5120207820221174</v>
      </c>
      <c r="Z486" s="98" t="str">
        <f t="shared" si="283"/>
        <v>-1.77156010920865+5.07967665965405i</v>
      </c>
      <c r="AA486" s="160">
        <f t="shared" si="294"/>
        <v>5.3797342115734201</v>
      </c>
      <c r="AB486" s="160">
        <f t="shared" si="295"/>
        <v>1.906361141466093</v>
      </c>
      <c r="AC486" s="171" t="str">
        <f t="shared" si="296"/>
        <v>-0.0534631557632269+0.0778913480903914i</v>
      </c>
      <c r="AD486" s="190">
        <f t="shared" si="297"/>
        <v>-20.493737161667966</v>
      </c>
      <c r="AE486" s="169">
        <f t="shared" si="298"/>
        <v>124.46497114431715</v>
      </c>
      <c r="AF486" s="98" t="str">
        <f t="shared" si="284"/>
        <v>-0.0000816326530612245</v>
      </c>
      <c r="AG486" s="98" t="str">
        <f t="shared" si="285"/>
        <v>0.0706720567459069i</v>
      </c>
      <c r="AH486" s="98">
        <f t="shared" si="299"/>
        <v>7.0672056745906903E-2</v>
      </c>
      <c r="AI486" s="98">
        <f t="shared" si="300"/>
        <v>1.5707963267948966</v>
      </c>
      <c r="AJ486" s="98" t="str">
        <f t="shared" si="286"/>
        <v>1+21.5375412409888i</v>
      </c>
      <c r="AK486" s="98">
        <f t="shared" si="301"/>
        <v>21.560744020262689</v>
      </c>
      <c r="AL486" s="98">
        <f t="shared" si="302"/>
        <v>1.5243990933289588</v>
      </c>
      <c r="AM486" s="98" t="str">
        <f t="shared" si="287"/>
        <v>1+337.421479442159i</v>
      </c>
      <c r="AN486" s="98">
        <f t="shared" si="303"/>
        <v>337.42296126513872</v>
      </c>
      <c r="AO486" s="98">
        <f t="shared" si="304"/>
        <v>1.5678326830045743</v>
      </c>
      <c r="AP486" s="168" t="str">
        <f t="shared" si="305"/>
        <v>-0.00078490344926592+0.0180599813572895i</v>
      </c>
      <c r="AQ486" s="98">
        <f t="shared" si="306"/>
        <v>-34.857458605096014</v>
      </c>
      <c r="AR486" s="169">
        <f t="shared" si="307"/>
        <v>92.488561377515751</v>
      </c>
      <c r="AS486" s="168" t="str">
        <f t="shared" si="308"/>
        <v>-0.00136475287903942-0.00102668078416986i</v>
      </c>
      <c r="AT486" s="190">
        <f t="shared" si="309"/>
        <v>-55.351195766763979</v>
      </c>
      <c r="AU486" s="169">
        <f t="shared" si="310"/>
        <v>-143.04646747816724</v>
      </c>
      <c r="AV486" s="225"/>
      <c r="AX486">
        <f t="shared" si="311"/>
        <v>0</v>
      </c>
      <c r="AY486">
        <f t="shared" si="312"/>
        <v>0</v>
      </c>
    </row>
    <row r="487" spans="14:51" x14ac:dyDescent="0.25">
      <c r="N487" s="170">
        <v>69</v>
      </c>
      <c r="O487" s="199">
        <f t="shared" si="313"/>
        <v>489778.81936844654</v>
      </c>
      <c r="P487" s="189" t="str">
        <f t="shared" si="279"/>
        <v>18.0065359477124</v>
      </c>
      <c r="Q487" s="160" t="str">
        <f t="shared" si="280"/>
        <v>1+965.449751097597i</v>
      </c>
      <c r="R487" s="160">
        <f t="shared" si="288"/>
        <v>965.4502689908021</v>
      </c>
      <c r="S487" s="160">
        <f t="shared" si="289"/>
        <v>1.5697605404774364</v>
      </c>
      <c r="T487" s="160" t="str">
        <f t="shared" si="281"/>
        <v>1+1.23094843264944i</v>
      </c>
      <c r="U487" s="160">
        <f t="shared" si="290"/>
        <v>1.5859489411207768</v>
      </c>
      <c r="V487" s="160">
        <f t="shared" si="291"/>
        <v>0.88855102477150372</v>
      </c>
      <c r="W487" s="98" t="str">
        <f t="shared" si="282"/>
        <v>1-17.3901302119449i</v>
      </c>
      <c r="X487" s="160">
        <f t="shared" si="292"/>
        <v>17.418858423800302</v>
      </c>
      <c r="Y487" s="160">
        <f t="shared" si="293"/>
        <v>-1.5133557017182444</v>
      </c>
      <c r="Z487" s="98" t="str">
        <f t="shared" si="283"/>
        <v>-1.90217971299145+5.1979975288761i</v>
      </c>
      <c r="AA487" s="160">
        <f t="shared" si="294"/>
        <v>5.5351121010073756</v>
      </c>
      <c r="AB487" s="160">
        <f t="shared" si="295"/>
        <v>1.9216045781746363</v>
      </c>
      <c r="AC487" s="171" t="str">
        <f t="shared" si="296"/>
        <v>-0.0522692681810356+0.0770250724066313i</v>
      </c>
      <c r="AD487" s="190">
        <f t="shared" si="297"/>
        <v>-20.622345316420819</v>
      </c>
      <c r="AE487" s="169">
        <f t="shared" si="298"/>
        <v>124.16084295296123</v>
      </c>
      <c r="AF487" s="98" t="str">
        <f t="shared" si="284"/>
        <v>-0.0000816326530612245</v>
      </c>
      <c r="AG487" s="98" t="str">
        <f t="shared" si="285"/>
        <v>0.0723182204181543i</v>
      </c>
      <c r="AH487" s="98">
        <f t="shared" si="299"/>
        <v>7.2318220418154305E-2</v>
      </c>
      <c r="AI487" s="98">
        <f t="shared" si="300"/>
        <v>1.5707963267948966</v>
      </c>
      <c r="AJ487" s="98" t="str">
        <f t="shared" si="286"/>
        <v>1+22.0392150228616i</v>
      </c>
      <c r="AK487" s="98">
        <f t="shared" si="301"/>
        <v>22.061890191548152</v>
      </c>
      <c r="AL487" s="98">
        <f t="shared" si="302"/>
        <v>1.5254537595175417</v>
      </c>
      <c r="AM487" s="98" t="str">
        <f t="shared" si="287"/>
        <v>1+345.281035358167i</v>
      </c>
      <c r="AN487" s="98">
        <f t="shared" si="303"/>
        <v>345.28248345088082</v>
      </c>
      <c r="AO487" s="98">
        <f t="shared" si="304"/>
        <v>1.5679001433917112</v>
      </c>
      <c r="AP487" s="168" t="str">
        <f t="shared" si="305"/>
        <v>-0.000749649554440076+0.0176504855905903i</v>
      </c>
      <c r="AQ487" s="98">
        <f t="shared" si="306"/>
        <v>-35.057039825854979</v>
      </c>
      <c r="AR487" s="169">
        <f t="shared" si="307"/>
        <v>92.431998651582077</v>
      </c>
      <c r="AS487" s="168" t="str">
        <f t="shared" si="308"/>
        <v>-0.0013203462970246-0.000980319776070415i</v>
      </c>
      <c r="AT487" s="190">
        <f t="shared" si="309"/>
        <v>-55.679385142275784</v>
      </c>
      <c r="AU487" s="169">
        <f t="shared" si="310"/>
        <v>-143.40715839545672</v>
      </c>
      <c r="AV487" s="225"/>
      <c r="AX487">
        <f t="shared" si="311"/>
        <v>0</v>
      </c>
      <c r="AY487">
        <f t="shared" si="312"/>
        <v>0</v>
      </c>
    </row>
    <row r="488" spans="14:51" x14ac:dyDescent="0.25">
      <c r="N488" s="170">
        <v>70</v>
      </c>
      <c r="O488" s="199">
        <f t="shared" si="313"/>
        <v>501187.23362727347</v>
      </c>
      <c r="P488" s="189" t="str">
        <f t="shared" si="279"/>
        <v>18.0065359477124</v>
      </c>
      <c r="Q488" s="160" t="str">
        <f t="shared" si="280"/>
        <v>1+987.937964697371i</v>
      </c>
      <c r="R488" s="160">
        <f t="shared" si="288"/>
        <v>987.93847080189357</v>
      </c>
      <c r="S488" s="160">
        <f t="shared" si="289"/>
        <v>1.5697841178362257</v>
      </c>
      <c r="T488" s="160" t="str">
        <f t="shared" si="281"/>
        <v>1+1.25962090498915i</v>
      </c>
      <c r="U488" s="160">
        <f t="shared" si="290"/>
        <v>1.6083049537589833</v>
      </c>
      <c r="V488" s="160">
        <f t="shared" si="291"/>
        <v>0.89979232865898207</v>
      </c>
      <c r="W488" s="98" t="str">
        <f t="shared" si="282"/>
        <v>1-17.7951983807331i</v>
      </c>
      <c r="X488" s="160">
        <f t="shared" si="292"/>
        <v>17.823273700688265</v>
      </c>
      <c r="Y488" s="160">
        <f t="shared" si="293"/>
        <v>-1.5146604329975897</v>
      </c>
      <c r="Z488" s="98" t="str">
        <f t="shared" si="283"/>
        <v>-2.03895522904753+5.3190744451916i</v>
      </c>
      <c r="AA488" s="160">
        <f t="shared" si="294"/>
        <v>5.6964806134621915</v>
      </c>
      <c r="AB488" s="160">
        <f t="shared" si="295"/>
        <v>1.9368490220355903</v>
      </c>
      <c r="AC488" s="171" t="str">
        <f t="shared" si="296"/>
        <v>-0.0510953625321995+0.0761660020508108i</v>
      </c>
      <c r="AD488" s="190">
        <f t="shared" si="297"/>
        <v>-20.751009455591326</v>
      </c>
      <c r="AE488" s="169">
        <f t="shared" si="298"/>
        <v>123.85537344882505</v>
      </c>
      <c r="AF488" s="98" t="str">
        <f t="shared" si="284"/>
        <v>-0.0000816326530612245</v>
      </c>
      <c r="AG488" s="98" t="str">
        <f t="shared" si="285"/>
        <v>0.0740027281681124i</v>
      </c>
      <c r="AH488" s="98">
        <f t="shared" si="299"/>
        <v>7.4002728168112403E-2</v>
      </c>
      <c r="AI488" s="98">
        <f t="shared" si="300"/>
        <v>1.5707963267948966</v>
      </c>
      <c r="AJ488" s="98" t="str">
        <f t="shared" si="286"/>
        <v>1+22.5525742882631i</v>
      </c>
      <c r="AK488" s="98">
        <f t="shared" si="301"/>
        <v>22.574733819640613</v>
      </c>
      <c r="AL488" s="98">
        <f t="shared" si="302"/>
        <v>1.5264845161188818</v>
      </c>
      <c r="AM488" s="98" t="str">
        <f t="shared" si="287"/>
        <v>1+353.323663849456i</v>
      </c>
      <c r="AN488" s="98">
        <f t="shared" si="303"/>
        <v>353.3250789796889</v>
      </c>
      <c r="AO488" s="98">
        <f t="shared" si="304"/>
        <v>1.5679660682184333</v>
      </c>
      <c r="AP488" s="168" t="str">
        <f t="shared" si="305"/>
        <v>-0.000715975972562026+0.0172502046018436i</v>
      </c>
      <c r="AQ488" s="98">
        <f t="shared" si="306"/>
        <v>-35.256639856775593</v>
      </c>
      <c r="AR488" s="169">
        <f t="shared" si="307"/>
        <v>92.376717862956312</v>
      </c>
      <c r="AS488" s="168" t="str">
        <f t="shared" si="308"/>
        <v>-0.00127729606719852-0.000935938485280305i</v>
      </c>
      <c r="AT488" s="190">
        <f t="shared" si="309"/>
        <v>-56.007649312366937</v>
      </c>
      <c r="AU488" s="169">
        <f t="shared" si="310"/>
        <v>-143.76790868821854</v>
      </c>
      <c r="AV488" s="225"/>
      <c r="AX488">
        <f t="shared" si="311"/>
        <v>0</v>
      </c>
      <c r="AY488">
        <f t="shared" si="312"/>
        <v>0</v>
      </c>
    </row>
    <row r="489" spans="14:51" x14ac:dyDescent="0.25">
      <c r="N489" s="170">
        <v>71</v>
      </c>
      <c r="O489" s="199">
        <f t="shared" si="313"/>
        <v>512861.38399136515</v>
      </c>
      <c r="P489" s="189" t="str">
        <f t="shared" si="279"/>
        <v>18.0065359477124</v>
      </c>
      <c r="Q489" s="160" t="str">
        <f t="shared" si="280"/>
        <v>1+1010.94999608293i</v>
      </c>
      <c r="R489" s="160">
        <f t="shared" si="288"/>
        <v>1010.9504906671128</v>
      </c>
      <c r="S489" s="160">
        <f t="shared" si="289"/>
        <v>1.5698071585098941</v>
      </c>
      <c r="T489" s="160" t="str">
        <f t="shared" si="281"/>
        <v>1+1.28896124500573i</v>
      </c>
      <c r="U489" s="160">
        <f t="shared" si="290"/>
        <v>1.6313862482952102</v>
      </c>
      <c r="V489" s="160">
        <f t="shared" si="291"/>
        <v>0.91097508848187536</v>
      </c>
      <c r="W489" s="98" t="str">
        <f t="shared" si="282"/>
        <v>1-18.2097017992499i</v>
      </c>
      <c r="X489" s="160">
        <f t="shared" si="292"/>
        <v>18.237139019528396</v>
      </c>
      <c r="Y489" s="160">
        <f t="shared" si="293"/>
        <v>-1.5159356498672907</v>
      </c>
      <c r="Z489" s="98" t="str">
        <f t="shared" si="283"/>
        <v>-2.18217677658419+5.44297160518419i</v>
      </c>
      <c r="AA489" s="160">
        <f t="shared" si="294"/>
        <v>5.8641142024268875</v>
      </c>
      <c r="AB489" s="160">
        <f t="shared" si="295"/>
        <v>1.9520924850993753</v>
      </c>
      <c r="AC489" s="171" t="str">
        <f t="shared" si="296"/>
        <v>-0.0499406058053048+0.0753139245678118i</v>
      </c>
      <c r="AD489" s="190">
        <f t="shared" si="297"/>
        <v>-20.879772574320235</v>
      </c>
      <c r="AE489" s="169">
        <f t="shared" si="298"/>
        <v>123.54832761331089</v>
      </c>
      <c r="AF489" s="98" t="str">
        <f t="shared" si="284"/>
        <v>-0.0000816326530612245</v>
      </c>
      <c r="AG489" s="98" t="str">
        <f t="shared" si="285"/>
        <v>0.0757264731440868i</v>
      </c>
      <c r="AH489" s="98">
        <f t="shared" si="299"/>
        <v>7.5726473144086801E-2</v>
      </c>
      <c r="AI489" s="98">
        <f t="shared" si="300"/>
        <v>1.5707963267948966</v>
      </c>
      <c r="AJ489" s="98" t="str">
        <f t="shared" si="286"/>
        <v>1+23.0778912270706i</v>
      </c>
      <c r="AK489" s="98">
        <f t="shared" si="301"/>
        <v>23.099546824310263</v>
      </c>
      <c r="AL489" s="98">
        <f t="shared" si="302"/>
        <v>1.5274919008876917</v>
      </c>
      <c r="AM489" s="98" t="str">
        <f t="shared" si="287"/>
        <v>1+361.553629224108i</v>
      </c>
      <c r="AN489" s="98">
        <f t="shared" si="303"/>
        <v>361.55501214216872</v>
      </c>
      <c r="AO489" s="98">
        <f t="shared" si="304"/>
        <v>1.5680304924366628</v>
      </c>
      <c r="AP489" s="168" t="str">
        <f t="shared" si="305"/>
        <v>-0.000683812137034501+0.0168589357137607i</v>
      </c>
      <c r="AQ489" s="98">
        <f t="shared" si="306"/>
        <v>-35.456257854598775</v>
      </c>
      <c r="AR489" s="169">
        <f t="shared" si="307"/>
        <v>92.322690203160732</v>
      </c>
      <c r="AS489" s="168" t="str">
        <f t="shared" si="308"/>
        <v>-0.00123556262025924-0.000893446038485069i</v>
      </c>
      <c r="AT489" s="190">
        <f t="shared" si="309"/>
        <v>-56.336030428919003</v>
      </c>
      <c r="AU489" s="169">
        <f t="shared" si="310"/>
        <v>-144.12898218352839</v>
      </c>
      <c r="AV489" s="225"/>
      <c r="AX489">
        <f t="shared" si="311"/>
        <v>0</v>
      </c>
      <c r="AY489">
        <f t="shared" si="312"/>
        <v>0</v>
      </c>
    </row>
    <row r="490" spans="14:51" x14ac:dyDescent="0.25">
      <c r="N490" s="170">
        <v>72</v>
      </c>
      <c r="O490" s="199">
        <f t="shared" si="313"/>
        <v>524807.46024977288</v>
      </c>
      <c r="P490" s="189" t="str">
        <f t="shared" si="279"/>
        <v>18.0065359477124</v>
      </c>
      <c r="Q490" s="160" t="str">
        <f t="shared" si="280"/>
        <v>1+1034.49804653792i</v>
      </c>
      <c r="R490" s="160">
        <f t="shared" si="288"/>
        <v>1034.4985298639974</v>
      </c>
      <c r="S490" s="160">
        <f t="shared" si="289"/>
        <v>1.5698296747148135</v>
      </c>
      <c r="T490" s="160" t="str">
        <f t="shared" si="281"/>
        <v>1+1.31898500933584i</v>
      </c>
      <c r="U490" s="160">
        <f t="shared" si="290"/>
        <v>1.655210395947496</v>
      </c>
      <c r="V490" s="160">
        <f t="shared" si="291"/>
        <v>0.9220940464556574</v>
      </c>
      <c r="W490" s="98" t="str">
        <f t="shared" si="282"/>
        <v>1-18.6338602426947i</v>
      </c>
      <c r="X490" s="160">
        <f t="shared" si="292"/>
        <v>18.660673823425512</v>
      </c>
      <c r="Y490" s="160">
        <f t="shared" si="293"/>
        <v>-1.5171820118649786</v>
      </c>
      <c r="Z490" s="98" t="str">
        <f t="shared" si="283"/>
        <v>-2.33214814770591+5.56975470076812i</v>
      </c>
      <c r="AA490" s="160">
        <f t="shared" si="294"/>
        <v>6.0383012850947297</v>
      </c>
      <c r="AB490" s="160">
        <f t="shared" si="295"/>
        <v>1.9673327710068889</v>
      </c>
      <c r="AC490" s="171" t="str">
        <f t="shared" si="296"/>
        <v>-0.0488042239517987+0.0744685954216237i</v>
      </c>
      <c r="AD490" s="190">
        <f t="shared" si="297"/>
        <v>-21.008679139676136</v>
      </c>
      <c r="AE490" s="169">
        <f t="shared" si="298"/>
        <v>123.23949155099315</v>
      </c>
      <c r="AF490" s="98" t="str">
        <f t="shared" si="284"/>
        <v>-0.0000816326530612245</v>
      </c>
      <c r="AG490" s="98" t="str">
        <f t="shared" si="285"/>
        <v>0.0774903692984808i</v>
      </c>
      <c r="AH490" s="98">
        <f t="shared" si="299"/>
        <v>7.7490369298480799E-2</v>
      </c>
      <c r="AI490" s="98">
        <f t="shared" si="300"/>
        <v>1.5707963267948966</v>
      </c>
      <c r="AJ490" s="98" t="str">
        <f t="shared" si="286"/>
        <v>1+23.6154443692789i</v>
      </c>
      <c r="AK490" s="98">
        <f t="shared" si="301"/>
        <v>23.636607471430974</v>
      </c>
      <c r="AL490" s="98">
        <f t="shared" si="302"/>
        <v>1.528476439769507</v>
      </c>
      <c r="AM490" s="98" t="str">
        <f t="shared" si="287"/>
        <v>1+369.975295118704i</v>
      </c>
      <c r="AN490" s="98">
        <f t="shared" si="303"/>
        <v>369.97664655782285</v>
      </c>
      <c r="AO490" s="98">
        <f t="shared" si="304"/>
        <v>1.568093450202833</v>
      </c>
      <c r="AP490" s="168" t="str">
        <f t="shared" si="305"/>
        <v>-0.000653090608284269+0.0164764803935373i</v>
      </c>
      <c r="AQ490" s="98">
        <f t="shared" si="306"/>
        <v>-35.655893013726136</v>
      </c>
      <c r="AR490" s="169">
        <f t="shared" si="307"/>
        <v>92.269887494755309</v>
      </c>
      <c r="AS490" s="168" t="str">
        <f t="shared" si="308"/>
        <v>-0.00119510677209112-0.000852756579345598i</v>
      </c>
      <c r="AT490" s="190">
        <f t="shared" si="309"/>
        <v>-56.66457215340229</v>
      </c>
      <c r="AU490" s="169">
        <f t="shared" si="310"/>
        <v>-144.49062095425145</v>
      </c>
      <c r="AV490" s="225"/>
      <c r="AX490">
        <f t="shared" si="311"/>
        <v>0</v>
      </c>
      <c r="AY490">
        <f t="shared" si="312"/>
        <v>0</v>
      </c>
    </row>
    <row r="491" spans="14:51" x14ac:dyDescent="0.25">
      <c r="N491" s="170">
        <v>73</v>
      </c>
      <c r="O491" s="199">
        <f t="shared" si="313"/>
        <v>537031.7963702539</v>
      </c>
      <c r="P491" s="189" t="str">
        <f t="shared" si="279"/>
        <v>18.0065359477124</v>
      </c>
      <c r="Q491" s="160" t="str">
        <f t="shared" si="280"/>
        <v>1+1058.59460155038i</v>
      </c>
      <c r="R491" s="160">
        <f t="shared" si="288"/>
        <v>1058.595073874618</v>
      </c>
      <c r="S491" s="160">
        <f t="shared" si="289"/>
        <v>1.5698516783892824</v>
      </c>
      <c r="T491" s="160" t="str">
        <f t="shared" si="281"/>
        <v>1+1.34970811697674i</v>
      </c>
      <c r="U491" s="160">
        <f t="shared" si="290"/>
        <v>1.6797952259227602</v>
      </c>
      <c r="V491" s="160">
        <f t="shared" si="291"/>
        <v>0.93314410127729908</v>
      </c>
      <c r="W491" s="98" t="str">
        <f t="shared" si="282"/>
        <v>1-19.0678986054885i</v>
      </c>
      <c r="X491" s="160">
        <f t="shared" si="292"/>
        <v>19.094102681958905</v>
      </c>
      <c r="Y491" s="160">
        <f t="shared" si="293"/>
        <v>-1.518400164330532</v>
      </c>
      <c r="Z491" s="98" t="str">
        <f t="shared" si="283"/>
        <v>-2.48918745179779+5.69949095401881i</v>
      </c>
      <c r="AA491" s="160">
        <f t="shared" si="294"/>
        <v>6.2193449257240765</v>
      </c>
      <c r="AB491" s="160">
        <f t="shared" si="295"/>
        <v>1.9825674764567236</v>
      </c>
      <c r="AC491" s="171" t="str">
        <f t="shared" si="296"/>
        <v>-0.0476855019513769+0.0736297426083685i</v>
      </c>
      <c r="AD491" s="190">
        <f t="shared" si="297"/>
        <v>-21.137774869316203</v>
      </c>
      <c r="AE491" s="169">
        <f t="shared" si="298"/>
        <v>122.92867301850038</v>
      </c>
      <c r="AF491" s="98" t="str">
        <f t="shared" si="284"/>
        <v>-0.0000816326530612245</v>
      </c>
      <c r="AG491" s="98" t="str">
        <f t="shared" si="285"/>
        <v>0.0792953518723832i</v>
      </c>
      <c r="AH491" s="98">
        <f t="shared" si="299"/>
        <v>7.9295351872383193E-2</v>
      </c>
      <c r="AI491" s="98">
        <f t="shared" si="300"/>
        <v>1.5707963267948966</v>
      </c>
      <c r="AJ491" s="98" t="str">
        <f t="shared" si="286"/>
        <v>1+24.1655187326791i</v>
      </c>
      <c r="AK491" s="98">
        <f t="shared" si="301"/>
        <v>24.186200520533696</v>
      </c>
      <c r="AL491" s="98">
        <f t="shared" si="302"/>
        <v>1.5294386471408847</v>
      </c>
      <c r="AM491" s="98" t="str">
        <f t="shared" si="287"/>
        <v>1+378.593126811974i</v>
      </c>
      <c r="AN491" s="98">
        <f t="shared" si="303"/>
        <v>378.59444748869123</v>
      </c>
      <c r="AO491" s="98">
        <f t="shared" si="304"/>
        <v>1.5681549748959869</v>
      </c>
      <c r="AP491" s="168" t="str">
        <f t="shared" si="305"/>
        <v>-0.000623746937307383+0.0161026441894603i</v>
      </c>
      <c r="AQ491" s="98">
        <f t="shared" si="306"/>
        <v>-35.855544564549511</v>
      </c>
      <c r="AR491" s="169">
        <f t="shared" si="307"/>
        <v>92.218282178612554</v>
      </c>
      <c r="AS491" s="168" t="str">
        <f t="shared" si="308"/>
        <v>-0.00115588986118797-0.000813788997365538i</v>
      </c>
      <c r="AT491" s="190">
        <f t="shared" si="309"/>
        <v>-56.993319433865693</v>
      </c>
      <c r="AU491" s="169">
        <f t="shared" si="310"/>
        <v>-144.85304480288713</v>
      </c>
      <c r="AV491" s="225"/>
      <c r="AX491">
        <f t="shared" si="311"/>
        <v>0</v>
      </c>
      <c r="AY491">
        <f t="shared" si="312"/>
        <v>0</v>
      </c>
    </row>
    <row r="492" spans="14:51" x14ac:dyDescent="0.25">
      <c r="N492" s="170">
        <v>74</v>
      </c>
      <c r="O492" s="199">
        <f t="shared" si="313"/>
        <v>549540.87385762564</v>
      </c>
      <c r="P492" s="189" t="str">
        <f t="shared" si="279"/>
        <v>18.0065359477124</v>
      </c>
      <c r="Q492" s="160" t="str">
        <f t="shared" si="280"/>
        <v>1+1083.25243743274i</v>
      </c>
      <c r="R492" s="160">
        <f t="shared" si="288"/>
        <v>1083.2528990055703</v>
      </c>
      <c r="S492" s="160">
        <f t="shared" si="289"/>
        <v>1.569873181199855</v>
      </c>
      <c r="T492" s="160" t="str">
        <f t="shared" si="281"/>
        <v>1+1.38114685772674i</v>
      </c>
      <c r="U492" s="160">
        <f t="shared" si="290"/>
        <v>1.7051588320764866</v>
      </c>
      <c r="V492" s="160">
        <f t="shared" si="291"/>
        <v>0.94412031820073483</v>
      </c>
      <c r="W492" s="98" t="str">
        <f t="shared" si="282"/>
        <v>1-19.5120470205163i</v>
      </c>
      <c r="X492" s="160">
        <f t="shared" si="292"/>
        <v>19.537655410279889</v>
      </c>
      <c r="Y492" s="160">
        <f t="shared" si="293"/>
        <v>-1.5195907386754248</v>
      </c>
      <c r="Z492" s="98" t="str">
        <f t="shared" si="283"/>
        <v>-2.65362779027845+5.83224915281499i</v>
      </c>
      <c r="AA492" s="160">
        <f t="shared" si="294"/>
        <v>6.4075635486391604</v>
      </c>
      <c r="AB492" s="160">
        <f t="shared" si="295"/>
        <v>1.9977939938007991</v>
      </c>
      <c r="AC492" s="171" t="str">
        <f t="shared" si="296"/>
        <v>-0.0465837835943459+0.0727970712038412i</v>
      </c>
      <c r="AD492" s="190">
        <f t="shared" si="297"/>
        <v>-21.267106504991666</v>
      </c>
      <c r="AE492" s="169">
        <f t="shared" si="298"/>
        <v>122.61570183728263</v>
      </c>
      <c r="AF492" s="98" t="str">
        <f t="shared" si="284"/>
        <v>-0.0000816326530612245</v>
      </c>
      <c r="AG492" s="98" t="str">
        <f t="shared" si="285"/>
        <v>0.0811423778914463i</v>
      </c>
      <c r="AH492" s="98">
        <f t="shared" si="299"/>
        <v>8.1142377891446293E-2</v>
      </c>
      <c r="AI492" s="98">
        <f t="shared" si="300"/>
        <v>1.5707963267948966</v>
      </c>
      <c r="AJ492" s="98" t="str">
        <f t="shared" si="286"/>
        <v>1+24.7284059739798i</v>
      </c>
      <c r="AK492" s="98">
        <f t="shared" si="301"/>
        <v>24.748617375804248</v>
      </c>
      <c r="AL492" s="98">
        <f t="shared" si="302"/>
        <v>1.5303790260460242</v>
      </c>
      <c r="AM492" s="98" t="str">
        <f t="shared" si="287"/>
        <v>1+387.411693592352i</v>
      </c>
      <c r="AN492" s="98">
        <f t="shared" si="303"/>
        <v>387.41298420689827</v>
      </c>
      <c r="AO492" s="98">
        <f t="shared" si="304"/>
        <v>1.5682150991354673</v>
      </c>
      <c r="AP492" s="168" t="str">
        <f t="shared" si="305"/>
        <v>-0.000595719534982193+0.015737236666928i</v>
      </c>
      <c r="AQ492" s="98">
        <f t="shared" si="306"/>
        <v>-36.055211771855014</v>
      </c>
      <c r="AR492" s="169">
        <f t="shared" si="307"/>
        <v>92.167847301373584</v>
      </c>
      <c r="AS492" s="168" t="str">
        <f t="shared" si="308"/>
        <v>-0.00111787386829352-0.000776466664670797i</v>
      </c>
      <c r="AT492" s="190">
        <f t="shared" si="309"/>
        <v>-57.322318276846701</v>
      </c>
      <c r="AU492" s="169">
        <f t="shared" si="310"/>
        <v>-145.2164508613437</v>
      </c>
      <c r="AV492" s="225"/>
      <c r="AX492">
        <f t="shared" si="311"/>
        <v>0</v>
      </c>
      <c r="AY492">
        <f t="shared" si="312"/>
        <v>0</v>
      </c>
    </row>
    <row r="493" spans="14:51" x14ac:dyDescent="0.25">
      <c r="N493" s="170">
        <v>75</v>
      </c>
      <c r="O493" s="199">
        <f t="shared" si="313"/>
        <v>562341.32519035018</v>
      </c>
      <c r="P493" s="189" t="str">
        <f t="shared" si="279"/>
        <v>18.0065359477124</v>
      </c>
      <c r="Q493" s="160" t="str">
        <f t="shared" si="280"/>
        <v>1+1108.48462809597i</v>
      </c>
      <c r="R493" s="160">
        <f t="shared" si="288"/>
        <v>1108.4850791621243</v>
      </c>
      <c r="S493" s="160">
        <f t="shared" si="289"/>
        <v>1.5698941945475269</v>
      </c>
      <c r="T493" s="160" t="str">
        <f t="shared" si="281"/>
        <v>1+1.41331790082236i</v>
      </c>
      <c r="U493" s="160">
        <f t="shared" si="290"/>
        <v>1.7313195802002941</v>
      </c>
      <c r="V493" s="160">
        <f t="shared" si="291"/>
        <v>0.95501793817482117</v>
      </c>
      <c r="W493" s="98" t="str">
        <f t="shared" si="282"/>
        <v>1-19.9665409811469i</v>
      </c>
      <c r="X493" s="160">
        <f t="shared" si="292"/>
        <v>19.991567190988771</v>
      </c>
      <c r="Y493" s="160">
        <f t="shared" si="293"/>
        <v>-1.5207543526494722</v>
      </c>
      <c r="Z493" s="98" t="str">
        <f t="shared" si="283"/>
        <v>-2.82581796315268+5.96809968731095i</v>
      </c>
      <c r="AA493" s="160">
        <f t="shared" si="294"/>
        <v>6.6032916820747376</v>
      </c>
      <c r="AB493" s="160">
        <f t="shared" si="295"/>
        <v>2.0130095147744269</v>
      </c>
      <c r="AC493" s="171" t="str">
        <f t="shared" si="296"/>
        <v>-0.0454984709838804+0.0719702678286086i</v>
      </c>
      <c r="AD493" s="190">
        <f t="shared" si="297"/>
        <v>-21.39672158243696</v>
      </c>
      <c r="AE493" s="169">
        <f t="shared" si="298"/>
        <v>122.3004301878232</v>
      </c>
      <c r="AF493" s="98" t="str">
        <f t="shared" si="284"/>
        <v>-0.0000816326530612245</v>
      </c>
      <c r="AG493" s="98" t="str">
        <f t="shared" si="285"/>
        <v>0.0830324266733138i</v>
      </c>
      <c r="AH493" s="98">
        <f t="shared" si="299"/>
        <v>8.30324266733138E-2</v>
      </c>
      <c r="AI493" s="98">
        <f t="shared" si="300"/>
        <v>1.5707963267948966</v>
      </c>
      <c r="AJ493" s="98" t="str">
        <f t="shared" si="286"/>
        <v>1+25.3044045434471i</v>
      </c>
      <c r="AK493" s="98">
        <f t="shared" si="301"/>
        <v>25.324156240602097</v>
      </c>
      <c r="AL493" s="98">
        <f t="shared" si="302"/>
        <v>1.5312980684297655</v>
      </c>
      <c r="AM493" s="98" t="str">
        <f t="shared" si="287"/>
        <v>1+396.435671180673i</v>
      </c>
      <c r="AN493" s="98">
        <f t="shared" si="303"/>
        <v>396.43693241734007</v>
      </c>
      <c r="AO493" s="98">
        <f t="shared" si="304"/>
        <v>1.568273854798202</v>
      </c>
      <c r="AP493" s="168" t="str">
        <f t="shared" si="305"/>
        <v>-0.000568949546923144+0.0153800713440317i</v>
      </c>
      <c r="AQ493" s="98">
        <f t="shared" si="306"/>
        <v>-36.254893933296678</v>
      </c>
      <c r="AR493" s="169">
        <f t="shared" si="307"/>
        <v>92.118556503088769</v>
      </c>
      <c r="AS493" s="168" t="str">
        <f t="shared" si="308"/>
        <v>-0.0010810215194011-0.000740717181049461i</v>
      </c>
      <c r="AT493" s="190">
        <f t="shared" si="309"/>
        <v>-57.65161551573361</v>
      </c>
      <c r="AU493" s="169">
        <f t="shared" si="310"/>
        <v>-145.58101330908812</v>
      </c>
      <c r="AV493" s="225"/>
      <c r="AX493">
        <f t="shared" si="311"/>
        <v>0</v>
      </c>
      <c r="AY493">
        <f t="shared" si="312"/>
        <v>0</v>
      </c>
    </row>
    <row r="494" spans="14:51" x14ac:dyDescent="0.25">
      <c r="N494" s="170">
        <v>76</v>
      </c>
      <c r="O494" s="199">
        <f t="shared" si="313"/>
        <v>575439.93733715697</v>
      </c>
      <c r="P494" s="189" t="str">
        <f t="shared" si="279"/>
        <v>18.0065359477124</v>
      </c>
      <c r="Q494" s="160" t="str">
        <f t="shared" si="280"/>
        <v>1+1134.30455198154i</v>
      </c>
      <c r="R494" s="160">
        <f t="shared" si="288"/>
        <v>1134.3049927801792</v>
      </c>
      <c r="S494" s="160">
        <f t="shared" si="289"/>
        <v>1.5699147295737783</v>
      </c>
      <c r="T494" s="160" t="str">
        <f t="shared" si="281"/>
        <v>1+1.44623830377647i</v>
      </c>
      <c r="U494" s="160">
        <f t="shared" si="290"/>
        <v>1.7582961159344692</v>
      </c>
      <c r="V494" s="160">
        <f t="shared" si="291"/>
        <v>0.96583238601615862</v>
      </c>
      <c r="W494" s="98" t="str">
        <f t="shared" si="282"/>
        <v>1-20.4316214660941i</v>
      </c>
      <c r="X494" s="160">
        <f t="shared" si="292"/>
        <v>20.456078698855194</v>
      </c>
      <c r="Y494" s="160">
        <f t="shared" si="293"/>
        <v>-1.5218916106048064</v>
      </c>
      <c r="Z494" s="98" t="str">
        <f t="shared" si="283"/>
        <v>-3.00612320886312+6.10711458725825i</v>
      </c>
      <c r="AA494" s="160">
        <f t="shared" si="294"/>
        <v>6.8068807341371871</v>
      </c>
      <c r="AB494" s="160">
        <f t="shared" si="295"/>
        <v>2.0282110353590652</v>
      </c>
      <c r="AC494" s="171" t="str">
        <f t="shared" si="296"/>
        <v>-0.0444290237622356+0.0711490050130644i</v>
      </c>
      <c r="AD494" s="190">
        <f t="shared" si="297"/>
        <v>-21.52666819921949</v>
      </c>
      <c r="AE494" s="169">
        <f t="shared" si="298"/>
        <v>121.98273278382048</v>
      </c>
      <c r="AF494" s="98" t="str">
        <f t="shared" si="284"/>
        <v>-0.0000816326530612245</v>
      </c>
      <c r="AG494" s="98" t="str">
        <f t="shared" si="285"/>
        <v>0.0849665003468674i</v>
      </c>
      <c r="AH494" s="98">
        <f t="shared" si="299"/>
        <v>8.4966500346867396E-2</v>
      </c>
      <c r="AI494" s="98">
        <f t="shared" si="300"/>
        <v>1.5707963267948966</v>
      </c>
      <c r="AJ494" s="98" t="str">
        <f t="shared" si="286"/>
        <v>1+25.8938198431467i</v>
      </c>
      <c r="AK494" s="98">
        <f t="shared" si="301"/>
        <v>25.913122275583426</v>
      </c>
      <c r="AL494" s="98">
        <f t="shared" si="302"/>
        <v>1.5321962553669319</v>
      </c>
      <c r="AM494" s="98" t="str">
        <f t="shared" si="287"/>
        <v>1+405.669844209299i</v>
      </c>
      <c r="AN494" s="98">
        <f t="shared" si="303"/>
        <v>405.67107673680277</v>
      </c>
      <c r="AO494" s="98">
        <f t="shared" si="304"/>
        <v>1.5683312730355974</v>
      </c>
      <c r="AP494" s="168" t="str">
        <f t="shared" si="305"/>
        <v>-0.000543380733655635+0.0150309656268322i</v>
      </c>
      <c r="AQ494" s="98">
        <f t="shared" si="306"/>
        <v>-36.454590377936221</v>
      </c>
      <c r="AR494" s="169">
        <f t="shared" si="307"/>
        <v>92.07038400504517</v>
      </c>
      <c r="AS494" s="168" t="str">
        <f t="shared" si="308"/>
        <v>-0.00104529637320716-0.000706472127546742i</v>
      </c>
      <c r="AT494" s="190">
        <f t="shared" si="309"/>
        <v>-57.981258577155678</v>
      </c>
      <c r="AU494" s="169">
        <f t="shared" si="310"/>
        <v>-145.94688321113446</v>
      </c>
      <c r="AV494" s="225"/>
      <c r="AX494">
        <f t="shared" si="311"/>
        <v>0</v>
      </c>
      <c r="AY494">
        <f t="shared" si="312"/>
        <v>0</v>
      </c>
    </row>
    <row r="495" spans="14:51" x14ac:dyDescent="0.25">
      <c r="N495" s="170">
        <v>77</v>
      </c>
      <c r="O495" s="199">
        <f t="shared" si="313"/>
        <v>588843.65535558888</v>
      </c>
      <c r="P495" s="189" t="str">
        <f t="shared" si="279"/>
        <v>18.0065359477124</v>
      </c>
      <c r="Q495" s="160" t="str">
        <f t="shared" si="280"/>
        <v>1+1160.72589915487i</v>
      </c>
      <c r="R495" s="160">
        <f t="shared" si="288"/>
        <v>1160.7263299197107</v>
      </c>
      <c r="S495" s="160">
        <f t="shared" si="289"/>
        <v>1.569934797166483</v>
      </c>
      <c r="T495" s="160" t="str">
        <f t="shared" si="281"/>
        <v>1+1.47992552142246i</v>
      </c>
      <c r="U495" s="160">
        <f t="shared" si="290"/>
        <v>1.7861073733002559</v>
      </c>
      <c r="V495" s="160">
        <f t="shared" si="291"/>
        <v>0.97655927759863481</v>
      </c>
      <c r="W495" s="98" t="str">
        <f t="shared" si="282"/>
        <v>1-20.9075350671871i</v>
      </c>
      <c r="X495" s="160">
        <f t="shared" si="292"/>
        <v>20.931436228449744</v>
      </c>
      <c r="Y495" s="160">
        <f t="shared" si="293"/>
        <v>-1.5230031037569329</v>
      </c>
      <c r="Z495" s="98" t="str">
        <f t="shared" si="283"/>
        <v>-3.19492597900984+6.24936756019693i</v>
      </c>
      <c r="AA495" s="160">
        <f t="shared" si="294"/>
        <v>7.018699802227883</v>
      </c>
      <c r="AB495" s="160">
        <f t="shared" si="295"/>
        <v>2.0433953617674394</v>
      </c>
      <c r="AC495" s="171" t="str">
        <f t="shared" si="296"/>
        <v>-0.0433749580664231+0.0703329454443646i</v>
      </c>
      <c r="AD495" s="190">
        <f t="shared" si="297"/>
        <v>-21.656994782138973</v>
      </c>
      <c r="AE495" s="169">
        <f t="shared" si="298"/>
        <v>121.66250692590033</v>
      </c>
      <c r="AF495" s="98" t="str">
        <f t="shared" si="284"/>
        <v>-0.0000816326530612245</v>
      </c>
      <c r="AG495" s="98" t="str">
        <f t="shared" si="285"/>
        <v>0.0869456243835697i</v>
      </c>
      <c r="AH495" s="98">
        <f t="shared" si="299"/>
        <v>8.6945624383569703E-2</v>
      </c>
      <c r="AI495" s="98">
        <f t="shared" si="300"/>
        <v>1.5707963267948966</v>
      </c>
      <c r="AJ495" s="98" t="str">
        <f t="shared" si="286"/>
        <v>1+26.4969643888723i</v>
      </c>
      <c r="AK495" s="98">
        <f t="shared" si="301"/>
        <v>26.515827760512526</v>
      </c>
      <c r="AL495" s="98">
        <f t="shared" si="302"/>
        <v>1.5330740572879951</v>
      </c>
      <c r="AM495" s="98" t="str">
        <f t="shared" si="287"/>
        <v>1+415.119108759001i</v>
      </c>
      <c r="AN495" s="98">
        <f t="shared" si="303"/>
        <v>415.1203132308359</v>
      </c>
      <c r="AO495" s="98">
        <f t="shared" si="304"/>
        <v>1.5683873842900475</v>
      </c>
      <c r="AP495" s="168" t="str">
        <f t="shared" si="305"/>
        <v>-0.00051895935589947+0.0146897407444508i</v>
      </c>
      <c r="AQ495" s="98">
        <f t="shared" si="306"/>
        <v>-36.65430046484741</v>
      </c>
      <c r="AR495" s="169">
        <f t="shared" si="307"/>
        <v>92.023304597782982</v>
      </c>
      <c r="AS495" s="168" t="str">
        <f t="shared" si="308"/>
        <v>-0.001010662894071-0.0006736668288635i</v>
      </c>
      <c r="AT495" s="190">
        <f t="shared" si="309"/>
        <v>-58.311295246986383</v>
      </c>
      <c r="AU495" s="169">
        <f t="shared" si="310"/>
        <v>-146.31418847631667</v>
      </c>
      <c r="AV495" s="225"/>
      <c r="AX495">
        <f t="shared" si="311"/>
        <v>0</v>
      </c>
      <c r="AY495">
        <f t="shared" si="312"/>
        <v>0</v>
      </c>
    </row>
    <row r="496" spans="14:51" x14ac:dyDescent="0.25">
      <c r="N496" s="170">
        <v>78</v>
      </c>
      <c r="O496" s="199">
        <f t="shared" si="313"/>
        <v>602559.58607435878</v>
      </c>
      <c r="P496" s="189" t="str">
        <f t="shared" si="279"/>
        <v>18.0065359477124</v>
      </c>
      <c r="Q496" s="160" t="str">
        <f t="shared" si="280"/>
        <v>1+1187.76267856396i</v>
      </c>
      <c r="R496" s="160">
        <f t="shared" si="288"/>
        <v>1187.7630995233994</v>
      </c>
      <c r="S496" s="160">
        <f t="shared" si="289"/>
        <v>1.5699544079656795</v>
      </c>
      <c r="T496" s="160" t="str">
        <f t="shared" si="281"/>
        <v>1+1.51439741516905i</v>
      </c>
      <c r="U496" s="160">
        <f t="shared" si="290"/>
        <v>1.814772583843689</v>
      </c>
      <c r="V496" s="160">
        <f t="shared" si="291"/>
        <v>0.98719442605040297</v>
      </c>
      <c r="W496" s="98" t="str">
        <f t="shared" si="282"/>
        <v>1-21.3945341201167i</v>
      </c>
      <c r="X496" s="160">
        <f t="shared" si="292"/>
        <v>21.417891824753379</v>
      </c>
      <c r="Y496" s="160">
        <f t="shared" si="293"/>
        <v>-1.5240894104427294</v>
      </c>
      <c r="Z496" s="98" t="str">
        <f t="shared" si="283"/>
        <v>-3.39262674958156+6.39493403053619i</v>
      </c>
      <c r="AA496" s="160">
        <f t="shared" si="294"/>
        <v>7.2391365173538604</v>
      </c>
      <c r="AB496" s="160">
        <f t="shared" si="295"/>
        <v>2.0585591175320559</v>
      </c>
      <c r="AC496" s="171" t="str">
        <f t="shared" si="296"/>
        <v>-0.0423358452203838+0.0695217460768346i</v>
      </c>
      <c r="AD496" s="190">
        <f t="shared" si="297"/>
        <v>-21.787749855768169</v>
      </c>
      <c r="AE496" s="169">
        <f t="shared" si="298"/>
        <v>121.33967243542222</v>
      </c>
      <c r="AF496" s="98" t="str">
        <f t="shared" si="284"/>
        <v>-0.0000816326530612245</v>
      </c>
      <c r="AG496" s="98" t="str">
        <f t="shared" si="285"/>
        <v>0.0889708481411817i</v>
      </c>
      <c r="AH496" s="98">
        <f t="shared" si="299"/>
        <v>8.8970848141181696E-2</v>
      </c>
      <c r="AI496" s="98">
        <f t="shared" si="300"/>
        <v>1.5707963267948966</v>
      </c>
      <c r="AJ496" s="98" t="str">
        <f t="shared" si="286"/>
        <v>1+27.1141579758457i</v>
      </c>
      <c r="AK496" s="98">
        <f t="shared" si="301"/>
        <v>27.13259225984714</v>
      </c>
      <c r="AL496" s="98">
        <f t="shared" si="302"/>
        <v>1.5339319342010391</v>
      </c>
      <c r="AM496" s="98" t="str">
        <f t="shared" si="287"/>
        <v>1+424.788474954918i</v>
      </c>
      <c r="AN496" s="98">
        <f t="shared" si="303"/>
        <v>424.7896520097035</v>
      </c>
      <c r="AO496" s="98">
        <f t="shared" si="304"/>
        <v>1.5684422183110687</v>
      </c>
      <c r="AP496" s="168" t="str">
        <f t="shared" si="305"/>
        <v>-0.000495634064755669+0.0143562216840879i</v>
      </c>
      <c r="AQ496" s="98">
        <f t="shared" si="306"/>
        <v>-36.854023581781654</v>
      </c>
      <c r="AR496" s="169">
        <f t="shared" si="307"/>
        <v>91.977293629302082</v>
      </c>
      <c r="AS496" s="168" t="str">
        <f t="shared" si="308"/>
        <v>-0.00097708651149246-0.000642240124764036i</v>
      </c>
      <c r="AT496" s="190">
        <f t="shared" si="309"/>
        <v>-58.641773437549816</v>
      </c>
      <c r="AU496" s="169">
        <f t="shared" si="310"/>
        <v>-146.68303393527569</v>
      </c>
      <c r="AV496" s="225"/>
      <c r="AX496">
        <f t="shared" si="311"/>
        <v>0</v>
      </c>
      <c r="AY496">
        <f t="shared" si="312"/>
        <v>0</v>
      </c>
    </row>
    <row r="497" spans="14:51" x14ac:dyDescent="0.25">
      <c r="N497" s="170">
        <v>79</v>
      </c>
      <c r="O497" s="199">
        <f t="shared" si="313"/>
        <v>616595.00186148309</v>
      </c>
      <c r="P497" s="189" t="str">
        <f t="shared" si="279"/>
        <v>18.0065359477124</v>
      </c>
      <c r="Q497" s="160" t="str">
        <f t="shared" si="280"/>
        <v>1+1215.42922546712i</v>
      </c>
      <c r="R497" s="160">
        <f t="shared" si="288"/>
        <v>1215.4296368443561</v>
      </c>
      <c r="S497" s="160">
        <f t="shared" si="289"/>
        <v>1.569973572369213</v>
      </c>
      <c r="T497" s="160" t="str">
        <f t="shared" si="281"/>
        <v>1+1.54967226247058i</v>
      </c>
      <c r="U497" s="160">
        <f t="shared" si="290"/>
        <v>1.844311286380552</v>
      </c>
      <c r="V497" s="160">
        <f t="shared" si="291"/>
        <v>0.99773384695779432</v>
      </c>
      <c r="W497" s="98" t="str">
        <f t="shared" si="282"/>
        <v>1-21.8928768382269i</v>
      </c>
      <c r="X497" s="160">
        <f t="shared" si="292"/>
        <v>21.915703416814438</v>
      </c>
      <c r="Y497" s="160">
        <f t="shared" si="293"/>
        <v>-1.5251510963752726</v>
      </c>
      <c r="Z497" s="98" t="str">
        <f t="shared" si="283"/>
        <v>-3.5996448704189+6.54389117954541i</v>
      </c>
      <c r="AA497" s="160">
        <f t="shared" si="294"/>
        <v>7.4685979248360468</v>
      </c>
      <c r="AB497" s="160">
        <f t="shared" si="295"/>
        <v>2.0736987516689993</v>
      </c>
      <c r="AC497" s="171" t="str">
        <f t="shared" si="296"/>
        <v>-0.0413113101724135+0.0687150620873058i</v>
      </c>
      <c r="AD497" s="190">
        <f t="shared" si="297"/>
        <v>-21.918981813710687</v>
      </c>
      <c r="AE497" s="169">
        <f t="shared" si="298"/>
        <v>121.01417146996614</v>
      </c>
      <c r="AF497" s="98" t="str">
        <f t="shared" si="284"/>
        <v>-0.0000816326530612245</v>
      </c>
      <c r="AG497" s="98" t="str">
        <f t="shared" si="285"/>
        <v>0.0910432454201463i</v>
      </c>
      <c r="AH497" s="98">
        <f t="shared" si="299"/>
        <v>9.1043245420146302E-2</v>
      </c>
      <c r="AI497" s="98">
        <f t="shared" si="300"/>
        <v>1.5707963267948966</v>
      </c>
      <c r="AJ497" s="98" t="str">
        <f t="shared" si="286"/>
        <v>1+27.7457278482763i</v>
      </c>
      <c r="AK497" s="98">
        <f t="shared" si="301"/>
        <v>27.763742792185191</v>
      </c>
      <c r="AL497" s="98">
        <f t="shared" si="302"/>
        <v>1.5347703359100207</v>
      </c>
      <c r="AM497" s="98" t="str">
        <f t="shared" si="287"/>
        <v>1+434.683069622997i</v>
      </c>
      <c r="AN497" s="98">
        <f t="shared" si="303"/>
        <v>434.68421988481623</v>
      </c>
      <c r="AO497" s="98">
        <f t="shared" si="304"/>
        <v>1.5684958041710644</v>
      </c>
      <c r="AP497" s="168" t="str">
        <f t="shared" si="305"/>
        <v>-0.000473355796598697+0.0140302371260722i</v>
      </c>
      <c r="AQ497" s="98">
        <f t="shared" si="306"/>
        <v>-37.053759143891796</v>
      </c>
      <c r="AR497" s="169">
        <f t="shared" si="307"/>
        <v>91.932326993460208</v>
      </c>
      <c r="AS497" s="168" t="str">
        <f t="shared" si="308"/>
        <v>-0.000944533667082475-0.000612134150660346i</v>
      </c>
      <c r="AT497" s="190">
        <f t="shared" si="309"/>
        <v>-58.972740957602483</v>
      </c>
      <c r="AU497" s="169">
        <f t="shared" si="310"/>
        <v>-147.05350153657361</v>
      </c>
      <c r="AV497" s="225"/>
      <c r="AX497">
        <f t="shared" si="311"/>
        <v>0</v>
      </c>
      <c r="AY497">
        <f t="shared" si="312"/>
        <v>0</v>
      </c>
    </row>
    <row r="498" spans="14:51" x14ac:dyDescent="0.25">
      <c r="N498" s="170">
        <v>80</v>
      </c>
      <c r="O498" s="199">
        <f t="shared" si="313"/>
        <v>630957.34448019415</v>
      </c>
      <c r="P498" s="189" t="str">
        <f t="shared" si="279"/>
        <v>18.0065359477124</v>
      </c>
      <c r="Q498" s="160" t="str">
        <f t="shared" si="280"/>
        <v>1+1243.74020903373i</v>
      </c>
      <c r="R498" s="160">
        <f t="shared" si="288"/>
        <v>1243.7406110468801</v>
      </c>
      <c r="S498" s="160">
        <f t="shared" si="289"/>
        <v>1.569992300538247</v>
      </c>
      <c r="T498" s="160" t="str">
        <f t="shared" si="281"/>
        <v>1+1.585768766518i</v>
      </c>
      <c r="U498" s="160">
        <f t="shared" si="290"/>
        <v>1.8747433373302114</v>
      </c>
      <c r="V498" s="160">
        <f t="shared" si="291"/>
        <v>1.0081737625840517</v>
      </c>
      <c r="W498" s="98" t="str">
        <f t="shared" si="282"/>
        <v>1-22.4028274494232i</v>
      </c>
      <c r="X498" s="160">
        <f t="shared" si="292"/>
        <v>22.425134954524346</v>
      </c>
      <c r="Y498" s="160">
        <f t="shared" si="293"/>
        <v>-1.5261887148953874</v>
      </c>
      <c r="Z498" s="98" t="str">
        <f t="shared" si="283"/>
        <v>-3.81641945471149+6.69631798627665i</v>
      </c>
      <c r="AA498" s="160">
        <f t="shared" si="294"/>
        <v>7.7075114030167047</v>
      </c>
      <c r="AB498" s="160">
        <f t="shared" si="295"/>
        <v>2.0888105478797838</v>
      </c>
      <c r="AC498" s="171" t="str">
        <f t="shared" si="296"/>
        <v>-0.0403010296884412+0.0679125506569635i</v>
      </c>
      <c r="AD498" s="190">
        <f t="shared" si="297"/>
        <v>-22.050738694116166</v>
      </c>
      <c r="AE498" s="169">
        <f t="shared" si="298"/>
        <v>120.68596822309281</v>
      </c>
      <c r="AF498" s="98" t="str">
        <f t="shared" si="284"/>
        <v>-0.0000816326530612245</v>
      </c>
      <c r="AG498" s="98" t="str">
        <f t="shared" si="285"/>
        <v>0.0931639150329326i</v>
      </c>
      <c r="AH498" s="98">
        <f t="shared" si="299"/>
        <v>9.3163915032932601E-2</v>
      </c>
      <c r="AI498" s="98">
        <f t="shared" si="300"/>
        <v>1.5707963267948966</v>
      </c>
      <c r="AJ498" s="98" t="str">
        <f t="shared" si="286"/>
        <v>1+28.39200887287i</v>
      </c>
      <c r="AK498" s="98">
        <f t="shared" si="301"/>
        <v>28.409614003663073</v>
      </c>
      <c r="AL498" s="98">
        <f t="shared" si="302"/>
        <v>1.5355897022293135</v>
      </c>
      <c r="AM498" s="98" t="str">
        <f t="shared" si="287"/>
        <v>1+444.808139008299i</v>
      </c>
      <c r="AN498" s="98">
        <f t="shared" si="303"/>
        <v>444.80926308702954</v>
      </c>
      <c r="AO498" s="98">
        <f t="shared" si="304"/>
        <v>1.5685481702807351</v>
      </c>
      <c r="AP498" s="168" t="str">
        <f t="shared" si="305"/>
        <v>-0.000452077672482787+0.0137116193790321i</v>
      </c>
      <c r="AQ498" s="98">
        <f t="shared" si="306"/>
        <v>-37.253506592512878</v>
      </c>
      <c r="AR498" s="169">
        <f t="shared" si="307"/>
        <v>91.888381118563217</v>
      </c>
      <c r="AS498" s="168" t="str">
        <f t="shared" si="308"/>
        <v>-0.00091297184996731-0.000583294127504348i</v>
      </c>
      <c r="AT498" s="190">
        <f t="shared" si="309"/>
        <v>-59.30424528662904</v>
      </c>
      <c r="AU498" s="169">
        <f t="shared" si="310"/>
        <v>-147.42565065834395</v>
      </c>
      <c r="AV498" s="225"/>
      <c r="AX498">
        <f t="shared" si="311"/>
        <v>0</v>
      </c>
      <c r="AY498">
        <f t="shared" si="312"/>
        <v>0</v>
      </c>
    </row>
    <row r="499" spans="14:51" x14ac:dyDescent="0.25">
      <c r="N499" s="170">
        <v>81</v>
      </c>
      <c r="O499" s="199">
        <f t="shared" si="313"/>
        <v>645654.22903465747</v>
      </c>
      <c r="P499" s="189" t="str">
        <f t="shared" si="279"/>
        <v>18.0065359477124</v>
      </c>
      <c r="Q499" s="160" t="str">
        <f t="shared" si="280"/>
        <v>1+1272.71064012201i</v>
      </c>
      <c r="R499" s="160">
        <f t="shared" si="288"/>
        <v>1272.7110329842264</v>
      </c>
      <c r="S499" s="160">
        <f t="shared" si="289"/>
        <v>1.5700106024026526</v>
      </c>
      <c r="T499" s="160" t="str">
        <f t="shared" si="281"/>
        <v>1+1.62270606615557i</v>
      </c>
      <c r="U499" s="160">
        <f t="shared" si="290"/>
        <v>1.9060889216240895</v>
      </c>
      <c r="V499" s="160">
        <f t="shared" si="291"/>
        <v>1.0185106051184609</v>
      </c>
      <c r="W499" s="98" t="str">
        <f t="shared" si="282"/>
        <v>1-22.9246563362697i</v>
      </c>
      <c r="X499" s="160">
        <f t="shared" si="292"/>
        <v>22.946456548584369</v>
      </c>
      <c r="Y499" s="160">
        <f t="shared" si="293"/>
        <v>-1.5272028072198272</v>
      </c>
      <c r="Z499" s="98" t="str">
        <f t="shared" si="283"/>
        <v>-4.04341031041618+6.85229526944048i</v>
      </c>
      <c r="AA499" s="160">
        <f t="shared" si="294"/>
        <v>7.9563256216658358</v>
      </c>
      <c r="AB499" s="160">
        <f t="shared" si="295"/>
        <v>2.1038906347449338</v>
      </c>
      <c r="AC499" s="171" t="str">
        <f t="shared" si="296"/>
        <v>-0.0393047303136406+0.0671138745616456i</v>
      </c>
      <c r="AD499" s="190">
        <f t="shared" si="297"/>
        <v>-22.183067960945621</v>
      </c>
      <c r="AE499" s="169">
        <f t="shared" si="298"/>
        <v>120.35504851192738</v>
      </c>
      <c r="AF499" s="98" t="str">
        <f t="shared" si="284"/>
        <v>-0.0000816326530612245</v>
      </c>
      <c r="AG499" s="98" t="str">
        <f t="shared" si="285"/>
        <v>0.0953339813866397i</v>
      </c>
      <c r="AH499" s="98">
        <f t="shared" si="299"/>
        <v>9.5333981386639705E-2</v>
      </c>
      <c r="AI499" s="98">
        <f t="shared" si="300"/>
        <v>1.5707963267948966</v>
      </c>
      <c r="AJ499" s="98" t="str">
        <f t="shared" si="286"/>
        <v>1+29.053343716381i</v>
      </c>
      <c r="AK499" s="98">
        <f t="shared" si="301"/>
        <v>29.070548345398912</v>
      </c>
      <c r="AL499" s="98">
        <f t="shared" si="302"/>
        <v>1.5363904631945469</v>
      </c>
      <c r="AM499" s="98" t="str">
        <f t="shared" si="287"/>
        <v>1+455.169051556637i</v>
      </c>
      <c r="AN499" s="98">
        <f t="shared" si="303"/>
        <v>455.17015004827419</v>
      </c>
      <c r="AO499" s="98">
        <f t="shared" si="304"/>
        <v>1.5685993444041364</v>
      </c>
      <c r="AP499" s="168" t="str">
        <f t="shared" si="305"/>
        <v>-0.000431754901878152+0.0134002043152779i</v>
      </c>
      <c r="AQ499" s="98">
        <f t="shared" si="306"/>
        <v>-37.453265393995572</v>
      </c>
      <c r="AR499" s="169">
        <f t="shared" si="307"/>
        <v>91.845432956147704</v>
      </c>
      <c r="AS499" s="168" t="str">
        <f t="shared" si="308"/>
        <v>-0.00088236962153607-0.000555668161085707i</v>
      </c>
      <c r="AT499" s="190">
        <f t="shared" si="309"/>
        <v>-59.636333354941186</v>
      </c>
      <c r="AU499" s="169">
        <f t="shared" si="310"/>
        <v>-147.79951853192492</v>
      </c>
      <c r="AV499" s="225"/>
      <c r="AX499">
        <f t="shared" si="311"/>
        <v>0</v>
      </c>
      <c r="AY499">
        <f t="shared" si="312"/>
        <v>0</v>
      </c>
    </row>
    <row r="500" spans="14:51" x14ac:dyDescent="0.25">
      <c r="N500" s="170">
        <v>82</v>
      </c>
      <c r="O500" s="199">
        <f t="shared" si="313"/>
        <v>660693.44800759677</v>
      </c>
      <c r="P500" s="189" t="str">
        <f t="shared" si="279"/>
        <v>18.0065359477124</v>
      </c>
      <c r="Q500" s="160" t="str">
        <f t="shared" si="280"/>
        <v>1+1302.35587923801i</v>
      </c>
      <c r="R500" s="160">
        <f t="shared" si="288"/>
        <v>1302.356263157593</v>
      </c>
      <c r="S500" s="160">
        <f t="shared" si="289"/>
        <v>1.5700284876662711</v>
      </c>
      <c r="T500" s="160" t="str">
        <f t="shared" si="281"/>
        <v>1+1.66050374602846i</v>
      </c>
      <c r="U500" s="160">
        <f t="shared" si="290"/>
        <v>1.9383685641731161</v>
      </c>
      <c r="V500" s="160">
        <f t="shared" si="291"/>
        <v>1.0287410189786759</v>
      </c>
      <c r="W500" s="98" t="str">
        <f t="shared" si="282"/>
        <v>1-23.4586401793494i</v>
      </c>
      <c r="X500" s="160">
        <f t="shared" si="292"/>
        <v>23.479944613737615</v>
      </c>
      <c r="Y500" s="160">
        <f t="shared" si="293"/>
        <v>-1.5281939026860107</v>
      </c>
      <c r="Z500" s="98" t="str">
        <f t="shared" si="283"/>
        <v>-4.281098915571+7.01190573025699i</v>
      </c>
      <c r="AA500" s="160">
        <f t="shared" si="294"/>
        <v>8.2155115418891604</v>
      </c>
      <c r="AB500" s="160">
        <f t="shared" si="295"/>
        <v>2.1189349968538109</v>
      </c>
      <c r="AC500" s="171" t="str">
        <f t="shared" si="296"/>
        <v>-0.0383221861168167+0.0663187055531706i</v>
      </c>
      <c r="AD500" s="190">
        <f t="shared" si="297"/>
        <v>-22.316016292413735</v>
      </c>
      <c r="AE500" s="169">
        <f t="shared" si="298"/>
        <v>120.02141925705691</v>
      </c>
      <c r="AF500" s="98" t="str">
        <f t="shared" si="284"/>
        <v>-0.0000816326530612245</v>
      </c>
      <c r="AG500" s="98" t="str">
        <f t="shared" si="285"/>
        <v>0.0975545950791721i</v>
      </c>
      <c r="AH500" s="98">
        <f t="shared" si="299"/>
        <v>9.7554595079172093E-2</v>
      </c>
      <c r="AI500" s="98">
        <f t="shared" si="300"/>
        <v>1.5707963267948966</v>
      </c>
      <c r="AJ500" s="98" t="str">
        <f t="shared" si="286"/>
        <v>1+29.7300830272967i</v>
      </c>
      <c r="AK500" s="98">
        <f t="shared" si="301"/>
        <v>29.746896255070972</v>
      </c>
      <c r="AL500" s="98">
        <f t="shared" si="302"/>
        <v>1.5371730392697374</v>
      </c>
      <c r="AM500" s="98" t="str">
        <f t="shared" si="287"/>
        <v>1+465.771300760983i</v>
      </c>
      <c r="AN500" s="98">
        <f t="shared" si="303"/>
        <v>465.77237424795612</v>
      </c>
      <c r="AO500" s="98">
        <f t="shared" si="304"/>
        <v>1.568649353673393</v>
      </c>
      <c r="AP500" s="168" t="str">
        <f t="shared" si="305"/>
        <v>-0.000412344690559443+0.0130958313064698i</v>
      </c>
      <c r="AQ500" s="98">
        <f t="shared" si="306"/>
        <v>-37.653035038591746</v>
      </c>
      <c r="AR500" s="169">
        <f t="shared" si="307"/>
        <v>91.803459969956293</v>
      </c>
      <c r="AS500" s="168" t="str">
        <f t="shared" si="308"/>
        <v>-0.000852696630411864-0.000529207050800595i</v>
      </c>
      <c r="AT500" s="190">
        <f t="shared" si="309"/>
        <v>-59.969051331005481</v>
      </c>
      <c r="AU500" s="169">
        <f t="shared" si="310"/>
        <v>-148.17512077298679</v>
      </c>
      <c r="AV500" s="225"/>
      <c r="AX500">
        <f t="shared" si="311"/>
        <v>0</v>
      </c>
      <c r="AY500">
        <f t="shared" si="312"/>
        <v>0</v>
      </c>
    </row>
    <row r="501" spans="14:51" x14ac:dyDescent="0.25">
      <c r="N501" s="170">
        <v>83</v>
      </c>
      <c r="O501" s="199">
        <f t="shared" si="313"/>
        <v>676082.97539198259</v>
      </c>
      <c r="P501" s="189" t="str">
        <f t="shared" si="279"/>
        <v>18.0065359477124</v>
      </c>
      <c r="Q501" s="160" t="str">
        <f t="shared" si="280"/>
        <v>1+1332.69164467989i</v>
      </c>
      <c r="R501" s="160">
        <f t="shared" si="288"/>
        <v>1332.6920198603991</v>
      </c>
      <c r="S501" s="160">
        <f t="shared" si="289"/>
        <v>1.5700459658120605</v>
      </c>
      <c r="T501" s="160" t="str">
        <f t="shared" si="281"/>
        <v>1+1.69918184696686i</v>
      </c>
      <c r="U501" s="160">
        <f t="shared" si="290"/>
        <v>1.9716031418776216</v>
      </c>
      <c r="V501" s="160">
        <f t="shared" si="291"/>
        <v>1.0388618621956422</v>
      </c>
      <c r="W501" s="98" t="str">
        <f t="shared" si="282"/>
        <v>1-24.0050621039639i</v>
      </c>
      <c r="X501" s="160">
        <f t="shared" si="292"/>
        <v>24.025882015342617</v>
      </c>
      <c r="Y501" s="160">
        <f t="shared" si="293"/>
        <v>-1.5291625189932485</v>
      </c>
      <c r="Z501" s="98" t="str">
        <f t="shared" si="283"/>
        <v>-4.52998943957506+7.17523399630525i</v>
      </c>
      <c r="AA501" s="160">
        <f t="shared" si="294"/>
        <v>8.4855634594525409</v>
      </c>
      <c r="AB501" s="160">
        <f t="shared" si="295"/>
        <v>2.1339394868066934</v>
      </c>
      <c r="AC501" s="171" t="str">
        <f t="shared" si="296"/>
        <v>-0.0373532162339299+0.0655267275152089i</v>
      </c>
      <c r="AD501" s="190">
        <f t="shared" si="297"/>
        <v>-22.449629377954672</v>
      </c>
      <c r="AE501" s="169">
        <f t="shared" si="298"/>
        <v>119.68510786009625</v>
      </c>
      <c r="AF501" s="98" t="str">
        <f t="shared" si="284"/>
        <v>-0.0000816326530612245</v>
      </c>
      <c r="AG501" s="98" t="str">
        <f t="shared" si="285"/>
        <v>0.0998269335093033i</v>
      </c>
      <c r="AH501" s="98">
        <f t="shared" si="299"/>
        <v>9.9826933509303301E-2</v>
      </c>
      <c r="AI501" s="98">
        <f t="shared" si="300"/>
        <v>1.5707963267948966</v>
      </c>
      <c r="AJ501" s="98" t="str">
        <f t="shared" si="286"/>
        <v>1+30.4225856217577i</v>
      </c>
      <c r="AK501" s="98">
        <f t="shared" si="301"/>
        <v>30.439016342733197</v>
      </c>
      <c r="AL501" s="98">
        <f t="shared" si="302"/>
        <v>1.5379378415507325</v>
      </c>
      <c r="AM501" s="98" t="str">
        <f t="shared" si="287"/>
        <v>1+476.620508074205i</v>
      </c>
      <c r="AN501" s="98">
        <f t="shared" si="303"/>
        <v>476.6215571256858</v>
      </c>
      <c r="AO501" s="98">
        <f t="shared" si="304"/>
        <v>1.5686982246030798</v>
      </c>
      <c r="AP501" s="168" t="str">
        <f t="shared" si="305"/>
        <v>-0.000393806152475193+0.0127983431596439i</v>
      </c>
      <c r="AQ501" s="98">
        <f t="shared" si="306"/>
        <v>-37.85281503938905</v>
      </c>
      <c r="AR501" s="169">
        <f t="shared" si="307"/>
        <v>91.762440125105243</v>
      </c>
      <c r="AS501" s="168" t="str">
        <f t="shared" si="308"/>
        <v>-0.000823923618500466-0.000503864107925271i</v>
      </c>
      <c r="AT501" s="190">
        <f t="shared" si="309"/>
        <v>-60.302444417343715</v>
      </c>
      <c r="AU501" s="169">
        <f t="shared" si="310"/>
        <v>-148.55245201479849</v>
      </c>
      <c r="AV501" s="225"/>
      <c r="AX501">
        <f t="shared" si="311"/>
        <v>0</v>
      </c>
      <c r="AY501">
        <f t="shared" si="312"/>
        <v>0</v>
      </c>
    </row>
    <row r="502" spans="14:51" x14ac:dyDescent="0.25">
      <c r="N502" s="170">
        <v>84</v>
      </c>
      <c r="O502" s="199">
        <f t="shared" si="313"/>
        <v>691830.97091893724</v>
      </c>
      <c r="P502" s="189" t="str">
        <f t="shared" si="279"/>
        <v>18.0065359477124</v>
      </c>
      <c r="Q502" s="160" t="str">
        <f t="shared" si="280"/>
        <v>1+1363.73402087205i</v>
      </c>
      <c r="R502" s="160">
        <f t="shared" si="288"/>
        <v>1363.7343875124104</v>
      </c>
      <c r="S502" s="160">
        <f t="shared" si="289"/>
        <v>1.5700630461071221</v>
      </c>
      <c r="T502" s="160" t="str">
        <f t="shared" si="281"/>
        <v>1+1.73876087661186i</v>
      </c>
      <c r="U502" s="160">
        <f t="shared" si="290"/>
        <v>2.0058138961618655</v>
      </c>
      <c r="V502" s="160">
        <f t="shared" si="291"/>
        <v>1.0488702069162295</v>
      </c>
      <c r="W502" s="98" t="str">
        <f t="shared" si="282"/>
        <v>1-24.5642118302506i</v>
      </c>
      <c r="X502" s="160">
        <f t="shared" si="292"/>
        <v>24.584558219366549</v>
      </c>
      <c r="Y502" s="160">
        <f t="shared" si="293"/>
        <v>-1.5301091624404026</v>
      </c>
      <c r="Z502" s="98" t="str">
        <f t="shared" si="283"/>
        <v>-4.79060981259904+7.34236666639379i</v>
      </c>
      <c r="AA502" s="160">
        <f t="shared" si="294"/>
        <v>8.7670000935520047</v>
      </c>
      <c r="AB502" s="160">
        <f t="shared" si="295"/>
        <v>2.148899838016578</v>
      </c>
      <c r="AC502" s="171" t="str">
        <f t="shared" si="296"/>
        <v>-0.0363976822289996+0.0647376393784057i</v>
      </c>
      <c r="AD502" s="190">
        <f t="shared" si="297"/>
        <v>-22.583951724965793</v>
      </c>
      <c r="AE502" s="169">
        <f t="shared" si="298"/>
        <v>119.34616148509269</v>
      </c>
      <c r="AF502" s="98" t="str">
        <f t="shared" si="284"/>
        <v>-0.0000816326530612245</v>
      </c>
      <c r="AG502" s="98" t="str">
        <f t="shared" si="285"/>
        <v>0.102152201500947i</v>
      </c>
      <c r="AH502" s="98">
        <f t="shared" si="299"/>
        <v>0.102152201500947</v>
      </c>
      <c r="AI502" s="98">
        <f t="shared" si="300"/>
        <v>1.5707963267948966</v>
      </c>
      <c r="AJ502" s="98" t="str">
        <f t="shared" si="286"/>
        <v>1+31.1312186738059i</v>
      </c>
      <c r="AK502" s="98">
        <f t="shared" si="301"/>
        <v>31.147275580960869</v>
      </c>
      <c r="AL502" s="98">
        <f t="shared" si="302"/>
        <v>1.5386852719649791</v>
      </c>
      <c r="AM502" s="98" t="str">
        <f t="shared" si="287"/>
        <v>1+487.722425889627i</v>
      </c>
      <c r="AN502" s="98">
        <f t="shared" si="303"/>
        <v>487.7234510618315</v>
      </c>
      <c r="AO502" s="98">
        <f t="shared" si="304"/>
        <v>1.5687459831042769</v>
      </c>
      <c r="AP502" s="168" t="str">
        <f t="shared" si="305"/>
        <v>-0.000376100225433528+0.0125075860536603i</v>
      </c>
      <c r="AQ502" s="98">
        <f t="shared" si="306"/>
        <v>-38.052604931292521</v>
      </c>
      <c r="AR502" s="169">
        <f t="shared" si="307"/>
        <v>91.722351877443671</v>
      </c>
      <c r="AS502" s="168" t="str">
        <f t="shared" si="308"/>
        <v>-0.000796022418944652-0.000479594983397248i</v>
      </c>
      <c r="AT502" s="190">
        <f t="shared" si="309"/>
        <v>-60.636556656258314</v>
      </c>
      <c r="AU502" s="169">
        <f t="shared" si="310"/>
        <v>-148.93148663746359</v>
      </c>
      <c r="AV502" s="225"/>
      <c r="AX502">
        <f t="shared" si="311"/>
        <v>0</v>
      </c>
      <c r="AY502">
        <f t="shared" si="312"/>
        <v>0</v>
      </c>
    </row>
    <row r="503" spans="14:51" x14ac:dyDescent="0.25">
      <c r="N503" s="170">
        <v>85</v>
      </c>
      <c r="O503" s="199">
        <f t="shared" si="313"/>
        <v>707945.78438413853</v>
      </c>
      <c r="P503" s="189" t="str">
        <f t="shared" si="279"/>
        <v>18.0065359477124</v>
      </c>
      <c r="Q503" s="160" t="str">
        <f t="shared" si="280"/>
        <v>1+1395.49946689322i</v>
      </c>
      <c r="R503" s="160">
        <f t="shared" si="288"/>
        <v>1395.4998251878292</v>
      </c>
      <c r="S503" s="160">
        <f t="shared" si="289"/>
        <v>1.5700797376076148</v>
      </c>
      <c r="T503" s="160" t="str">
        <f t="shared" si="281"/>
        <v>1+1.77926182028886i</v>
      </c>
      <c r="U503" s="160">
        <f t="shared" si="290"/>
        <v>2.0410224460151403</v>
      </c>
      <c r="V503" s="160">
        <f t="shared" si="291"/>
        <v>1.0587633390638604</v>
      </c>
      <c r="W503" s="98" t="str">
        <f t="shared" si="282"/>
        <v>1-25.1363858267955i</v>
      </c>
      <c r="X503" s="160">
        <f t="shared" si="292"/>
        <v>25.156269445876223</v>
      </c>
      <c r="Y503" s="160">
        <f t="shared" si="293"/>
        <v>-1.5310343281599372</v>
      </c>
      <c r="Z503" s="98" t="str">
        <f t="shared" si="283"/>
        <v>-5.06351284539614+7.51339235647657i</v>
      </c>
      <c r="AA503" s="160">
        <f t="shared" si="294"/>
        <v>9.06036572318426</v>
      </c>
      <c r="AB503" s="160">
        <f t="shared" si="295"/>
        <v>2.1638116782306893</v>
      </c>
      <c r="AC503" s="171" t="str">
        <f t="shared" si="296"/>
        <v>-0.0354554852923915+0.0639511577809769i</v>
      </c>
      <c r="AD503" s="190">
        <f t="shared" si="297"/>
        <v>-22.71902647647714</v>
      </c>
      <c r="AE503" s="169">
        <f t="shared" si="298"/>
        <v>119.00464625066351</v>
      </c>
      <c r="AF503" s="98" t="str">
        <f t="shared" si="284"/>
        <v>-0.0000816326530612245</v>
      </c>
      <c r="AG503" s="98" t="str">
        <f t="shared" si="285"/>
        <v>0.10453163194197i</v>
      </c>
      <c r="AH503" s="98">
        <f t="shared" si="299"/>
        <v>0.10453163194197</v>
      </c>
      <c r="AI503" s="98">
        <f t="shared" si="300"/>
        <v>1.5707963267948966</v>
      </c>
      <c r="AJ503" s="98" t="str">
        <f t="shared" si="286"/>
        <v>1+31.8563579100653i</v>
      </c>
      <c r="AK503" s="98">
        <f t="shared" si="301"/>
        <v>31.872049499431004</v>
      </c>
      <c r="AL503" s="98">
        <f t="shared" si="302"/>
        <v>1.5394157234676367</v>
      </c>
      <c r="AM503" s="98" t="str">
        <f t="shared" si="287"/>
        <v>1+499.082940591025i</v>
      </c>
      <c r="AN503" s="98">
        <f t="shared" si="303"/>
        <v>499.08394242750853</v>
      </c>
      <c r="AO503" s="98">
        <f t="shared" si="304"/>
        <v>1.5687926544983015</v>
      </c>
      <c r="AP503" s="168" t="str">
        <f t="shared" si="305"/>
        <v>-0.000359189590445478+0.0122234094761317i</v>
      </c>
      <c r="AQ503" s="98">
        <f t="shared" si="306"/>
        <v>-38.252404270050874</v>
      </c>
      <c r="AR503" s="169">
        <f t="shared" si="307"/>
        <v>91.683174163103999</v>
      </c>
      <c r="AS503" s="168" t="str">
        <f t="shared" si="308"/>
        <v>-0.000768965946788367-0.00045635750507573i</v>
      </c>
      <c r="AT503" s="190">
        <f t="shared" si="309"/>
        <v>-60.971430746528014</v>
      </c>
      <c r="AU503" s="169">
        <f t="shared" si="310"/>
        <v>-149.31217958623245</v>
      </c>
      <c r="AV503" s="225"/>
      <c r="AX503">
        <f t="shared" si="311"/>
        <v>0</v>
      </c>
      <c r="AY503">
        <f t="shared" si="312"/>
        <v>0</v>
      </c>
    </row>
    <row r="504" spans="14:51" x14ac:dyDescent="0.25">
      <c r="N504" s="170">
        <v>86</v>
      </c>
      <c r="O504" s="199">
        <f t="shared" si="313"/>
        <v>724435.96007499192</v>
      </c>
      <c r="P504" s="189" t="str">
        <f t="shared" si="279"/>
        <v>18.0065359477124</v>
      </c>
      <c r="Q504" s="160" t="str">
        <f t="shared" si="280"/>
        <v>1+1428.00482520337i</v>
      </c>
      <c r="R504" s="160">
        <f t="shared" si="288"/>
        <v>1428.0051753421999</v>
      </c>
      <c r="S504" s="160">
        <f t="shared" si="289"/>
        <v>1.5700960491635556</v>
      </c>
      <c r="T504" s="160" t="str">
        <f t="shared" si="281"/>
        <v>1+1.82070615213429i</v>
      </c>
      <c r="U504" s="160">
        <f t="shared" si="290"/>
        <v>2.0772508015210041</v>
      </c>
      <c r="V504" s="160">
        <f t="shared" si="291"/>
        <v>1.068538757201742</v>
      </c>
      <c r="W504" s="98" t="str">
        <f t="shared" si="282"/>
        <v>1-25.7218874678251i</v>
      </c>
      <c r="X504" s="160">
        <f t="shared" si="292"/>
        <v>25.741318826110245</v>
      </c>
      <c r="Y504" s="160">
        <f t="shared" si="293"/>
        <v>-1.5319385003483212</v>
      </c>
      <c r="Z504" s="98" t="str">
        <f t="shared" si="283"/>
        <v>-5.34927740188766+7.68840174663827i</v>
      </c>
      <c r="AA504" s="160">
        <f t="shared" si="294"/>
        <v>9.3662313733996765</v>
      </c>
      <c r="AB504" s="160">
        <f t="shared" si="295"/>
        <v>2.1786705436844871</v>
      </c>
      <c r="AC504" s="171" t="str">
        <f t="shared" si="296"/>
        <v>-0.0345265632981289+0.0631670194627485i</v>
      </c>
      <c r="AD504" s="190">
        <f t="shared" si="297"/>
        <v>-22.854895240778053</v>
      </c>
      <c r="AE504" s="169">
        <f t="shared" si="298"/>
        <v>118.66064634042439</v>
      </c>
      <c r="AF504" s="98" t="str">
        <f t="shared" si="284"/>
        <v>-0.0000816326530612245</v>
      </c>
      <c r="AG504" s="98" t="str">
        <f t="shared" si="285"/>
        <v>0.10696648643789i</v>
      </c>
      <c r="AH504" s="98">
        <f t="shared" si="299"/>
        <v>0.10696648643789</v>
      </c>
      <c r="AI504" s="98">
        <f t="shared" si="300"/>
        <v>1.5707963267948966</v>
      </c>
      <c r="AJ504" s="98" t="str">
        <f t="shared" si="286"/>
        <v>1+32.5983878089575i</v>
      </c>
      <c r="AK504" s="98">
        <f t="shared" si="301"/>
        <v>32.613722384039335</v>
      </c>
      <c r="AL504" s="98">
        <f t="shared" si="302"/>
        <v>1.5401295802340642</v>
      </c>
      <c r="AM504" s="98" t="str">
        <f t="shared" si="287"/>
        <v>1+510.708075673669i</v>
      </c>
      <c r="AN504" s="98">
        <f t="shared" si="303"/>
        <v>510.70905470561422</v>
      </c>
      <c r="AO504" s="98">
        <f t="shared" si="304"/>
        <v>1.568838263530131</v>
      </c>
      <c r="AP504" s="168" t="str">
        <f t="shared" si="305"/>
        <v>-0.000343038594573174+0.011945666160883i</v>
      </c>
      <c r="AQ504" s="98">
        <f t="shared" si="306"/>
        <v>-38.452212631326887</v>
      </c>
      <c r="AR504" s="169">
        <f t="shared" si="307"/>
        <v>91.644886388242355</v>
      </c>
      <c r="AS504" s="168" t="str">
        <f t="shared" si="308"/>
        <v>-0.000742728183130761-0.000434111524421921i</v>
      </c>
      <c r="AT504" s="190">
        <f t="shared" si="309"/>
        <v>-61.307107872104929</v>
      </c>
      <c r="AU504" s="169">
        <f t="shared" si="310"/>
        <v>-149.69446727133325</v>
      </c>
      <c r="AV504" s="225"/>
      <c r="AX504">
        <f t="shared" si="311"/>
        <v>0</v>
      </c>
      <c r="AY504">
        <f t="shared" si="312"/>
        <v>0</v>
      </c>
    </row>
    <row r="505" spans="14:51" x14ac:dyDescent="0.25">
      <c r="N505" s="170">
        <v>87</v>
      </c>
      <c r="O505" s="199">
        <f t="shared" si="313"/>
        <v>741310.24130091805</v>
      </c>
      <c r="P505" s="189" t="str">
        <f t="shared" si="279"/>
        <v>18.0065359477124</v>
      </c>
      <c r="Q505" s="160" t="str">
        <f t="shared" si="280"/>
        <v>1+1461.2673305737i</v>
      </c>
      <c r="R505" s="160">
        <f t="shared" si="288"/>
        <v>1461.2676727423993</v>
      </c>
      <c r="S505" s="160">
        <f t="shared" si="289"/>
        <v>1.5701119894235127</v>
      </c>
      <c r="T505" s="160" t="str">
        <f t="shared" si="281"/>
        <v>1+1.86311584648147i</v>
      </c>
      <c r="U505" s="160">
        <f t="shared" si="290"/>
        <v>2.1145213778560774</v>
      </c>
      <c r="V505" s="160">
        <f t="shared" si="291"/>
        <v>1.0781941706468428</v>
      </c>
      <c r="W505" s="98" t="str">
        <f t="shared" si="282"/>
        <v>1-26.3210271940595i</v>
      </c>
      <c r="X505" s="160">
        <f t="shared" si="292"/>
        <v>26.340016563214608</v>
      </c>
      <c r="Y505" s="160">
        <f t="shared" si="293"/>
        <v>-1.5328221524927601</v>
      </c>
      <c r="Z505" s="98" t="str">
        <f t="shared" si="283"/>
        <v>-5.64850962701095+7.86748762917403i</v>
      </c>
      <c r="AA505" s="160">
        <f t="shared" si="294"/>
        <v>9.6851960538567194</v>
      </c>
      <c r="AB505" s="160">
        <f t="shared" si="295"/>
        <v>2.1934718937948987</v>
      </c>
      <c r="AC505" s="171" t="str">
        <f t="shared" si="296"/>
        <v>-0.0336108877432779+0.0623849833826452i</v>
      </c>
      <c r="AD505" s="190">
        <f t="shared" si="297"/>
        <v>-22.99159793390551</v>
      </c>
      <c r="AE505" s="169">
        <f t="shared" si="298"/>
        <v>118.31426303980658</v>
      </c>
      <c r="AF505" s="98" t="str">
        <f t="shared" si="284"/>
        <v>-0.0000816326530612245</v>
      </c>
      <c r="AG505" s="98" t="str">
        <f t="shared" si="285"/>
        <v>0.109458055980787i</v>
      </c>
      <c r="AH505" s="98">
        <f t="shared" si="299"/>
        <v>0.10945805598078701</v>
      </c>
      <c r="AI505" s="98">
        <f t="shared" si="300"/>
        <v>1.5707963267948966</v>
      </c>
      <c r="AJ505" s="98" t="str">
        <f t="shared" si="286"/>
        <v>1+33.3577018045564i</v>
      </c>
      <c r="AK505" s="98">
        <f t="shared" si="301"/>
        <v>33.37268748065857</v>
      </c>
      <c r="AL505" s="98">
        <f t="shared" si="302"/>
        <v>1.5408272178487004</v>
      </c>
      <c r="AM505" s="98" t="str">
        <f t="shared" si="287"/>
        <v>1+522.603994938053i</v>
      </c>
      <c r="AN505" s="98">
        <f t="shared" si="303"/>
        <v>522.60495168455157</v>
      </c>
      <c r="AO505" s="98">
        <f t="shared" si="304"/>
        <v>1.568882834381518</v>
      </c>
      <c r="AP505" s="168" t="str">
        <f t="shared" si="305"/>
        <v>-0.00032761317713626+0.011674212025993i</v>
      </c>
      <c r="AQ505" s="98">
        <f t="shared" si="306"/>
        <v>-38.652029609807165</v>
      </c>
      <c r="AR505" s="169">
        <f t="shared" si="307"/>
        <v>91.607468418967912</v>
      </c>
      <c r="AS505" s="168" t="str">
        <f t="shared" si="308"/>
        <v>-0.000717284153527105-0.000412818772508457i</v>
      </c>
      <c r="AT505" s="190">
        <f t="shared" si="309"/>
        <v>-61.643627543712675</v>
      </c>
      <c r="AU505" s="169">
        <f t="shared" si="310"/>
        <v>-150.0782685412255</v>
      </c>
      <c r="AV505" s="225"/>
      <c r="AX505">
        <f t="shared" si="311"/>
        <v>0</v>
      </c>
      <c r="AY505">
        <f t="shared" si="312"/>
        <v>0</v>
      </c>
    </row>
    <row r="506" spans="14:51" x14ac:dyDescent="0.25">
      <c r="N506" s="170">
        <v>88</v>
      </c>
      <c r="O506" s="199">
        <f t="shared" si="313"/>
        <v>758577.57502918423</v>
      </c>
      <c r="P506" s="189" t="str">
        <f t="shared" si="279"/>
        <v>18.0065359477124</v>
      </c>
      <c r="Q506" s="160" t="str">
        <f t="shared" si="280"/>
        <v>1+1495.30461922488i</v>
      </c>
      <c r="R506" s="160">
        <f t="shared" si="288"/>
        <v>1495.3049536048702</v>
      </c>
      <c r="S506" s="160">
        <f t="shared" si="289"/>
        <v>1.5701275668391905</v>
      </c>
      <c r="T506" s="160" t="str">
        <f t="shared" si="281"/>
        <v>1+1.90651338951172i</v>
      </c>
      <c r="U506" s="160">
        <f t="shared" si="290"/>
        <v>2.1528570097401887</v>
      </c>
      <c r="V506" s="160">
        <f t="shared" si="291"/>
        <v>1.0877274968856387</v>
      </c>
      <c r="W506" s="98" t="str">
        <f t="shared" si="282"/>
        <v>1-26.9341226773123i</v>
      </c>
      <c r="X506" s="160">
        <f t="shared" si="292"/>
        <v>26.952680096727089</v>
      </c>
      <c r="Y506" s="160">
        <f t="shared" si="293"/>
        <v>-1.5336857475942327</v>
      </c>
      <c r="Z506" s="98" t="str">
        <f t="shared" si="283"/>
        <v>-5.96184423243443+8.05074495778931i</v>
      </c>
      <c r="AA506" s="160">
        <f t="shared" si="294"/>
        <v>10.01788805223844</v>
      </c>
      <c r="AB506" s="160">
        <f t="shared" si="295"/>
        <v>2.208211126294267</v>
      </c>
      <c r="AC506" s="171" t="str">
        <f t="shared" si="296"/>
        <v>-0.0327084605936449+0.0616048325518207i</v>
      </c>
      <c r="AD506" s="190">
        <f t="shared" si="297"/>
        <v>-23.129172635770246</v>
      </c>
      <c r="AE506" s="169">
        <f t="shared" si="298"/>
        <v>117.96561370783837</v>
      </c>
      <c r="AF506" s="98" t="str">
        <f t="shared" si="284"/>
        <v>-0.0000816326530612245</v>
      </c>
      <c r="AG506" s="98" t="str">
        <f t="shared" si="285"/>
        <v>0.112007661633813i</v>
      </c>
      <c r="AH506" s="98">
        <f t="shared" si="299"/>
        <v>0.112007661633813</v>
      </c>
      <c r="AI506" s="98">
        <f t="shared" si="300"/>
        <v>1.5707963267948966</v>
      </c>
      <c r="AJ506" s="98" t="str">
        <f t="shared" si="286"/>
        <v>1+34.1347024951937i</v>
      </c>
      <c r="AK506" s="98">
        <f t="shared" si="301"/>
        <v>34.149347203649192</v>
      </c>
      <c r="AL506" s="98">
        <f t="shared" si="302"/>
        <v>1.5415090034903773</v>
      </c>
      <c r="AM506" s="98" t="str">
        <f t="shared" si="287"/>
        <v>1+534.777005758036i</v>
      </c>
      <c r="AN506" s="98">
        <f t="shared" si="303"/>
        <v>534.77794072636402</v>
      </c>
      <c r="AO506" s="98">
        <f t="shared" si="304"/>
        <v>1.5689263906838093</v>
      </c>
      <c r="AP506" s="168" t="str">
        <f t="shared" si="305"/>
        <v>-0.000312880799135156+0.0114089061124549i</v>
      </c>
      <c r="AQ506" s="98">
        <f t="shared" si="306"/>
        <v>-38.851854818353416</v>
      </c>
      <c r="AR506" s="169">
        <f t="shared" si="307"/>
        <v>91.570900571459688</v>
      </c>
      <c r="AS506" s="168" t="str">
        <f t="shared" si="308"/>
        <v>-0.000692609901368207-0.000392442725235227i</v>
      </c>
      <c r="AT506" s="190">
        <f t="shared" si="309"/>
        <v>-61.981027454123662</v>
      </c>
      <c r="AU506" s="169">
        <f t="shared" si="310"/>
        <v>-150.4634857207019</v>
      </c>
      <c r="AV506" s="225"/>
      <c r="AX506">
        <f t="shared" si="311"/>
        <v>0</v>
      </c>
      <c r="AY506">
        <f t="shared" si="312"/>
        <v>0</v>
      </c>
    </row>
    <row r="507" spans="14:51" x14ac:dyDescent="0.25">
      <c r="N507" s="170">
        <v>89</v>
      </c>
      <c r="O507" s="199">
        <f t="shared" si="313"/>
        <v>776247.11662869214</v>
      </c>
      <c r="P507" s="189" t="str">
        <f t="shared" si="279"/>
        <v>18.0065359477124</v>
      </c>
      <c r="Q507" s="160" t="str">
        <f t="shared" si="280"/>
        <v>1+1530.13473817786i</v>
      </c>
      <c r="R507" s="160">
        <f t="shared" si="288"/>
        <v>1530.1350649464343</v>
      </c>
      <c r="S507" s="160">
        <f t="shared" si="289"/>
        <v>1.5701427896699107</v>
      </c>
      <c r="T507" s="160" t="str">
        <f t="shared" si="281"/>
        <v>1+1.95092179117677i</v>
      </c>
      <c r="U507" s="160">
        <f t="shared" si="290"/>
        <v>2.1922809663198684</v>
      </c>
      <c r="V507" s="160">
        <f t="shared" si="291"/>
        <v>1.0971368583447028</v>
      </c>
      <c r="W507" s="98" t="str">
        <f t="shared" si="282"/>
        <v>1-27.5614989889238i</v>
      </c>
      <c r="X507" s="160">
        <f t="shared" si="292"/>
        <v>27.579634270897202</v>
      </c>
      <c r="Y507" s="160">
        <f t="shared" si="293"/>
        <v>-1.5345297383868222</v>
      </c>
      <c r="Z507" s="98" t="str">
        <f t="shared" si="283"/>
        <v>-6.28994584286559+8.23827089794542i</v>
      </c>
      <c r="AA507" s="160">
        <f t="shared" si="294"/>
        <v>10.364966285237813</v>
      </c>
      <c r="AB507" s="160">
        <f t="shared" si="295"/>
        <v>2.2228835927022388</v>
      </c>
      <c r="AC507" s="171" t="str">
        <f t="shared" si="296"/>
        <v>-0.031819311060966+0.0608263755771051i</v>
      </c>
      <c r="AD507" s="190">
        <f t="shared" si="297"/>
        <v>-23.267655460549651</v>
      </c>
      <c r="AE507" s="169">
        <f t="shared" si="298"/>
        <v>117.61483069281583</v>
      </c>
      <c r="AF507" s="98" t="str">
        <f t="shared" si="284"/>
        <v>-0.0000816326530612245</v>
      </c>
      <c r="AG507" s="98" t="str">
        <f t="shared" si="285"/>
        <v>0.114616655231635i</v>
      </c>
      <c r="AH507" s="98">
        <f t="shared" si="299"/>
        <v>0.114616655231635</v>
      </c>
      <c r="AI507" s="98">
        <f t="shared" si="300"/>
        <v>1.5707963267948966</v>
      </c>
      <c r="AJ507" s="98" t="str">
        <f t="shared" si="286"/>
        <v>1+34.9298018569201i</v>
      </c>
      <c r="AK507" s="98">
        <f t="shared" si="301"/>
        <v>34.944113349228061</v>
      </c>
      <c r="AL507" s="98">
        <f t="shared" si="302"/>
        <v>1.5421752961140918</v>
      </c>
      <c r="AM507" s="98" t="str">
        <f t="shared" si="287"/>
        <v>1+547.233562425084i</v>
      </c>
      <c r="AN507" s="98">
        <f t="shared" si="303"/>
        <v>547.23447611097038</v>
      </c>
      <c r="AO507" s="98">
        <f t="shared" si="304"/>
        <v>1.5689689555304716</v>
      </c>
      <c r="AP507" s="168" t="str">
        <f t="shared" si="305"/>
        <v>-0.000298810375755713+0.0111496105234982i</v>
      </c>
      <c r="AQ507" s="98">
        <f t="shared" si="306"/>
        <v>-39.051687887189971</v>
      </c>
      <c r="AR507" s="169">
        <f t="shared" si="307"/>
        <v>91.53516360226952</v>
      </c>
      <c r="AS507" s="168" t="str">
        <f t="shared" si="308"/>
        <v>-0.00066868245694633-0.000372948477597862i</v>
      </c>
      <c r="AT507" s="190">
        <f t="shared" si="309"/>
        <v>-62.319343347739618</v>
      </c>
      <c r="AU507" s="169">
        <f t="shared" si="310"/>
        <v>-150.85000570491468</v>
      </c>
      <c r="AV507" s="225"/>
      <c r="AX507">
        <f t="shared" si="311"/>
        <v>0</v>
      </c>
      <c r="AY507">
        <f t="shared" si="312"/>
        <v>0</v>
      </c>
    </row>
    <row r="508" spans="14:51" x14ac:dyDescent="0.25">
      <c r="N508" s="170">
        <v>90</v>
      </c>
      <c r="O508" s="199">
        <f t="shared" si="313"/>
        <v>794328.23472428333</v>
      </c>
      <c r="P508" s="189" t="str">
        <f t="shared" si="279"/>
        <v>18.0065359477124</v>
      </c>
      <c r="Q508" s="160" t="str">
        <f t="shared" si="280"/>
        <v>1+1565.77615482275i</v>
      </c>
      <c r="R508" s="160">
        <f t="shared" si="288"/>
        <v>1565.7764741531648</v>
      </c>
      <c r="S508" s="160">
        <f t="shared" si="289"/>
        <v>1.5701576659869916</v>
      </c>
      <c r="T508" s="160" t="str">
        <f t="shared" si="281"/>
        <v>1+1.99636459739901i</v>
      </c>
      <c r="U508" s="160">
        <f t="shared" si="290"/>
        <v>2.2328169664681679</v>
      </c>
      <c r="V508" s="160">
        <f t="shared" si="291"/>
        <v>1.106420578570698</v>
      </c>
      <c r="W508" s="98" t="str">
        <f t="shared" si="282"/>
        <v>1-28.2034887721189i</v>
      </c>
      <c r="X508" s="160">
        <f t="shared" si="292"/>
        <v>28.221211506932811</v>
      </c>
      <c r="Y508" s="160">
        <f t="shared" si="293"/>
        <v>-1.5353545675533371</v>
      </c>
      <c r="Z508" s="98" t="str">
        <f t="shared" si="283"/>
        <v>-6.63351040580956+8.43016487837805i</v>
      </c>
      <c r="AA508" s="160">
        <f t="shared" si="294"/>
        <v>10.727121709975258</v>
      </c>
      <c r="AB508" s="160">
        <f t="shared" si="295"/>
        <v>2.2374846140299969</v>
      </c>
      <c r="AC508" s="171" t="str">
        <f t="shared" si="296"/>
        <v>-0.0309434923373478+0.0600494479119424i</v>
      </c>
      <c r="AD508" s="190">
        <f t="shared" si="297"/>
        <v>-23.407080441842893</v>
      </c>
      <c r="AE508" s="169">
        <f t="shared" si="298"/>
        <v>117.26206020104053</v>
      </c>
      <c r="AF508" s="98" t="str">
        <f t="shared" si="284"/>
        <v>-0.0000816326530612245</v>
      </c>
      <c r="AG508" s="98" t="str">
        <f t="shared" si="285"/>
        <v>0.117286420097192i</v>
      </c>
      <c r="AH508" s="98">
        <f t="shared" si="299"/>
        <v>0.11728642009719201</v>
      </c>
      <c r="AI508" s="98">
        <f t="shared" si="300"/>
        <v>1.5707963267948966</v>
      </c>
      <c r="AJ508" s="98" t="str">
        <f t="shared" si="286"/>
        <v>1+35.7434214619417i</v>
      </c>
      <c r="AK508" s="98">
        <f t="shared" si="301"/>
        <v>35.757407313813935</v>
      </c>
      <c r="AL508" s="98">
        <f t="shared" si="302"/>
        <v>1.5428264466292752</v>
      </c>
      <c r="AM508" s="98" t="str">
        <f t="shared" si="287"/>
        <v>1+559.980269570422i</v>
      </c>
      <c r="AN508" s="98">
        <f t="shared" si="303"/>
        <v>559.98116245831204</v>
      </c>
      <c r="AO508" s="98">
        <f t="shared" si="304"/>
        <v>1.5690105514893327</v>
      </c>
      <c r="AP508" s="168" t="str">
        <f t="shared" si="305"/>
        <v>-0.000285372211824743+0.010896190364603i</v>
      </c>
      <c r="AQ508" s="98">
        <f t="shared" si="306"/>
        <v>-39.251528463127535</v>
      </c>
      <c r="AR508" s="169">
        <f t="shared" si="307"/>
        <v>91.500238698809284</v>
      </c>
      <c r="AS508" s="168" t="str">
        <f t="shared" si="308"/>
        <v>-0.000645479802887946-0.000354302626822862i</v>
      </c>
      <c r="AT508" s="190">
        <f t="shared" si="309"/>
        <v>-62.658608904970421</v>
      </c>
      <c r="AU508" s="169">
        <f t="shared" si="310"/>
        <v>-151.23770110015016</v>
      </c>
      <c r="AV508" s="225"/>
      <c r="AX508">
        <f t="shared" si="311"/>
        <v>0</v>
      </c>
      <c r="AY508">
        <f t="shared" si="312"/>
        <v>0</v>
      </c>
    </row>
    <row r="509" spans="14:51" x14ac:dyDescent="0.25">
      <c r="N509" s="170">
        <v>91</v>
      </c>
      <c r="O509" s="199">
        <f t="shared" si="313"/>
        <v>812830.51616410096</v>
      </c>
      <c r="P509" s="189" t="str">
        <f t="shared" si="279"/>
        <v>18.0065359477124</v>
      </c>
      <c r="Q509" s="160" t="str">
        <f t="shared" si="280"/>
        <v>1+1602.24776671043i</v>
      </c>
      <c r="R509" s="160">
        <f t="shared" si="288"/>
        <v>1602.2480787719987</v>
      </c>
      <c r="S509" s="160">
        <f t="shared" si="289"/>
        <v>1.570172203678027</v>
      </c>
      <c r="T509" s="160" t="str">
        <f t="shared" si="281"/>
        <v>1+2.04286590255579i</v>
      </c>
      <c r="U509" s="160">
        <f t="shared" si="290"/>
        <v>2.2744891944841337</v>
      </c>
      <c r="V509" s="160">
        <f t="shared" si="291"/>
        <v>1.1155771778749943</v>
      </c>
      <c r="W509" s="98" t="str">
        <f t="shared" si="282"/>
        <v>1-28.8604324183781i</v>
      </c>
      <c r="X509" s="160">
        <f t="shared" si="292"/>
        <v>28.877751979261987</v>
      </c>
      <c r="Y509" s="160">
        <f t="shared" si="293"/>
        <v>-1.5361606679372202</v>
      </c>
      <c r="Z509" s="98" t="str">
        <f t="shared" si="283"/>
        <v>-6.99326666776679+8.62652864381558i</v>
      </c>
      <c r="AA509" s="160">
        <f t="shared" si="294"/>
        <v>11.105078798868051</v>
      </c>
      <c r="AB509" s="160">
        <f t="shared" si="295"/>
        <v>2.252009496609146</v>
      </c>
      <c r="AC509" s="171" t="str">
        <f t="shared" si="296"/>
        <v>-0.0300810783130451+0.0592739128146828i</v>
      </c>
      <c r="AD509" s="190">
        <f t="shared" si="297"/>
        <v>-23.547479432933955</v>
      </c>
      <c r="AE509" s="169">
        <f t="shared" si="298"/>
        <v>116.90746112796002</v>
      </c>
      <c r="AF509" s="98" t="str">
        <f t="shared" si="284"/>
        <v>-0.0000816326530612245</v>
      </c>
      <c r="AG509" s="98" t="str">
        <f t="shared" si="285"/>
        <v>0.120018371775153i</v>
      </c>
      <c r="AH509" s="98">
        <f t="shared" si="299"/>
        <v>0.120018371775153</v>
      </c>
      <c r="AI509" s="98">
        <f t="shared" si="300"/>
        <v>1.5707963267948966</v>
      </c>
      <c r="AJ509" s="98" t="str">
        <f t="shared" si="286"/>
        <v>1+36.5759927021424i</v>
      </c>
      <c r="AK509" s="98">
        <f t="shared" si="301"/>
        <v>36.589660317460918</v>
      </c>
      <c r="AL509" s="98">
        <f t="shared" si="302"/>
        <v>1.5434627980745981</v>
      </c>
      <c r="AM509" s="98" t="str">
        <f t="shared" si="287"/>
        <v>1+573.0238856669i</v>
      </c>
      <c r="AN509" s="98">
        <f t="shared" si="303"/>
        <v>573.02475823021166</v>
      </c>
      <c r="AO509" s="98">
        <f t="shared" si="304"/>
        <v>1.5690512006145441</v>
      </c>
      <c r="AP509" s="168" t="str">
        <f t="shared" si="305"/>
        <v>-0.000272537940091275+0.0106485136842362i</v>
      </c>
      <c r="AQ509" s="98">
        <f t="shared" si="306"/>
        <v>-39.451376208821799</v>
      </c>
      <c r="AR509" s="169">
        <f t="shared" si="307"/>
        <v>91.466107470020745</v>
      </c>
      <c r="AS509" s="168" t="str">
        <f t="shared" si="308"/>
        <v>-0.000622980836606212-0.000336473164152705i</v>
      </c>
      <c r="AT509" s="190">
        <f t="shared" si="309"/>
        <v>-62.998855641755746</v>
      </c>
      <c r="AU509" s="169">
        <f t="shared" si="310"/>
        <v>-151.62643140201925</v>
      </c>
      <c r="AV509" s="225"/>
      <c r="AX509">
        <f t="shared" si="311"/>
        <v>0</v>
      </c>
      <c r="AY509">
        <f t="shared" si="312"/>
        <v>0</v>
      </c>
    </row>
    <row r="510" spans="14:51" x14ac:dyDescent="0.25">
      <c r="N510" s="170">
        <v>92</v>
      </c>
      <c r="O510" s="199">
        <f t="shared" si="313"/>
        <v>831763.77110267128</v>
      </c>
      <c r="P510" s="189" t="str">
        <f t="shared" si="279"/>
        <v>18.0065359477124</v>
      </c>
      <c r="Q510" s="160" t="str">
        <f t="shared" si="280"/>
        <v>1+1639.56891157226i</v>
      </c>
      <c r="R510" s="160">
        <f t="shared" si="288"/>
        <v>1639.5692165304417</v>
      </c>
      <c r="S510" s="160">
        <f t="shared" si="289"/>
        <v>1.5701864104510683</v>
      </c>
      <c r="T510" s="160" t="str">
        <f t="shared" si="281"/>
        <v>1+2.09045036225464i</v>
      </c>
      <c r="U510" s="160">
        <f t="shared" si="290"/>
        <v>2.317322316176702</v>
      </c>
      <c r="V510" s="160">
        <f t="shared" si="291"/>
        <v>1.1246053684983821</v>
      </c>
      <c r="W510" s="98" t="str">
        <f t="shared" si="282"/>
        <v>1-29.5326782479186i</v>
      </c>
      <c r="X510" s="160">
        <f t="shared" si="292"/>
        <v>29.54960379590705</v>
      </c>
      <c r="Y510" s="160">
        <f t="shared" si="293"/>
        <v>-1.5369484627507535</v>
      </c>
      <c r="Z510" s="98" t="str">
        <f t="shared" si="283"/>
        <v>-7.36997772000227+8.82746630892567i</v>
      </c>
      <c r="AA510" s="160">
        <f t="shared" si="294"/>
        <v>11.499597081139308</v>
      </c>
      <c r="AB510" s="160">
        <f t="shared" si="295"/>
        <v>2.2664535479371515</v>
      </c>
      <c r="AC510" s="171" t="str">
        <f t="shared" si="296"/>
        <v>-0.0292321603036039+0.0584996620168007i</v>
      </c>
      <c r="AD510" s="190">
        <f t="shared" si="297"/>
        <v>-23.688882022365291</v>
      </c>
      <c r="AE510" s="169">
        <f t="shared" si="298"/>
        <v>116.55120386108123</v>
      </c>
      <c r="AF510" s="98" t="str">
        <f t="shared" si="284"/>
        <v>-0.0000816326530612245</v>
      </c>
      <c r="AG510" s="98" t="str">
        <f t="shared" si="285"/>
        <v>0.12281395878246i</v>
      </c>
      <c r="AH510" s="98">
        <f t="shared" si="299"/>
        <v>0.12281395878246</v>
      </c>
      <c r="AI510" s="98">
        <f t="shared" si="300"/>
        <v>1.5707963267948966</v>
      </c>
      <c r="AJ510" s="98" t="str">
        <f t="shared" si="286"/>
        <v>1+37.4279570178143i</v>
      </c>
      <c r="AK510" s="98">
        <f t="shared" si="301"/>
        <v>37.441313632501668</v>
      </c>
      <c r="AL510" s="98">
        <f t="shared" si="302"/>
        <v>1.5440846857893509</v>
      </c>
      <c r="AM510" s="98" t="str">
        <f t="shared" si="287"/>
        <v>1+586.371326612425i</v>
      </c>
      <c r="AN510" s="98">
        <f t="shared" si="303"/>
        <v>586.37217931380007</v>
      </c>
      <c r="AO510" s="98">
        <f t="shared" si="304"/>
        <v>1.5690909244582727</v>
      </c>
      <c r="AP510" s="168" t="str">
        <f t="shared" si="305"/>
        <v>-0.000260280462213263+0.0104064514153359i</v>
      </c>
      <c r="AQ510" s="98">
        <f t="shared" si="306"/>
        <v>-39.651230802064902</v>
      </c>
      <c r="AR510" s="169">
        <f t="shared" si="307"/>
        <v>91.432751937226044</v>
      </c>
      <c r="AS510" s="168" t="str">
        <f t="shared" si="308"/>
        <v>-0.000601165330396093-0.000319429375033817i</v>
      </c>
      <c r="AT510" s="190">
        <f t="shared" si="309"/>
        <v>-63.340112824430193</v>
      </c>
      <c r="AU510" s="169">
        <f t="shared" si="310"/>
        <v>-152.01604420169272</v>
      </c>
      <c r="AV510" s="225"/>
      <c r="AX510">
        <f t="shared" si="311"/>
        <v>0</v>
      </c>
      <c r="AY510">
        <f t="shared" si="312"/>
        <v>0</v>
      </c>
    </row>
    <row r="511" spans="14:51" x14ac:dyDescent="0.25">
      <c r="N511" s="170">
        <v>93</v>
      </c>
      <c r="O511" s="199">
        <f t="shared" si="313"/>
        <v>851138.03820237669</v>
      </c>
      <c r="P511" s="189" t="str">
        <f t="shared" si="279"/>
        <v>18.0065359477124</v>
      </c>
      <c r="Q511" s="160" t="str">
        <f t="shared" si="280"/>
        <v>1+1677.75937757328i</v>
      </c>
      <c r="R511" s="160">
        <f t="shared" si="288"/>
        <v>1677.7596755897666</v>
      </c>
      <c r="S511" s="160">
        <f t="shared" si="289"/>
        <v>1.5702002938387118</v>
      </c>
      <c r="T511" s="160" t="str">
        <f t="shared" si="281"/>
        <v>1+2.13914320640593i</v>
      </c>
      <c r="U511" s="160">
        <f t="shared" si="290"/>
        <v>2.3613414953184226</v>
      </c>
      <c r="V511" s="160">
        <f t="shared" si="291"/>
        <v>1.1335040493508501</v>
      </c>
      <c r="W511" s="98" t="str">
        <f t="shared" si="282"/>
        <v>1-30.2205826943773i</v>
      </c>
      <c r="X511" s="160">
        <f t="shared" si="292"/>
        <v>30.237123183062515</v>
      </c>
      <c r="Y511" s="160">
        <f t="shared" si="293"/>
        <v>-1.5377183657795657</v>
      </c>
      <c r="Z511" s="98" t="str">
        <f t="shared" si="283"/>
        <v>-7.76444261716435+9.03308441351809i</v>
      </c>
      <c r="AA511" s="160">
        <f t="shared" si="294"/>
        <v>11.911472754323094</v>
      </c>
      <c r="AB511" s="160">
        <f t="shared" si="295"/>
        <v>2.2808120924317681</v>
      </c>
      <c r="AC511" s="171" t="str">
        <f t="shared" si="296"/>
        <v>-0.028396843811997+0.0577266161062918i</v>
      </c>
      <c r="AD511" s="190">
        <f t="shared" si="297"/>
        <v>-23.831315464885755</v>
      </c>
      <c r="AE511" s="169">
        <f t="shared" si="298"/>
        <v>116.19346906396653</v>
      </c>
      <c r="AF511" s="98" t="str">
        <f t="shared" si="284"/>
        <v>-0.0000816326530612245</v>
      </c>
      <c r="AG511" s="98" t="str">
        <f t="shared" si="285"/>
        <v>0.125674663376349i</v>
      </c>
      <c r="AH511" s="98">
        <f t="shared" si="299"/>
        <v>0.125674663376349</v>
      </c>
      <c r="AI511" s="98">
        <f t="shared" si="300"/>
        <v>1.5707963267948966</v>
      </c>
      <c r="AJ511" s="98" t="str">
        <f t="shared" si="286"/>
        <v>1+38.2997661317146i</v>
      </c>
      <c r="AK511" s="98">
        <f t="shared" si="301"/>
        <v>38.312818817518931</v>
      </c>
      <c r="AL511" s="98">
        <f t="shared" si="302"/>
        <v>1.5446924375814375</v>
      </c>
      <c r="AM511" s="98" t="str">
        <f t="shared" si="287"/>
        <v>1+600.029669396864i</v>
      </c>
      <c r="AN511" s="98">
        <f t="shared" si="303"/>
        <v>600.03050268841332</v>
      </c>
      <c r="AO511" s="98">
        <f t="shared" si="304"/>
        <v>1.5691297440821246</v>
      </c>
      <c r="AP511" s="168" t="str">
        <f t="shared" si="305"/>
        <v>-0.000248573892334334+0.0101698773175669i</v>
      </c>
      <c r="AQ511" s="98">
        <f t="shared" si="306"/>
        <v>-39.851091935108158</v>
      </c>
      <c r="AR511" s="169">
        <f t="shared" si="307"/>
        <v>91.400154525156978</v>
      </c>
      <c r="AS511" s="168" t="str">
        <f t="shared" si="308"/>
        <v>-0.000580013889762911-0.000303141747430949i</v>
      </c>
      <c r="AT511" s="190">
        <f t="shared" si="309"/>
        <v>-63.68240739999392</v>
      </c>
      <c r="AU511" s="169">
        <f t="shared" si="310"/>
        <v>-152.4063764108765</v>
      </c>
      <c r="AV511" s="225"/>
      <c r="AX511">
        <f t="shared" si="311"/>
        <v>0</v>
      </c>
      <c r="AY511">
        <f t="shared" si="312"/>
        <v>0</v>
      </c>
    </row>
    <row r="512" spans="14:51" x14ac:dyDescent="0.25">
      <c r="N512" s="170">
        <v>94</v>
      </c>
      <c r="O512" s="199">
        <f t="shared" si="313"/>
        <v>870963.58995608077</v>
      </c>
      <c r="P512" s="189" t="str">
        <f t="shared" si="279"/>
        <v>18.0065359477124</v>
      </c>
      <c r="Q512" s="160" t="str">
        <f t="shared" si="280"/>
        <v>1+1716.83941380406i</v>
      </c>
      <c r="R512" s="160">
        <f t="shared" si="288"/>
        <v>1716.8397050368646</v>
      </c>
      <c r="S512" s="160">
        <f t="shared" si="289"/>
        <v>1.5702138612020922</v>
      </c>
      <c r="T512" s="160" t="str">
        <f t="shared" si="281"/>
        <v>1+2.18897025260017i</v>
      </c>
      <c r="U512" s="160">
        <f t="shared" si="290"/>
        <v>2.4065724104560933</v>
      </c>
      <c r="V512" s="160">
        <f t="shared" si="291"/>
        <v>1.1422723003805952</v>
      </c>
      <c r="W512" s="98" t="str">
        <f t="shared" si="282"/>
        <v>1-30.9245104937974i</v>
      </c>
      <c r="X512" s="160">
        <f t="shared" si="292"/>
        <v>30.940674673978677</v>
      </c>
      <c r="Y512" s="160">
        <f t="shared" si="293"/>
        <v>-1.5384707815834628</v>
      </c>
      <c r="Z512" s="98" t="str">
        <f t="shared" si="283"/>
        <v>-8.17749807218672+9.24349197903356i</v>
      </c>
      <c r="AA512" s="160">
        <f t="shared" si="294"/>
        <v>12.341540369300557</v>
      </c>
      <c r="AB512" s="160">
        <f t="shared" si="295"/>
        <v>2.2950804869888022</v>
      </c>
      <c r="AC512" s="171" t="str">
        <f t="shared" si="296"/>
        <v>-0.0275752453506798+0.0569547246341821i</v>
      </c>
      <c r="AD512" s="190">
        <f t="shared" si="297"/>
        <v>-23.974804627693697</v>
      </c>
      <c r="AE512" s="169">
        <f t="shared" si="298"/>
        <v>115.83444645047379</v>
      </c>
      <c r="AF512" s="98" t="str">
        <f t="shared" si="284"/>
        <v>-0.0000816326530612245</v>
      </c>
      <c r="AG512" s="98" t="str">
        <f t="shared" si="285"/>
        <v>0.12860200234026i</v>
      </c>
      <c r="AH512" s="98">
        <f t="shared" si="299"/>
        <v>0.12860200234026001</v>
      </c>
      <c r="AI512" s="98">
        <f t="shared" si="300"/>
        <v>1.5707963267948966</v>
      </c>
      <c r="AJ512" s="98" t="str">
        <f t="shared" si="286"/>
        <v>1+39.1918822885753i</v>
      </c>
      <c r="AK512" s="98">
        <f t="shared" si="301"/>
        <v>39.204637956771677</v>
      </c>
      <c r="AL512" s="98">
        <f t="shared" si="302"/>
        <v>1.5452863738920297</v>
      </c>
      <c r="AM512" s="98" t="str">
        <f t="shared" si="287"/>
        <v>1+614.006155854348i</v>
      </c>
      <c r="AN512" s="98">
        <f t="shared" si="303"/>
        <v>614.00697017789116</v>
      </c>
      <c r="AO512" s="98">
        <f t="shared" si="304"/>
        <v>1.5691676800683096</v>
      </c>
      <c r="AP512" s="168" t="str">
        <f t="shared" si="305"/>
        <v>-0.000237393503139758+0.00993866792036637i</v>
      </c>
      <c r="AQ512" s="98">
        <f t="shared" si="306"/>
        <v>-40.050959314014818</v>
      </c>
      <c r="AR512" s="169">
        <f t="shared" si="307"/>
        <v>91.36829805316053</v>
      </c>
      <c r="AS512" s="168" t="str">
        <f t="shared" si="308"/>
        <v>-0.00055950791054131-0.000287581887964302i</v>
      </c>
      <c r="AT512" s="190">
        <f t="shared" si="309"/>
        <v>-64.025763941708519</v>
      </c>
      <c r="AU512" s="169">
        <f t="shared" si="310"/>
        <v>-152.79725549636569</v>
      </c>
      <c r="AV512" s="225"/>
      <c r="AX512">
        <f t="shared" si="311"/>
        <v>0</v>
      </c>
      <c r="AY512">
        <f t="shared" si="312"/>
        <v>0</v>
      </c>
    </row>
    <row r="513" spans="14:51" x14ac:dyDescent="0.25">
      <c r="N513" s="170">
        <v>95</v>
      </c>
      <c r="O513" s="199">
        <f t="shared" si="313"/>
        <v>891250.93813374708</v>
      </c>
      <c r="P513" s="189" t="str">
        <f t="shared" si="279"/>
        <v>18.0065359477124</v>
      </c>
      <c r="Q513" s="160" t="str">
        <f t="shared" si="280"/>
        <v>1+1756.82974101709i</v>
      </c>
      <c r="R513" s="160">
        <f t="shared" si="288"/>
        <v>1756.8300256206278</v>
      </c>
      <c r="S513" s="160">
        <f t="shared" si="289"/>
        <v>1.570227119734785</v>
      </c>
      <c r="T513" s="160" t="str">
        <f t="shared" si="281"/>
        <v>1+2.23995791979679i</v>
      </c>
      <c r="U513" s="160">
        <f t="shared" si="290"/>
        <v>2.4530412720662409</v>
      </c>
      <c r="V513" s="160">
        <f t="shared" si="291"/>
        <v>1.1509093766249796</v>
      </c>
      <c r="W513" s="98" t="str">
        <f t="shared" si="282"/>
        <v>1-31.6448348780155i</v>
      </c>
      <c r="X513" s="160">
        <f t="shared" si="292"/>
        <v>31.660631302247698</v>
      </c>
      <c r="Y513" s="160">
        <f t="shared" si="293"/>
        <v>-1.5392061056935968</v>
      </c>
      <c r="Z513" s="98" t="str">
        <f t="shared" si="283"/>
        <v>-8.61002023106883+9.45880056634842i</v>
      </c>
      <c r="AA513" s="160">
        <f t="shared" si="294"/>
        <v>12.790674592583761</v>
      </c>
      <c r="AB513" s="160">
        <f t="shared" si="295"/>
        <v>2.3092541362406367</v>
      </c>
      <c r="AC513" s="171" t="str">
        <f t="shared" si="296"/>
        <v>-0.0267674893473903+0.0561839659545956i</v>
      </c>
      <c r="AD513" s="190">
        <f t="shared" si="297"/>
        <v>-24.119371951769605</v>
      </c>
      <c r="AE513" s="169">
        <f t="shared" si="298"/>
        <v>115.47433355813004</v>
      </c>
      <c r="AF513" s="98" t="str">
        <f t="shared" si="284"/>
        <v>-0.0000816326530612245</v>
      </c>
      <c r="AG513" s="98" t="str">
        <f t="shared" si="285"/>
        <v>0.131597527788062i</v>
      </c>
      <c r="AH513" s="98">
        <f t="shared" si="299"/>
        <v>0.131597527788062</v>
      </c>
      <c r="AI513" s="98">
        <f t="shared" si="300"/>
        <v>1.5707963267948966</v>
      </c>
      <c r="AJ513" s="98" t="str">
        <f t="shared" si="286"/>
        <v>1+40.1047785001914i</v>
      </c>
      <c r="AK513" s="98">
        <f t="shared" si="301"/>
        <v>40.117243905201342</v>
      </c>
      <c r="AL513" s="98">
        <f t="shared" si="302"/>
        <v>1.5458668079569238</v>
      </c>
      <c r="AM513" s="98" t="str">
        <f t="shared" si="287"/>
        <v>1+628.308196503i</v>
      </c>
      <c r="AN513" s="98">
        <f t="shared" si="303"/>
        <v>628.30899229030024</v>
      </c>
      <c r="AO513" s="98">
        <f t="shared" si="304"/>
        <v>1.569204752530553</v>
      </c>
      <c r="AP513" s="168" t="str">
        <f t="shared" si="305"/>
        <v>-0.00022671567428534+0.00971270246679535i</v>
      </c>
      <c r="AQ513" s="98">
        <f t="shared" si="306"/>
        <v>-40.250832658042427</v>
      </c>
      <c r="AR513" s="169">
        <f t="shared" si="307"/>
        <v>91.337165726579201</v>
      </c>
      <c r="AS513" s="168" t="str">
        <f t="shared" si="308"/>
        <v>-0.000539629535325227-0.000272722445539737i</v>
      </c>
      <c r="AT513" s="190">
        <f t="shared" si="309"/>
        <v>-64.370204609812035</v>
      </c>
      <c r="AU513" s="169">
        <f t="shared" si="310"/>
        <v>-153.18850071529073</v>
      </c>
      <c r="AV513" s="225"/>
      <c r="AX513">
        <f t="shared" si="311"/>
        <v>0</v>
      </c>
      <c r="AY513">
        <f t="shared" si="312"/>
        <v>0</v>
      </c>
    </row>
    <row r="514" spans="14:51" x14ac:dyDescent="0.25">
      <c r="N514" s="170">
        <v>96</v>
      </c>
      <c r="O514" s="199">
        <f t="shared" si="313"/>
        <v>912010.83935591124</v>
      </c>
      <c r="P514" s="189" t="str">
        <f t="shared" si="279"/>
        <v>18.0065359477124</v>
      </c>
      <c r="Q514" s="160" t="str">
        <f t="shared" si="280"/>
        <v>1+1797.7515626132i</v>
      </c>
      <c r="R514" s="160">
        <f t="shared" si="288"/>
        <v>1797.7518407383714</v>
      </c>
      <c r="S514" s="160">
        <f t="shared" si="289"/>
        <v>1.5702400764666209</v>
      </c>
      <c r="T514" s="160" t="str">
        <f t="shared" si="281"/>
        <v>1+2.29213324233183i</v>
      </c>
      <c r="U514" s="160">
        <f t="shared" si="290"/>
        <v>2.5007748400451062</v>
      </c>
      <c r="V514" s="160">
        <f t="shared" si="291"/>
        <v>1.1594147019945054</v>
      </c>
      <c r="W514" s="98" t="str">
        <f t="shared" si="282"/>
        <v>1-32.3819377725549i</v>
      </c>
      <c r="X514" s="160">
        <f t="shared" si="292"/>
        <v>32.397374799597848</v>
      </c>
      <c r="Y514" s="160">
        <f t="shared" si="293"/>
        <v>-1.5399247248059982</v>
      </c>
      <c r="Z514" s="98" t="str">
        <f t="shared" si="283"/>
        <v>-9.0629265312989+9.67912433492556i</v>
      </c>
      <c r="AA514" s="160">
        <f t="shared" si="294"/>
        <v>13.259792049752123</v>
      </c>
      <c r="AB514" s="160">
        <f t="shared" si="295"/>
        <v>2.3233285074171652</v>
      </c>
      <c r="AC514" s="171" t="str">
        <f t="shared" si="296"/>
        <v>-0.0259737051571841+0.0554143468112554i</v>
      </c>
      <c r="AD514" s="190">
        <f t="shared" si="297"/>
        <v>-24.265037427961282</v>
      </c>
      <c r="AE514" s="169">
        <f t="shared" si="298"/>
        <v>115.11333452920533</v>
      </c>
      <c r="AF514" s="98" t="str">
        <f t="shared" si="284"/>
        <v>-0.0000816326530612245</v>
      </c>
      <c r="AG514" s="98" t="str">
        <f t="shared" si="285"/>
        <v>0.134662827986995i</v>
      </c>
      <c r="AH514" s="98">
        <f t="shared" si="299"/>
        <v>0.134662827986995</v>
      </c>
      <c r="AI514" s="98">
        <f t="shared" si="300"/>
        <v>1.5707963267948966</v>
      </c>
      <c r="AJ514" s="98" t="str">
        <f t="shared" si="286"/>
        <v>1+41.0389387962176i</v>
      </c>
      <c r="AK514" s="98">
        <f t="shared" si="301"/>
        <v>41.051120539148428</v>
      </c>
      <c r="AL514" s="98">
        <f t="shared" si="302"/>
        <v>1.5464340459646444</v>
      </c>
      <c r="AM514" s="98" t="str">
        <f t="shared" si="287"/>
        <v>1+642.943374474079i</v>
      </c>
      <c r="AN514" s="98">
        <f t="shared" si="303"/>
        <v>642.94415214707078</v>
      </c>
      <c r="AO514" s="98">
        <f t="shared" si="304"/>
        <v>1.5692409811247572</v>
      </c>
      <c r="AP514" s="168" t="str">
        <f t="shared" si="305"/>
        <v>-0.000216517843097246+0.00949186285821266i</v>
      </c>
      <c r="AQ514" s="98">
        <f t="shared" si="306"/>
        <v>-40.45071169905124</v>
      </c>
      <c r="AR514" s="169">
        <f t="shared" si="307"/>
        <v>91.306741128302988</v>
      </c>
      <c r="AS514" s="168" t="str">
        <f t="shared" si="308"/>
        <v>-0.000520361609691993-0.000258537042119858i</v>
      </c>
      <c r="AT514" s="190">
        <f t="shared" si="309"/>
        <v>-64.715749127012515</v>
      </c>
      <c r="AU514" s="169">
        <f t="shared" si="310"/>
        <v>-153.57992434249169</v>
      </c>
      <c r="AV514" s="225"/>
      <c r="AX514">
        <f t="shared" si="311"/>
        <v>0</v>
      </c>
      <c r="AY514">
        <f t="shared" si="312"/>
        <v>0</v>
      </c>
    </row>
    <row r="515" spans="14:51" x14ac:dyDescent="0.25">
      <c r="N515" s="170">
        <v>97</v>
      </c>
      <c r="O515" s="199">
        <f t="shared" si="313"/>
        <v>933254.30079699249</v>
      </c>
      <c r="P515" s="189" t="str">
        <f t="shared" si="279"/>
        <v>18.0065359477124</v>
      </c>
      <c r="Q515" s="160" t="str">
        <f t="shared" si="280"/>
        <v>1+1839.62657588387i</v>
      </c>
      <c r="R515" s="160">
        <f t="shared" si="288"/>
        <v>1839.6268476781402</v>
      </c>
      <c r="S515" s="160">
        <f t="shared" si="289"/>
        <v>1.5702527382674134</v>
      </c>
      <c r="T515" s="160" t="str">
        <f t="shared" si="281"/>
        <v>1+2.34552388425193i</v>
      </c>
      <c r="U515" s="160">
        <f t="shared" si="290"/>
        <v>2.5498004415240541</v>
      </c>
      <c r="V515" s="160">
        <f t="shared" si="291"/>
        <v>1.1677878628387708</v>
      </c>
      <c r="W515" s="98" t="str">
        <f t="shared" si="282"/>
        <v>1-33.1362099991269i</v>
      </c>
      <c r="X515" s="160">
        <f t="shared" si="292"/>
        <v>33.151295798297802</v>
      </c>
      <c r="Y515" s="160">
        <f t="shared" si="293"/>
        <v>-1.5406270169714977</v>
      </c>
      <c r="Z515" s="98" t="str">
        <f t="shared" si="283"/>
        <v>-9.5371776478619+9.90458010334344i</v>
      </c>
      <c r="AA515" s="160">
        <f t="shared" si="294"/>
        <v>13.749853254141421</v>
      </c>
      <c r="AB515" s="160">
        <f t="shared" si="295"/>
        <v>2.3372991447160851</v>
      </c>
      <c r="AC515" s="171" t="str">
        <f t="shared" si="296"/>
        <v>-0.0251940242014928+0.0546459016854537i</v>
      </c>
      <c r="AD515" s="190">
        <f t="shared" si="297"/>
        <v>-24.411818587374647</v>
      </c>
      <c r="AE515" s="169">
        <f t="shared" si="298"/>
        <v>114.75165890761507</v>
      </c>
      <c r="AF515" s="98" t="str">
        <f t="shared" si="284"/>
        <v>-0.0000816326530612245</v>
      </c>
      <c r="AG515" s="98" t="str">
        <f t="shared" si="285"/>
        <v>0.137799528199801i</v>
      </c>
      <c r="AH515" s="98">
        <f t="shared" si="299"/>
        <v>0.13779952819980101</v>
      </c>
      <c r="AI515" s="98">
        <f t="shared" si="300"/>
        <v>1.5707963267948966</v>
      </c>
      <c r="AJ515" s="98" t="str">
        <f t="shared" si="286"/>
        <v>1+41.9948584808083i</v>
      </c>
      <c r="AK515" s="98">
        <f t="shared" si="301"/>
        <v>42.006763012913964</v>
      </c>
      <c r="AL515" s="98">
        <f t="shared" si="302"/>
        <v>1.5469883872113439</v>
      </c>
      <c r="AM515" s="98" t="str">
        <f t="shared" si="287"/>
        <v>1+657.919449532666i</v>
      </c>
      <c r="AN515" s="98">
        <f t="shared" si="303"/>
        <v>657.92020950367998</v>
      </c>
      <c r="AO515" s="98">
        <f t="shared" si="304"/>
        <v>1.5692763850594214</v>
      </c>
      <c r="AP515" s="168" t="str">
        <f t="shared" si="305"/>
        <v>-0.000206778457444927+0.00927603359977878i</v>
      </c>
      <c r="AQ515" s="98">
        <f t="shared" si="306"/>
        <v>-40.650596180940781</v>
      </c>
      <c r="AR515" s="169">
        <f t="shared" si="307"/>
        <v>91.277008210491488</v>
      </c>
      <c r="AS515" s="168" t="str">
        <f t="shared" si="308"/>
        <v>-0.000501687638663262-0.000245000210262892i</v>
      </c>
      <c r="AT515" s="190">
        <f t="shared" si="309"/>
        <v>-65.062414768315421</v>
      </c>
      <c r="AU515" s="169">
        <f t="shared" si="310"/>
        <v>-153.97133288189349</v>
      </c>
      <c r="AV515" s="225"/>
      <c r="AX515">
        <f t="shared" si="311"/>
        <v>0</v>
      </c>
      <c r="AY515">
        <f t="shared" si="312"/>
        <v>0</v>
      </c>
    </row>
    <row r="516" spans="14:51" x14ac:dyDescent="0.25">
      <c r="N516" s="170">
        <v>98</v>
      </c>
      <c r="O516" s="199">
        <f t="shared" si="313"/>
        <v>954992.58602143743</v>
      </c>
      <c r="P516" s="189" t="str">
        <f t="shared" si="279"/>
        <v>18.0065359477124</v>
      </c>
      <c r="Q516" s="160" t="str">
        <f t="shared" si="280"/>
        <v>1+1882.4769835154i</v>
      </c>
      <c r="R516" s="160">
        <f t="shared" si="288"/>
        <v>1882.4772491228782</v>
      </c>
      <c r="S516" s="160">
        <f t="shared" si="289"/>
        <v>1.5702651118506006</v>
      </c>
      <c r="T516" s="160" t="str">
        <f t="shared" si="281"/>
        <v>1+2.40015815398213i</v>
      </c>
      <c r="U516" s="160">
        <f t="shared" si="290"/>
        <v>2.6001459890027143</v>
      </c>
      <c r="V516" s="160">
        <f t="shared" si="291"/>
        <v>1.1760286013410459</v>
      </c>
      <c r="W516" s="98" t="str">
        <f t="shared" si="282"/>
        <v>1-33.90805148285i</v>
      </c>
      <c r="X516" s="160">
        <f t="shared" si="292"/>
        <v>33.922794038280607</v>
      </c>
      <c r="Y516" s="160">
        <f t="shared" si="293"/>
        <v>-1.5413133517820685</v>
      </c>
      <c r="Z516" s="98" t="str">
        <f t="shared" si="283"/>
        <v>-10.03377953096+10.1352874112347i</v>
      </c>
      <c r="AA516" s="160">
        <f t="shared" si="294"/>
        <v>14.261864625084774</v>
      </c>
      <c r="AB516" s="160">
        <f t="shared" si="295"/>
        <v>2.3511616830958064</v>
      </c>
      <c r="AC516" s="171" t="str">
        <f t="shared" si="296"/>
        <v>-0.0244285772531112+0.0538786919225262i</v>
      </c>
      <c r="AD516" s="190">
        <f t="shared" si="297"/>
        <v>-24.559730505510217</v>
      </c>
      <c r="AE516" s="169">
        <f t="shared" si="298"/>
        <v>114.38952045929763</v>
      </c>
      <c r="AF516" s="98" t="str">
        <f t="shared" si="284"/>
        <v>-0.0000816326530612245</v>
      </c>
      <c r="AG516" s="98" t="str">
        <f t="shared" si="285"/>
        <v>0.14100929154645i</v>
      </c>
      <c r="AH516" s="98">
        <f t="shared" si="299"/>
        <v>0.14100929154645001</v>
      </c>
      <c r="AI516" s="98">
        <f t="shared" si="300"/>
        <v>1.5707963267948966</v>
      </c>
      <c r="AJ516" s="98" t="str">
        <f t="shared" si="286"/>
        <v>1+42.9730443952331i</v>
      </c>
      <c r="AK516" s="98">
        <f t="shared" si="301"/>
        <v>42.984678021298187</v>
      </c>
      <c r="AL516" s="98">
        <f t="shared" si="302"/>
        <v>1.5475301242525412</v>
      </c>
      <c r="AM516" s="98" t="str">
        <f t="shared" si="287"/>
        <v>1+673.244362191988i</v>
      </c>
      <c r="AN516" s="98">
        <f t="shared" si="303"/>
        <v>673.245104863969</v>
      </c>
      <c r="AO516" s="98">
        <f t="shared" si="304"/>
        <v>1.5693109831058254</v>
      </c>
      <c r="AP516" s="168" t="str">
        <f t="shared" si="305"/>
        <v>-0.000197476930693392+0.00906510174680335i</v>
      </c>
      <c r="AQ516" s="98">
        <f t="shared" si="306"/>
        <v>-40.850485859109796</v>
      </c>
      <c r="AR516" s="169">
        <f t="shared" si="307"/>
        <v>91.247951286463334</v>
      </c>
      <c r="AS516" s="168" t="str">
        <f t="shared" si="308"/>
        <v>-0.000483591743805221-0.000232087337039734i</v>
      </c>
      <c r="AT516" s="190">
        <f t="shared" si="309"/>
        <v>-65.410216364620027</v>
      </c>
      <c r="AU516" s="169">
        <f t="shared" si="310"/>
        <v>-154.36252825423904</v>
      </c>
      <c r="AV516" s="225"/>
      <c r="AX516">
        <f t="shared" si="311"/>
        <v>0</v>
      </c>
      <c r="AY516">
        <f t="shared" si="312"/>
        <v>0</v>
      </c>
    </row>
    <row r="517" spans="14:51" x14ac:dyDescent="0.25">
      <c r="N517" s="170">
        <v>99</v>
      </c>
      <c r="O517" s="199">
        <f t="shared" si="313"/>
        <v>977237.22095581202</v>
      </c>
      <c r="P517" s="189" t="str">
        <f t="shared" si="279"/>
        <v>18.0065359477124</v>
      </c>
      <c r="Q517" s="160" t="str">
        <f t="shared" si="280"/>
        <v>1+1926.32550536112i</v>
      </c>
      <c r="R517" s="160">
        <f t="shared" si="288"/>
        <v>1926.325764922635</v>
      </c>
      <c r="S517" s="160">
        <f t="shared" si="289"/>
        <v>1.5702772037768047</v>
      </c>
      <c r="T517" s="160" t="str">
        <f t="shared" si="281"/>
        <v>1+2.45606501933543i</v>
      </c>
      <c r="U517" s="160">
        <f t="shared" si="290"/>
        <v>2.6518399987938839</v>
      </c>
      <c r="V517" s="160">
        <f t="shared" si="291"/>
        <v>1.1841368087855924</v>
      </c>
      <c r="W517" s="98" t="str">
        <f t="shared" si="282"/>
        <v>1-34.6978714642954i</v>
      </c>
      <c r="X517" s="160">
        <f t="shared" si="292"/>
        <v>34.712278579095972</v>
      </c>
      <c r="Y517" s="160">
        <f t="shared" si="293"/>
        <v>-1.5419840905536177</v>
      </c>
      <c r="Z517" s="98" t="str">
        <f t="shared" si="283"/>
        <v>-10.5537855397679+10.3713685826678i</v>
      </c>
      <c r="AA517" s="160">
        <f t="shared" si="294"/>
        <v>14.796880600213097</v>
      </c>
      <c r="AB517" s="160">
        <f t="shared" si="295"/>
        <v>2.3649118614113154</v>
      </c>
      <c r="AC517" s="171" t="str">
        <f t="shared" si="296"/>
        <v>-0.0236774918838607+0.0531128046555293i</v>
      </c>
      <c r="AD517" s="190">
        <f t="shared" si="297"/>
        <v>-24.708785819494977</v>
      </c>
      <c r="AE517" s="169">
        <f t="shared" si="298"/>
        <v>114.02713602315238</v>
      </c>
      <c r="AF517" s="98" t="str">
        <f t="shared" si="284"/>
        <v>-0.0000816326530612245</v>
      </c>
      <c r="AG517" s="98" t="str">
        <f t="shared" si="285"/>
        <v>0.144293819885956i</v>
      </c>
      <c r="AH517" s="98">
        <f t="shared" si="299"/>
        <v>0.14429381988595599</v>
      </c>
      <c r="AI517" s="98">
        <f t="shared" si="300"/>
        <v>1.5707963267948966</v>
      </c>
      <c r="AJ517" s="98" t="str">
        <f t="shared" si="286"/>
        <v>1+43.9740151866118i</v>
      </c>
      <c r="AK517" s="98">
        <f t="shared" si="301"/>
        <v>43.985384068260281</v>
      </c>
      <c r="AL517" s="98">
        <f t="shared" si="302"/>
        <v>1.5480595430517499</v>
      </c>
      <c r="AM517" s="98" t="str">
        <f t="shared" si="287"/>
        <v>1+688.926237923588i</v>
      </c>
      <c r="AN517" s="98">
        <f t="shared" si="303"/>
        <v>688.92696369030875</v>
      </c>
      <c r="AO517" s="98">
        <f t="shared" si="304"/>
        <v>1.5693447936079801</v>
      </c>
      <c r="AP517" s="168" t="str">
        <f t="shared" si="305"/>
        <v>-0.000188593598644825+0.00885895685193968i</v>
      </c>
      <c r="AQ517" s="98">
        <f t="shared" si="306"/>
        <v>-41.050380499941596</v>
      </c>
      <c r="AR517" s="169">
        <f t="shared" si="307"/>
        <v>91.219555022750484</v>
      </c>
      <c r="AS517" s="168" t="str">
        <f t="shared" si="308"/>
        <v>-0.000466058621327574-0.00021977461392538i</v>
      </c>
      <c r="AT517" s="190">
        <f t="shared" si="309"/>
        <v>-65.759166319436574</v>
      </c>
      <c r="AU517" s="169">
        <f t="shared" si="310"/>
        <v>-154.75330895409712</v>
      </c>
      <c r="AV517" s="225"/>
      <c r="AX517">
        <f t="shared" si="311"/>
        <v>0</v>
      </c>
      <c r="AY517">
        <f t="shared" si="312"/>
        <v>0</v>
      </c>
    </row>
    <row r="518" spans="14:51" x14ac:dyDescent="0.25">
      <c r="N518" s="170">
        <v>100</v>
      </c>
      <c r="O518" s="199">
        <f t="shared" si="313"/>
        <v>1000000</v>
      </c>
      <c r="P518" s="189" t="str">
        <f t="shared" si="279"/>
        <v>18.0065359477124</v>
      </c>
      <c r="Q518" s="160" t="str">
        <f t="shared" si="280"/>
        <v>1+1971.19539048771i</v>
      </c>
      <c r="R518" s="160">
        <f t="shared" si="288"/>
        <v>1971.1956441408843</v>
      </c>
      <c r="S518" s="160">
        <f t="shared" si="289"/>
        <v>1.5702890204573112</v>
      </c>
      <c r="T518" s="160" t="str">
        <f t="shared" si="281"/>
        <v>1+2.51327412287184i</v>
      </c>
      <c r="U518" s="160">
        <f t="shared" si="290"/>
        <v>2.7049116097753019</v>
      </c>
      <c r="V518" s="160">
        <f t="shared" si="291"/>
        <v>1.1921125187390877</v>
      </c>
      <c r="W518" s="98" t="str">
        <f t="shared" si="282"/>
        <v>1-35.5060887164718i</v>
      </c>
      <c r="X518" s="160">
        <f t="shared" si="292"/>
        <v>35.520168016803723</v>
      </c>
      <c r="Y518" s="160">
        <f t="shared" si="293"/>
        <v>-1.5426395865052667</v>
      </c>
      <c r="Z518" s="98" t="str">
        <f t="shared" si="283"/>
        <v>-11.0982986767486+10.6129487910048i</v>
      </c>
      <c r="AA518" s="160">
        <f t="shared" si="294"/>
        <v>15.356005846534769</v>
      </c>
      <c r="AB518" s="160">
        <f t="shared" si="295"/>
        <v>2.378545534821261</v>
      </c>
      <c r="AC518" s="171" t="str">
        <f t="shared" si="296"/>
        <v>-0.022940890089388+0.0523483515462473i</v>
      </c>
      <c r="AD518" s="190">
        <f t="shared" si="297"/>
        <v>-24.858994757670871</v>
      </c>
      <c r="AE518" s="169">
        <f t="shared" si="298"/>
        <v>113.66472439902019</v>
      </c>
      <c r="AF518" s="98" t="str">
        <f t="shared" si="284"/>
        <v>-0.0000816326530612245</v>
      </c>
      <c r="AG518" s="98" t="str">
        <f t="shared" si="285"/>
        <v>0.14765485471872i</v>
      </c>
      <c r="AH518" s="98">
        <f t="shared" si="299"/>
        <v>0.14765485471872</v>
      </c>
      <c r="AI518" s="98">
        <f t="shared" si="300"/>
        <v>1.5707963267948966</v>
      </c>
      <c r="AJ518" s="98" t="str">
        <f t="shared" si="286"/>
        <v>1+44.9983015829073i</v>
      </c>
      <c r="AK518" s="98">
        <f t="shared" si="301"/>
        <v>45.009411741837695</v>
      </c>
      <c r="AL518" s="98">
        <f t="shared" si="302"/>
        <v>1.5485769231260422</v>
      </c>
      <c r="AM518" s="98" t="str">
        <f t="shared" si="287"/>
        <v>1+704.97339146555i</v>
      </c>
      <c r="AN518" s="98">
        <f t="shared" si="303"/>
        <v>704.97410071182014</v>
      </c>
      <c r="AO518" s="98">
        <f t="shared" si="304"/>
        <v>1.5693778344923515</v>
      </c>
      <c r="AP518" s="168" t="str">
        <f t="shared" si="305"/>
        <v>-0.000180109678383432+0.00865749091323429i</v>
      </c>
      <c r="AQ518" s="98">
        <f t="shared" si="306"/>
        <v>-41.250279880311453</v>
      </c>
      <c r="AR518" s="169">
        <f t="shared" si="307"/>
        <v>91.191804431315205</v>
      </c>
      <c r="AS518" s="168" t="str">
        <f t="shared" si="308"/>
        <v>-0.000449073501498601-0.000208038992251281i</v>
      </c>
      <c r="AT518" s="190">
        <f t="shared" si="309"/>
        <v>-66.10927463798231</v>
      </c>
      <c r="AU518" s="169">
        <f t="shared" si="310"/>
        <v>-155.14347116966456</v>
      </c>
      <c r="AV518" s="225"/>
      <c r="AX518">
        <f t="shared" si="311"/>
        <v>0</v>
      </c>
      <c r="AY518">
        <f t="shared" si="312"/>
        <v>0</v>
      </c>
    </row>
    <row r="519" spans="14:51" x14ac:dyDescent="0.25">
      <c r="N519" s="170">
        <v>1</v>
      </c>
      <c r="O519" s="199">
        <f>10^(6+(N519/100))</f>
        <v>1023292.9922807553</v>
      </c>
      <c r="P519" s="189" t="str">
        <f t="shared" si="279"/>
        <v>18.0065359477124</v>
      </c>
      <c r="Q519" s="160" t="str">
        <f t="shared" si="280"/>
        <v>1+2017.11042950221i</v>
      </c>
      <c r="R519" s="160">
        <f t="shared" si="288"/>
        <v>2017.1106773815336</v>
      </c>
      <c r="S519" s="160">
        <f t="shared" si="289"/>
        <v>1.5703005681574673</v>
      </c>
      <c r="T519" s="160" t="str">
        <f t="shared" si="281"/>
        <v>1+2.57181579761531i</v>
      </c>
      <c r="U519" s="160">
        <f t="shared" si="290"/>
        <v>2.7593906024453436</v>
      </c>
      <c r="V519" s="160">
        <f t="shared" si="291"/>
        <v>1.1999559001847586</v>
      </c>
      <c r="W519" s="98" t="str">
        <f t="shared" si="282"/>
        <v>1-36.3331317668644i</v>
      </c>
      <c r="X519" s="160">
        <f t="shared" si="292"/>
        <v>36.346890705923265</v>
      </c>
      <c r="Y519" s="160">
        <f t="shared" si="293"/>
        <v>-1.5432801849351547</v>
      </c>
      <c r="Z519" s="98" t="str">
        <f t="shared" si="283"/>
        <v>-11.6684739272699+10.8601561252697i</v>
      </c>
      <c r="AA519" s="160">
        <f t="shared" si="294"/>
        <v>15.94039757523665</v>
      </c>
      <c r="AB519" s="160">
        <f t="shared" si="295"/>
        <v>2.3920586864030287</v>
      </c>
      <c r="AC519" s="171" t="str">
        <f t="shared" si="296"/>
        <v>-0.0222188861031075+0.0515854673647288i</v>
      </c>
      <c r="AD519" s="190">
        <f t="shared" si="297"/>
        <v>-25.01036518073257</v>
      </c>
      <c r="AE519" s="169">
        <f t="shared" si="298"/>
        <v>113.30250527853518</v>
      </c>
      <c r="AF519" s="98" t="str">
        <f t="shared" si="284"/>
        <v>-0.0000816326530612245</v>
      </c>
      <c r="AG519" s="98" t="str">
        <f t="shared" si="285"/>
        <v>0.151094178109899i</v>
      </c>
      <c r="AH519" s="98">
        <f t="shared" si="299"/>
        <v>0.151094178109899</v>
      </c>
      <c r="AI519" s="98">
        <f t="shared" si="300"/>
        <v>1.5707963267948966</v>
      </c>
      <c r="AJ519" s="98" t="str">
        <f t="shared" si="286"/>
        <v>1+46.046446674325i</v>
      </c>
      <c r="AK519" s="98">
        <f t="shared" si="301"/>
        <v>46.057303995473461</v>
      </c>
      <c r="AL519" s="98">
        <f t="shared" si="302"/>
        <v>1.5490825376885999</v>
      </c>
      <c r="AM519" s="98" t="str">
        <f t="shared" si="287"/>
        <v>1+721.394331231095i</v>
      </c>
      <c r="AN519" s="98">
        <f t="shared" si="303"/>
        <v>721.39502433296479</v>
      </c>
      <c r="AO519" s="98">
        <f t="shared" si="304"/>
        <v>1.5694101232773652</v>
      </c>
      <c r="AP519" s="168" t="str">
        <f t="shared" si="305"/>
        <v>-0.000172007228940842+0.00846059832303339i</v>
      </c>
      <c r="AQ519" s="98">
        <f t="shared" si="306"/>
        <v>-41.450183787116579</v>
      </c>
      <c r="AR519" s="169">
        <f t="shared" si="307"/>
        <v>91.164684861927171</v>
      </c>
      <c r="AS519" s="168" t="str">
        <f t="shared" si="308"/>
        <v>-0.00043262210965017-0.000196858143798646i</v>
      </c>
      <c r="AT519" s="190">
        <f t="shared" si="309"/>
        <v>-66.460548967849164</v>
      </c>
      <c r="AU519" s="169">
        <f t="shared" si="310"/>
        <v>-155.53280985953765</v>
      </c>
      <c r="AV519" s="225"/>
      <c r="AX519">
        <f t="shared" si="311"/>
        <v>0</v>
      </c>
      <c r="AY519">
        <f t="shared" si="312"/>
        <v>0</v>
      </c>
    </row>
    <row r="520" spans="14:51" x14ac:dyDescent="0.25">
      <c r="N520" s="170">
        <v>2</v>
      </c>
      <c r="O520" s="199">
        <f t="shared" ref="O520:O560" si="314">10^(6+(N520/100))</f>
        <v>1047128.5480509007</v>
      </c>
      <c r="P520" s="189" t="str">
        <f t="shared" si="279"/>
        <v>18.0065359477124</v>
      </c>
      <c r="Q520" s="160" t="str">
        <f t="shared" si="280"/>
        <v>1+2064.09496716603i</v>
      </c>
      <c r="R520" s="160">
        <f t="shared" si="288"/>
        <v>2064.0952094029321</v>
      </c>
      <c r="S520" s="160">
        <f t="shared" si="289"/>
        <v>1.570311853000004</v>
      </c>
      <c r="T520" s="160" t="str">
        <f t="shared" si="281"/>
        <v>1+2.63172108313668i</v>
      </c>
      <c r="U520" s="160">
        <f t="shared" si="290"/>
        <v>2.8153074182806574</v>
      </c>
      <c r="V520" s="160">
        <f t="shared" si="291"/>
        <v>1.2076672506448594</v>
      </c>
      <c r="W520" s="98" t="str">
        <f t="shared" si="282"/>
        <v>1-37.1794391246456i</v>
      </c>
      <c r="X520" s="160">
        <f t="shared" si="292"/>
        <v>37.192884986556606</v>
      </c>
      <c r="Y520" s="160">
        <f t="shared" si="293"/>
        <v>-1.5439062233928045</v>
      </c>
      <c r="Z520" s="98" t="str">
        <f t="shared" si="283"/>
        <v>-12.2655207094828+11.1131216580634i</v>
      </c>
      <c r="AA520" s="160">
        <f t="shared" si="294"/>
        <v>16.551267965375622</v>
      </c>
      <c r="AB520" s="160">
        <f t="shared" si="295"/>
        <v>2.4054474379213659</v>
      </c>
      <c r="AC520" s="171" t="str">
        <f t="shared" si="296"/>
        <v>-0.0215115844087986+0.0508243084293354i</v>
      </c>
      <c r="AD520" s="190">
        <f t="shared" si="297"/>
        <v>-25.162902633544771</v>
      </c>
      <c r="AE520" s="169">
        <f t="shared" si="298"/>
        <v>112.94069822400913</v>
      </c>
      <c r="AF520" s="98" t="str">
        <f t="shared" si="284"/>
        <v>-0.0000816326530612245</v>
      </c>
      <c r="AG520" s="98" t="str">
        <f t="shared" si="285"/>
        <v>0.15461361363428i</v>
      </c>
      <c r="AH520" s="98">
        <f t="shared" si="299"/>
        <v>0.15461361363428</v>
      </c>
      <c r="AI520" s="98">
        <f t="shared" si="300"/>
        <v>1.5707963267948966</v>
      </c>
      <c r="AJ520" s="98" t="str">
        <f t="shared" si="286"/>
        <v>1+47.1190062012662i</v>
      </c>
      <c r="AK520" s="98">
        <f t="shared" si="301"/>
        <v>47.129616435899017</v>
      </c>
      <c r="AL520" s="98">
        <f t="shared" si="302"/>
        <v>1.5495766537882969</v>
      </c>
      <c r="AM520" s="98" t="str">
        <f t="shared" si="287"/>
        <v>1+738.19776381984i</v>
      </c>
      <c r="AN520" s="98">
        <f t="shared" si="303"/>
        <v>738.19844114479963</v>
      </c>
      <c r="AO520" s="98">
        <f t="shared" si="304"/>
        <v>1.5694416770826929</v>
      </c>
      <c r="AP520" s="168" t="str">
        <f t="shared" si="305"/>
        <v>-0.000164269113702927+0.00826817581774906i</v>
      </c>
      <c r="AQ520" s="98">
        <f t="shared" si="306"/>
        <v>-41.650092016826889</v>
      </c>
      <c r="AR520" s="169">
        <f t="shared" si="307"/>
        <v>91.138181994697945</v>
      </c>
      <c r="AS520" s="168" t="str">
        <f t="shared" si="308"/>
        <v>-0.000416690629004072-0.000186210426110547i</v>
      </c>
      <c r="AT520" s="190">
        <f t="shared" si="309"/>
        <v>-66.81299465037165</v>
      </c>
      <c r="AU520" s="169">
        <f t="shared" si="310"/>
        <v>-155.92111978129299</v>
      </c>
      <c r="AV520" s="225"/>
      <c r="AX520">
        <f t="shared" si="311"/>
        <v>0</v>
      </c>
      <c r="AY520">
        <f t="shared" si="312"/>
        <v>0</v>
      </c>
    </row>
    <row r="521" spans="14:51" x14ac:dyDescent="0.25">
      <c r="N521" s="170">
        <v>3</v>
      </c>
      <c r="O521" s="199">
        <f t="shared" si="314"/>
        <v>1071519.3052376076</v>
      </c>
      <c r="P521" s="189" t="str">
        <f t="shared" si="279"/>
        <v>18.0065359477124</v>
      </c>
      <c r="Q521" s="160" t="str">
        <f t="shared" si="280"/>
        <v>1+2112.17391530297i</v>
      </c>
      <c r="R521" s="160">
        <f t="shared" si="288"/>
        <v>2112.1741520258875</v>
      </c>
      <c r="S521" s="160">
        <f t="shared" si="289"/>
        <v>1.5703228809682828</v>
      </c>
      <c r="T521" s="160" t="str">
        <f t="shared" si="281"/>
        <v>1+2.69302174201128i</v>
      </c>
      <c r="U521" s="160">
        <f t="shared" si="290"/>
        <v>2.8726931793955073</v>
      </c>
      <c r="V521" s="160">
        <f t="shared" si="291"/>
        <v>1.2152469893242508</v>
      </c>
      <c r="W521" s="98" t="str">
        <f t="shared" si="282"/>
        <v>1-38.0454595131787i</v>
      </c>
      <c r="X521" s="160">
        <f t="shared" si="292"/>
        <v>38.058599416806182</v>
      </c>
      <c r="Y521" s="160">
        <f t="shared" si="293"/>
        <v>-1.5445180318480918</v>
      </c>
      <c r="Z521" s="98" t="str">
        <f t="shared" si="283"/>
        <v>-12.8907054396598+11.3719795150597i</v>
      </c>
      <c r="AA521" s="160">
        <f t="shared" si="294"/>
        <v>17.189886701866659</v>
      </c>
      <c r="AB521" s="160">
        <f t="shared" si="295"/>
        <v>2.4187080597056037</v>
      </c>
      <c r="AC521" s="171" t="str">
        <f t="shared" si="296"/>
        <v>-0.0208190779587969+0.0500650509297174i</v>
      </c>
      <c r="AD521" s="190">
        <f t="shared" si="297"/>
        <v>-25.316610406725502</v>
      </c>
      <c r="AE521" s="169">
        <f t="shared" si="298"/>
        <v>112.5795216997969</v>
      </c>
      <c r="AF521" s="98" t="str">
        <f t="shared" si="284"/>
        <v>-0.0000816326530612245</v>
      </c>
      <c r="AG521" s="98" t="str">
        <f t="shared" si="285"/>
        <v>0.158215027343163i</v>
      </c>
      <c r="AH521" s="98">
        <f t="shared" si="299"/>
        <v>0.15821502734316301</v>
      </c>
      <c r="AI521" s="98">
        <f t="shared" si="300"/>
        <v>1.5707963267948966</v>
      </c>
      <c r="AJ521" s="98" t="str">
        <f t="shared" si="286"/>
        <v>1+48.2165488489891i</v>
      </c>
      <c r="AK521" s="98">
        <f t="shared" si="301"/>
        <v>48.226917617726222</v>
      </c>
      <c r="AL521" s="98">
        <f t="shared" si="302"/>
        <v>1.5500595324463657</v>
      </c>
      <c r="AM521" s="98" t="str">
        <f t="shared" si="287"/>
        <v>1+755.392598634165i</v>
      </c>
      <c r="AN521" s="98">
        <f t="shared" si="303"/>
        <v>755.39326054133994</v>
      </c>
      <c r="AO521" s="98">
        <f t="shared" si="304"/>
        <v>1.5694725126383287</v>
      </c>
      <c r="AP521" s="168" t="str">
        <f t="shared" si="305"/>
        <v>-0.000156878964482206+0.00808012242848575i</v>
      </c>
      <c r="AQ521" s="98">
        <f t="shared" si="306"/>
        <v>-41.850004375055548</v>
      </c>
      <c r="AR521" s="169">
        <f t="shared" si="307"/>
        <v>91.112281832770535</v>
      </c>
      <c r="AS521" s="168" t="str">
        <f t="shared" si="308"/>
        <v>-0.000401265665508841-0.000176074852101871i</v>
      </c>
      <c r="AT521" s="190">
        <f t="shared" si="309"/>
        <v>-67.16661478178105</v>
      </c>
      <c r="AU521" s="169">
        <f t="shared" si="310"/>
        <v>-156.30819646743262</v>
      </c>
      <c r="AV521" s="225"/>
      <c r="AX521">
        <f t="shared" si="311"/>
        <v>0</v>
      </c>
      <c r="AY521">
        <f t="shared" si="312"/>
        <v>0</v>
      </c>
    </row>
    <row r="522" spans="14:51" x14ac:dyDescent="0.25">
      <c r="N522" s="170">
        <v>4</v>
      </c>
      <c r="O522" s="199">
        <f t="shared" si="314"/>
        <v>1096478.196143186</v>
      </c>
      <c r="P522" s="189" t="str">
        <f t="shared" si="279"/>
        <v>18.0065359477124</v>
      </c>
      <c r="Q522" s="160" t="str">
        <f t="shared" si="280"/>
        <v>1+2161.37276600773i</v>
      </c>
      <c r="R522" s="160">
        <f t="shared" si="288"/>
        <v>2161.3729973421769</v>
      </c>
      <c r="S522" s="160">
        <f t="shared" si="289"/>
        <v>1.5703336579094673</v>
      </c>
      <c r="T522" s="160" t="str">
        <f t="shared" si="281"/>
        <v>1+2.75575027665986i</v>
      </c>
      <c r="U522" s="160">
        <f t="shared" si="290"/>
        <v>2.9315797085037434</v>
      </c>
      <c r="V522" s="160">
        <f t="shared" si="291"/>
        <v>1.222695650304878</v>
      </c>
      <c r="W522" s="98" t="str">
        <f t="shared" si="282"/>
        <v>1-38.9316521079369i</v>
      </c>
      <c r="X522" s="160">
        <f t="shared" si="292"/>
        <v>38.94449301060969</v>
      </c>
      <c r="Y522" s="160">
        <f t="shared" si="293"/>
        <v>-1.5451159328568631</v>
      </c>
      <c r="Z522" s="98" t="str">
        <f t="shared" si="283"/>
        <v>-13.5453542184338+11.6368669461209i</v>
      </c>
      <c r="AA522" s="160">
        <f t="shared" si="294"/>
        <v>17.857583633419264</v>
      </c>
      <c r="AB522" s="160">
        <f t="shared" si="295"/>
        <v>2.4318369795996819</v>
      </c>
      <c r="AC522" s="171" t="str">
        <f t="shared" si="296"/>
        <v>-0.0201414466021997+0.0493078891552619i</v>
      </c>
      <c r="AD522" s="190">
        <f t="shared" si="297"/>
        <v>-25.471489607045893</v>
      </c>
      <c r="AE522" s="169">
        <f t="shared" si="298"/>
        <v>112.21919215989939</v>
      </c>
      <c r="AF522" s="98" t="str">
        <f t="shared" si="284"/>
        <v>-0.0000816326530612245</v>
      </c>
      <c r="AG522" s="98" t="str">
        <f t="shared" si="285"/>
        <v>0.161900328753767i</v>
      </c>
      <c r="AH522" s="98">
        <f t="shared" si="299"/>
        <v>0.161900328753767</v>
      </c>
      <c r="AI522" s="98">
        <f t="shared" si="300"/>
        <v>1.5707963267948966</v>
      </c>
      <c r="AJ522" s="98" t="str">
        <f t="shared" si="286"/>
        <v>1+49.3396565491332i</v>
      </c>
      <c r="AK522" s="98">
        <f t="shared" si="301"/>
        <v>49.349789344904224</v>
      </c>
      <c r="AL522" s="98">
        <f t="shared" si="302"/>
        <v>1.5505314287901968</v>
      </c>
      <c r="AM522" s="98" t="str">
        <f t="shared" si="287"/>
        <v>1+772.98795260309i</v>
      </c>
      <c r="AN522" s="98">
        <f t="shared" si="303"/>
        <v>772.98859944343087</v>
      </c>
      <c r="AO522" s="98">
        <f t="shared" si="304"/>
        <v>1.5695026462934571</v>
      </c>
      <c r="AP522" s="168" t="str">
        <f t="shared" si="305"/>
        <v>-0.000149821147183172+0.00789633943252568i</v>
      </c>
      <c r="AQ522" s="98">
        <f t="shared" si="306"/>
        <v>-42.049920676149085</v>
      </c>
      <c r="AR522" s="169">
        <f t="shared" si="307"/>
        <v>91.08697069516154</v>
      </c>
      <c r="AS522" s="168" t="str">
        <f t="shared" si="308"/>
        <v>-0.00038633421483543-0.000166431063551482i</v>
      </c>
      <c r="AT522" s="190">
        <f t="shared" si="309"/>
        <v>-67.521410283194967</v>
      </c>
      <c r="AU522" s="169">
        <f t="shared" si="310"/>
        <v>-156.69383714493907</v>
      </c>
      <c r="AV522" s="225"/>
      <c r="AX522">
        <f t="shared" si="311"/>
        <v>0</v>
      </c>
      <c r="AY522">
        <f t="shared" si="312"/>
        <v>0</v>
      </c>
    </row>
    <row r="523" spans="14:51" x14ac:dyDescent="0.25">
      <c r="N523" s="170">
        <v>5</v>
      </c>
      <c r="O523" s="199">
        <f t="shared" si="314"/>
        <v>1122018.4543019643</v>
      </c>
      <c r="P523" s="189" t="str">
        <f t="shared" si="279"/>
        <v>18.0065359477124</v>
      </c>
      <c r="Q523" s="160" t="str">
        <f t="shared" si="280"/>
        <v>1+2211.71760516218i</v>
      </c>
      <c r="R523" s="160">
        <f t="shared" si="288"/>
        <v>2211.7178312308124</v>
      </c>
      <c r="S523" s="160">
        <f t="shared" si="289"/>
        <v>1.5703441895376251</v>
      </c>
      <c r="T523" s="160" t="str">
        <f t="shared" si="281"/>
        <v>1+2.81993994658178i</v>
      </c>
      <c r="U523" s="160">
        <f t="shared" si="290"/>
        <v>2.9919995491857367</v>
      </c>
      <c r="V523" s="160">
        <f t="shared" si="291"/>
        <v>1.230013875818063</v>
      </c>
      <c r="W523" s="98" t="str">
        <f t="shared" si="282"/>
        <v>1-39.8384867799641i</v>
      </c>
      <c r="X523" s="160">
        <f t="shared" si="292"/>
        <v>39.851035481118608</v>
      </c>
      <c r="Y523" s="160">
        <f t="shared" si="293"/>
        <v>-1.5457002417232399</v>
      </c>
      <c r="Z523" s="98" t="str">
        <f t="shared" si="283"/>
        <v>-14.2308556436345+11.9079243980691i</v>
      </c>
      <c r="AA523" s="160">
        <f t="shared" si="294"/>
        <v>18.555751556325959</v>
      </c>
      <c r="AB523" s="160">
        <f t="shared" si="295"/>
        <v>2.4448307909587634</v>
      </c>
      <c r="AC523" s="171" t="str">
        <f t="shared" si="296"/>
        <v>-0.0194787557250147+0.0485530336513749i</v>
      </c>
      <c r="AD523" s="190">
        <f t="shared" si="297"/>
        <v>-25.627539235675073</v>
      </c>
      <c r="AE523" s="169">
        <f t="shared" si="298"/>
        <v>111.85992319484504</v>
      </c>
      <c r="AF523" s="98" t="str">
        <f t="shared" si="284"/>
        <v>-0.0000816326530612245</v>
      </c>
      <c r="AG523" s="98" t="str">
        <f t="shared" si="285"/>
        <v>0.16567147186168i</v>
      </c>
      <c r="AH523" s="98">
        <f t="shared" si="299"/>
        <v>0.16567147186167999</v>
      </c>
      <c r="AI523" s="98">
        <f t="shared" si="300"/>
        <v>1.5707963267948966</v>
      </c>
      <c r="AJ523" s="98" t="str">
        <f t="shared" si="286"/>
        <v>1+50.4889247882672i</v>
      </c>
      <c r="AK523" s="98">
        <f t="shared" si="301"/>
        <v>50.498826979201226</v>
      </c>
      <c r="AL523" s="98">
        <f t="shared" si="302"/>
        <v>1.5509925921843175</v>
      </c>
      <c r="AM523" s="98" t="str">
        <f t="shared" si="287"/>
        <v>1+790.993155016189i</v>
      </c>
      <c r="AN523" s="98">
        <f t="shared" si="303"/>
        <v>790.99378713265799</v>
      </c>
      <c r="AO523" s="98">
        <f t="shared" si="304"/>
        <v>1.5695320940251225</v>
      </c>
      <c r="AP523" s="168" t="str">
        <f t="shared" si="305"/>
        <v>-0.000143080728990964+0.00771673030567141i</v>
      </c>
      <c r="AQ523" s="98">
        <f t="shared" si="306"/>
        <v>-42.24984074279579</v>
      </c>
      <c r="AR523" s="169">
        <f t="shared" si="307"/>
        <v>91.06223520975314</v>
      </c>
      <c r="AS523" s="168" t="str">
        <f t="shared" si="308"/>
        <v>-0.000371883631640876-0.000157259308069553i</v>
      </c>
      <c r="AT523" s="190">
        <f t="shared" si="309"/>
        <v>-67.87737997847087</v>
      </c>
      <c r="AU523" s="169">
        <f t="shared" si="310"/>
        <v>-157.07784159540176</v>
      </c>
      <c r="AV523" s="225"/>
      <c r="AX523">
        <f t="shared" si="311"/>
        <v>0</v>
      </c>
      <c r="AY523">
        <f t="shared" si="312"/>
        <v>0</v>
      </c>
    </row>
    <row r="524" spans="14:51" x14ac:dyDescent="0.25">
      <c r="N524" s="170">
        <v>6</v>
      </c>
      <c r="O524" s="199">
        <f t="shared" si="314"/>
        <v>1148153.6214968837</v>
      </c>
      <c r="P524" s="189" t="str">
        <f t="shared" si="279"/>
        <v>18.0065359477124</v>
      </c>
      <c r="Q524" s="160" t="str">
        <f t="shared" si="280"/>
        <v>1+2263.23512626643i</v>
      </c>
      <c r="R524" s="160">
        <f t="shared" si="288"/>
        <v>2263.2353471891129</v>
      </c>
      <c r="S524" s="160">
        <f t="shared" si="289"/>
        <v>1.5703544814367549</v>
      </c>
      <c r="T524" s="160" t="str">
        <f t="shared" si="281"/>
        <v>1+2.8856247859897i</v>
      </c>
      <c r="U524" s="160">
        <f t="shared" si="290"/>
        <v>3.0539859864639363</v>
      </c>
      <c r="V524" s="160">
        <f t="shared" si="291"/>
        <v>1.2372024096187069</v>
      </c>
      <c r="W524" s="98" t="str">
        <f t="shared" si="282"/>
        <v>1-40.7664443450067i</v>
      </c>
      <c r="X524" s="160">
        <f t="shared" si="292"/>
        <v>40.778707489749216</v>
      </c>
      <c r="Y524" s="160">
        <f t="shared" si="293"/>
        <v>-1.54627126665866</v>
      </c>
      <c r="Z524" s="98" t="str">
        <f t="shared" si="283"/>
        <v>-14.9486637556919+12.1852955891531i</v>
      </c>
      <c r="AA524" s="160">
        <f t="shared" si="294"/>
        <v>19.28584913027608</v>
      </c>
      <c r="AB524" s="160">
        <f t="shared" si="295"/>
        <v>2.457686259675556</v>
      </c>
      <c r="AC524" s="171" t="str">
        <f t="shared" si="296"/>
        <v>-0.01883105510179+0.0478007093254695i</v>
      </c>
      <c r="AD524" s="190">
        <f t="shared" si="297"/>
        <v>-25.784756273291226</v>
      </c>
      <c r="AE524" s="169">
        <f t="shared" si="298"/>
        <v>111.50192474019481</v>
      </c>
      <c r="AF524" s="98" t="str">
        <f t="shared" si="284"/>
        <v>-0.0000816326530612245</v>
      </c>
      <c r="AG524" s="98" t="str">
        <f t="shared" si="285"/>
        <v>0.169530456176895i</v>
      </c>
      <c r="AH524" s="98">
        <f t="shared" si="299"/>
        <v>0.16953045617689499</v>
      </c>
      <c r="AI524" s="98">
        <f t="shared" si="300"/>
        <v>1.5707963267948966</v>
      </c>
      <c r="AJ524" s="98" t="str">
        <f t="shared" si="286"/>
        <v>1+51.6649629236239i</v>
      </c>
      <c r="AK524" s="98">
        <f t="shared" si="301"/>
        <v>51.674639755874757</v>
      </c>
      <c r="AL524" s="98">
        <f t="shared" si="302"/>
        <v>1.5514432663586026</v>
      </c>
      <c r="AM524" s="98" t="str">
        <f t="shared" si="287"/>
        <v>1+809.417752470111i</v>
      </c>
      <c r="AN524" s="98">
        <f t="shared" si="303"/>
        <v>809.41837019786362</v>
      </c>
      <c r="AO524" s="98">
        <f t="shared" si="304"/>
        <v>1.5695608714466973</v>
      </c>
      <c r="AP524" s="168" t="str">
        <f t="shared" si="305"/>
        <v>-0.000136643447016754+0.00754120067544283i</v>
      </c>
      <c r="AQ524" s="98">
        <f t="shared" si="306"/>
        <v>-42.449764405651358</v>
      </c>
      <c r="AR524" s="169">
        <f t="shared" si="307"/>
        <v>91.038062306432565</v>
      </c>
      <c r="AS524" s="168" t="str">
        <f t="shared" si="308"/>
        <v>-0.000357901601171806-0.000148540419144998i</v>
      </c>
      <c r="AT524" s="190">
        <f t="shared" si="309"/>
        <v>-68.234520678942573</v>
      </c>
      <c r="AU524" s="169">
        <f t="shared" si="310"/>
        <v>-157.46001295337263</v>
      </c>
      <c r="AV524" s="225"/>
      <c r="AX524">
        <f t="shared" si="311"/>
        <v>0</v>
      </c>
      <c r="AY524">
        <f t="shared" si="312"/>
        <v>0</v>
      </c>
    </row>
    <row r="525" spans="14:51" x14ac:dyDescent="0.25">
      <c r="N525" s="170">
        <v>7</v>
      </c>
      <c r="O525" s="199">
        <f t="shared" si="314"/>
        <v>1174897.5549395324</v>
      </c>
      <c r="P525" s="189" t="str">
        <f t="shared" si="279"/>
        <v>18.0065359477124</v>
      </c>
      <c r="Q525" s="160" t="str">
        <f t="shared" si="280"/>
        <v>1+2315.95264459209i</v>
      </c>
      <c r="R525" s="160">
        <f t="shared" si="288"/>
        <v>2315.9528604859593</v>
      </c>
      <c r="S525" s="160">
        <f t="shared" si="289"/>
        <v>1.5703645390637493</v>
      </c>
      <c r="T525" s="160" t="str">
        <f t="shared" si="281"/>
        <v>1+2.95283962185492i</v>
      </c>
      <c r="U525" s="160">
        <f t="shared" si="290"/>
        <v>3.1175730676916471</v>
      </c>
      <c r="V525" s="160">
        <f t="shared" si="291"/>
        <v>1.24426209048271</v>
      </c>
      <c r="W525" s="98" t="str">
        <f t="shared" si="282"/>
        <v>1-41.7160168184488i</v>
      </c>
      <c r="X525" s="160">
        <f t="shared" si="292"/>
        <v>41.728000901038897</v>
      </c>
      <c r="Y525" s="160">
        <f t="shared" si="293"/>
        <v>-1.546829308937699</v>
      </c>
      <c r="Z525" s="98" t="str">
        <f t="shared" si="283"/>
        <v>-15.7003011218497+12.46912758525i</v>
      </c>
      <c r="AA525" s="160">
        <f t="shared" si="294"/>
        <v>20.04940393263594</v>
      </c>
      <c r="AB525" s="160">
        <f t="shared" si="295"/>
        <v>2.4704003302283155</v>
      </c>
      <c r="AC525" s="171" t="str">
        <f t="shared" si="296"/>
        <v>-0.0181983779560259+0.0470511535237965i</v>
      </c>
      <c r="AD525" s="190">
        <f t="shared" si="297"/>
        <v>-25.943135771078516</v>
      </c>
      <c r="AE525" s="169">
        <f t="shared" si="298"/>
        <v>111.14540234834942</v>
      </c>
      <c r="AF525" s="98" t="str">
        <f t="shared" si="284"/>
        <v>-0.0000816326530612245</v>
      </c>
      <c r="AG525" s="98" t="str">
        <f t="shared" si="285"/>
        <v>0.173479327783976i</v>
      </c>
      <c r="AH525" s="98">
        <f t="shared" si="299"/>
        <v>0.17347932778397601</v>
      </c>
      <c r="AI525" s="98">
        <f t="shared" si="300"/>
        <v>1.5707963267948966</v>
      </c>
      <c r="AJ525" s="98" t="str">
        <f t="shared" si="286"/>
        <v>1+52.8683945061894i</v>
      </c>
      <c r="AK525" s="98">
        <f t="shared" si="301"/>
        <v>52.87785110669757</v>
      </c>
      <c r="AL525" s="98">
        <f t="shared" si="302"/>
        <v>1.5518836895337633</v>
      </c>
      <c r="AM525" s="98" t="str">
        <f t="shared" si="287"/>
        <v>1+828.271513930304i</v>
      </c>
      <c r="AN525" s="98">
        <f t="shared" si="303"/>
        <v>828.27211759686668</v>
      </c>
      <c r="AO525" s="98">
        <f t="shared" si="304"/>
        <v>1.5695889938161607</v>
      </c>
      <c r="AP525" s="168" t="str">
        <f t="shared" si="305"/>
        <v>-0.000130495678336036+0.0073696582751237i</v>
      </c>
      <c r="AQ525" s="98">
        <f t="shared" si="306"/>
        <v>-42.649691502981554</v>
      </c>
      <c r="AR525" s="169">
        <f t="shared" si="307"/>
        <v>91.014439210376253</v>
      </c>
      <c r="AS525" s="168" t="str">
        <f t="shared" si="308"/>
        <v>-0.000344376113244775-0.000140255798893036i</v>
      </c>
      <c r="AT525" s="190">
        <f t="shared" si="309"/>
        <v>-68.59282727406007</v>
      </c>
      <c r="AU525" s="169">
        <f t="shared" si="310"/>
        <v>-157.84015844127424</v>
      </c>
      <c r="AV525" s="225"/>
      <c r="AX525">
        <f t="shared" si="311"/>
        <v>0</v>
      </c>
      <c r="AY525">
        <f t="shared" si="312"/>
        <v>0</v>
      </c>
    </row>
    <row r="526" spans="14:51" x14ac:dyDescent="0.25">
      <c r="N526" s="170">
        <v>8</v>
      </c>
      <c r="O526" s="199">
        <f t="shared" si="314"/>
        <v>1202264.4346174158</v>
      </c>
      <c r="P526" s="189" t="str">
        <f t="shared" si="279"/>
        <v>18.0065359477124</v>
      </c>
      <c r="Q526" s="160" t="str">
        <f t="shared" si="280"/>
        <v>1+2369.89811166517i</v>
      </c>
      <c r="R526" s="160">
        <f t="shared" si="288"/>
        <v>2369.8983226446949</v>
      </c>
      <c r="S526" s="160">
        <f t="shared" si="289"/>
        <v>1.5703743677512871</v>
      </c>
      <c r="T526" s="160" t="str">
        <f t="shared" si="281"/>
        <v>1+3.02162009237309i</v>
      </c>
      <c r="U526" s="160">
        <f t="shared" si="290"/>
        <v>3.182795623761093</v>
      </c>
      <c r="V526" s="160">
        <f t="shared" si="291"/>
        <v>1.2511938458463225</v>
      </c>
      <c r="W526" s="98" t="str">
        <f t="shared" si="282"/>
        <v>1-42.6877076761848i</v>
      </c>
      <c r="X526" s="160">
        <f t="shared" si="292"/>
        <v>42.699419043441409</v>
      </c>
      <c r="Y526" s="160">
        <f t="shared" si="293"/>
        <v>-1.5473746630507181</v>
      </c>
      <c r="Z526" s="98" t="str">
        <f t="shared" si="283"/>
        <v>-16.4873620657353+12.7595708778409i</v>
      </c>
      <c r="AA526" s="160">
        <f t="shared" si="294"/>
        <v>20.848015657929967</v>
      </c>
      <c r="AB526" s="160">
        <f t="shared" si="295"/>
        <v>2.4829701307515717</v>
      </c>
      <c r="AC526" s="171" t="str">
        <f t="shared" si="296"/>
        <v>-0.0175807402245577+0.0463046140992618i</v>
      </c>
      <c r="AD526" s="190">
        <f t="shared" si="297"/>
        <v>-26.102670946643457</v>
      </c>
      <c r="AE526" s="169">
        <f t="shared" si="298"/>
        <v>110.79055652466744</v>
      </c>
      <c r="AF526" s="98" t="str">
        <f t="shared" si="284"/>
        <v>-0.0000816326530612245</v>
      </c>
      <c r="AG526" s="98" t="str">
        <f t="shared" si="285"/>
        <v>0.177520180426919i</v>
      </c>
      <c r="AH526" s="98">
        <f t="shared" si="299"/>
        <v>0.177520180426919</v>
      </c>
      <c r="AI526" s="98">
        <f t="shared" si="300"/>
        <v>1.5707963267948966</v>
      </c>
      <c r="AJ526" s="98" t="str">
        <f t="shared" si="286"/>
        <v>1+54.099857611318i</v>
      </c>
      <c r="AK526" s="98">
        <f t="shared" si="301"/>
        <v>54.109098990510667</v>
      </c>
      <c r="AL526" s="98">
        <f t="shared" si="302"/>
        <v>1.5523140945441647</v>
      </c>
      <c r="AM526" s="98" t="str">
        <f t="shared" si="287"/>
        <v>1+847.564435910651i</v>
      </c>
      <c r="AN526" s="98">
        <f t="shared" si="303"/>
        <v>847.56502583609472</v>
      </c>
      <c r="AO526" s="98">
        <f t="shared" si="304"/>
        <v>1.5696164760441869</v>
      </c>
      <c r="AP526" s="168" t="str">
        <f t="shared" si="305"/>
        <v>-0.000124624411358736+0.0072020128986533i</v>
      </c>
      <c r="AQ526" s="98">
        <f t="shared" si="306"/>
        <v>-42.849621880320655</v>
      </c>
      <c r="AR526" s="169">
        <f t="shared" si="307"/>
        <v>90.991353435476512</v>
      </c>
      <c r="AS526" s="168" t="str">
        <f t="shared" si="308"/>
        <v>-0.000331295438608311-0.000132387403140451i</v>
      </c>
      <c r="AT526" s="190">
        <f t="shared" si="309"/>
        <v>-68.952292826964111</v>
      </c>
      <c r="AU526" s="169">
        <f t="shared" si="310"/>
        <v>-158.21809003985612</v>
      </c>
      <c r="AV526" s="225"/>
      <c r="AX526">
        <f t="shared" si="311"/>
        <v>0</v>
      </c>
      <c r="AY526">
        <f t="shared" si="312"/>
        <v>0</v>
      </c>
    </row>
    <row r="527" spans="14:51" x14ac:dyDescent="0.25">
      <c r="N527" s="170">
        <v>9</v>
      </c>
      <c r="O527" s="199">
        <f t="shared" si="314"/>
        <v>1230268.770812382</v>
      </c>
      <c r="P527" s="189" t="str">
        <f t="shared" si="279"/>
        <v>18.0065359477124</v>
      </c>
      <c r="Q527" s="160" t="str">
        <f t="shared" si="280"/>
        <v>1+2425.10013008635i</v>
      </c>
      <c r="R527" s="160">
        <f t="shared" si="288"/>
        <v>2425.1003362633946</v>
      </c>
      <c r="S527" s="160">
        <f t="shared" si="289"/>
        <v>1.570383972710661</v>
      </c>
      <c r="T527" s="160" t="str">
        <f t="shared" si="281"/>
        <v>1+3.0920026658601i</v>
      </c>
      <c r="U527" s="160">
        <f t="shared" si="290"/>
        <v>3.2496892906377934</v>
      </c>
      <c r="V527" s="160">
        <f t="shared" si="291"/>
        <v>1.2579986856035885</v>
      </c>
      <c r="W527" s="98" t="str">
        <f t="shared" si="282"/>
        <v>1-43.6820321215692i</v>
      </c>
      <c r="X527" s="160">
        <f t="shared" si="292"/>
        <v>43.693476976200962</v>
      </c>
      <c r="Y527" s="160">
        <f t="shared" si="293"/>
        <v>-1.5479076168533885</v>
      </c>
      <c r="Z527" s="98" t="str">
        <f t="shared" si="283"/>
        <v>-17.3115160491337+13.0567794638042i</v>
      </c>
      <c r="AA527" s="160">
        <f t="shared" si="294"/>
        <v>21.683359469552517</v>
      </c>
      <c r="AB527" s="160">
        <f t="shared" si="295"/>
        <v>2.4953929771384669</v>
      </c>
      <c r="AC527" s="171" t="str">
        <f t="shared" si="296"/>
        <v>-0.0169781400192218+0.0455613474891718i</v>
      </c>
      <c r="AD527" s="190">
        <f t="shared" si="297"/>
        <v>-26.263353283905026</v>
      </c>
      <c r="AE527" s="169">
        <f t="shared" si="298"/>
        <v>110.4375821283101</v>
      </c>
      <c r="AF527" s="98" t="str">
        <f t="shared" si="284"/>
        <v>-0.0000816326530612245</v>
      </c>
      <c r="AG527" s="98" t="str">
        <f t="shared" si="285"/>
        <v>0.181655156619281i</v>
      </c>
      <c r="AH527" s="98">
        <f t="shared" si="299"/>
        <v>0.181655156619281</v>
      </c>
      <c r="AI527" s="98">
        <f t="shared" si="300"/>
        <v>1.5707963267948966</v>
      </c>
      <c r="AJ527" s="98" t="str">
        <f t="shared" si="286"/>
        <v>1+55.3600051770482i</v>
      </c>
      <c r="AK527" s="98">
        <f t="shared" si="301"/>
        <v>55.369036231478724</v>
      </c>
      <c r="AL527" s="98">
        <f t="shared" si="302"/>
        <v>1.5527347089580195</v>
      </c>
      <c r="AM527" s="98" t="str">
        <f t="shared" si="287"/>
        <v>1+867.306747773758i</v>
      </c>
      <c r="AN527" s="98">
        <f t="shared" si="303"/>
        <v>867.30732427086832</v>
      </c>
      <c r="AO527" s="98">
        <f t="shared" si="304"/>
        <v>1.5696433327020511</v>
      </c>
      <c r="AP527" s="168" t="str">
        <f t="shared" si="305"/>
        <v>-0.000119017218472662+0.00703817635635706i</v>
      </c>
      <c r="AQ527" s="98">
        <f t="shared" si="306"/>
        <v>-43.04955539014518</v>
      </c>
      <c r="AR527" s="169">
        <f t="shared" si="307"/>
        <v>90.968792777907709</v>
      </c>
      <c r="AS527" s="168" t="str">
        <f t="shared" si="308"/>
        <v>-0.00031864810766213-0.000124917728506234i</v>
      </c>
      <c r="AT527" s="190">
        <f t="shared" si="309"/>
        <v>-69.312908674050206</v>
      </c>
      <c r="AU527" s="169">
        <f t="shared" si="310"/>
        <v>-158.59362509378221</v>
      </c>
      <c r="AV527" s="225"/>
      <c r="AX527">
        <f t="shared" si="311"/>
        <v>0</v>
      </c>
      <c r="AY527">
        <f t="shared" si="312"/>
        <v>0</v>
      </c>
    </row>
    <row r="528" spans="14:51" x14ac:dyDescent="0.25">
      <c r="N528" s="170">
        <v>10</v>
      </c>
      <c r="O528" s="199">
        <f t="shared" si="314"/>
        <v>1258925.4117941677</v>
      </c>
      <c r="P528" s="189" t="str">
        <f t="shared" si="279"/>
        <v>18.0065359477124</v>
      </c>
      <c r="Q528" s="160" t="str">
        <f t="shared" si="280"/>
        <v>1+2481.58796869651i</v>
      </c>
      <c r="R528" s="160">
        <f t="shared" si="288"/>
        <v>2481.5881701803933</v>
      </c>
      <c r="S528" s="160">
        <f t="shared" si="289"/>
        <v>1.5703933590345405</v>
      </c>
      <c r="T528" s="160" t="str">
        <f t="shared" si="281"/>
        <v>1+3.16402466008805i</v>
      </c>
      <c r="U528" s="160">
        <f t="shared" si="290"/>
        <v>3.3182905312291902</v>
      </c>
      <c r="V528" s="160">
        <f t="shared" si="291"/>
        <v>1.2646776960756467</v>
      </c>
      <c r="W528" s="98" t="str">
        <f t="shared" si="282"/>
        <v>1-44.6995173585845i</v>
      </c>
      <c r="X528" s="160">
        <f t="shared" si="292"/>
        <v>44.710701762446057</v>
      </c>
      <c r="Y528" s="160">
        <f t="shared" si="293"/>
        <v>-1.5484284517131361</v>
      </c>
      <c r="Z528" s="98" t="str">
        <f t="shared" si="283"/>
        <v>-18.1745112131401+13.3609109270661i</v>
      </c>
      <c r="AA528" s="160">
        <f t="shared" si="294"/>
        <v>22.55718951105278</v>
      </c>
      <c r="AB528" s="160">
        <f t="shared" si="295"/>
        <v>2.5076663761916409</v>
      </c>
      <c r="AC528" s="171" t="str">
        <f t="shared" si="296"/>
        <v>-0.0163905572774065+0.0448216168204819i</v>
      </c>
      <c r="AD528" s="190">
        <f t="shared" si="297"/>
        <v>-26.425172636042888</v>
      </c>
      <c r="AE528" s="169">
        <f t="shared" si="298"/>
        <v>110.0866678376257</v>
      </c>
      <c r="AF528" s="98" t="str">
        <f t="shared" si="284"/>
        <v>-0.0000816326530612245</v>
      </c>
      <c r="AG528" s="98" t="str">
        <f t="shared" si="285"/>
        <v>0.185886448780173i</v>
      </c>
      <c r="AH528" s="98">
        <f t="shared" si="299"/>
        <v>0.18588644878017299</v>
      </c>
      <c r="AI528" s="98">
        <f t="shared" si="300"/>
        <v>1.5707963267948966</v>
      </c>
      <c r="AJ528" s="98" t="str">
        <f t="shared" si="286"/>
        <v>1+56.6495053502996i</v>
      </c>
      <c r="AK528" s="98">
        <f t="shared" si="301"/>
        <v>56.658330865227775</v>
      </c>
      <c r="AL528" s="98">
        <f t="shared" si="302"/>
        <v>1.5531457551950067</v>
      </c>
      <c r="AM528" s="98" t="str">
        <f t="shared" si="287"/>
        <v>1+887.508917154698i</v>
      </c>
      <c r="AN528" s="98">
        <f t="shared" si="303"/>
        <v>887.50948052914032</v>
      </c>
      <c r="AO528" s="98">
        <f t="shared" si="304"/>
        <v>1.5696695780293537</v>
      </c>
      <c r="AP528" s="168" t="str">
        <f t="shared" si="305"/>
        <v>-0.000113662229904325+0.00687806243150918i</v>
      </c>
      <c r="AQ528" s="98">
        <f t="shared" si="306"/>
        <v>-43.249491891562485</v>
      </c>
      <c r="AR528" s="169">
        <f t="shared" si="307"/>
        <v>90.946745309829964</v>
      </c>
      <c r="AS528" s="168" t="str">
        <f t="shared" si="308"/>
        <v>-0.000306422891482932-0.000117829801156962i</v>
      </c>
      <c r="AT528" s="190">
        <f t="shared" si="309"/>
        <v>-69.674664527605358</v>
      </c>
      <c r="AU528" s="169">
        <f t="shared" si="310"/>
        <v>-158.96658685254434</v>
      </c>
      <c r="AV528" s="225"/>
      <c r="AX528">
        <f t="shared" si="311"/>
        <v>0</v>
      </c>
      <c r="AY528">
        <f t="shared" si="312"/>
        <v>0</v>
      </c>
    </row>
    <row r="529" spans="14:51" x14ac:dyDescent="0.25">
      <c r="N529" s="170">
        <v>11</v>
      </c>
      <c r="O529" s="199">
        <f t="shared" si="314"/>
        <v>1288249.5516931366</v>
      </c>
      <c r="P529" s="189" t="str">
        <f t="shared" si="279"/>
        <v>18.0065359477124</v>
      </c>
      <c r="Q529" s="160" t="str">
        <f t="shared" si="280"/>
        <v>1+2539.39157809537i</v>
      </c>
      <c r="R529" s="160">
        <f t="shared" si="288"/>
        <v>2539.3917749929196</v>
      </c>
      <c r="S529" s="160">
        <f t="shared" si="289"/>
        <v>1.5704025316996721</v>
      </c>
      <c r="T529" s="160" t="str">
        <f t="shared" si="281"/>
        <v>1+3.2377242620716i</v>
      </c>
      <c r="U529" s="160">
        <f t="shared" si="290"/>
        <v>3.3886366575965456</v>
      </c>
      <c r="V529" s="160">
        <f t="shared" si="291"/>
        <v>1.2712320341634136</v>
      </c>
      <c r="W529" s="98" t="str">
        <f t="shared" si="282"/>
        <v>1-45.7407028713715i</v>
      </c>
      <c r="X529" s="160">
        <f t="shared" si="292"/>
        <v>45.75163274864726</v>
      </c>
      <c r="Y529" s="160">
        <f t="shared" si="293"/>
        <v>-1.5489374426525593</v>
      </c>
      <c r="Z529" s="98" t="str">
        <f t="shared" si="283"/>
        <v>-19.0781780862012+13.6721265221541i</v>
      </c>
      <c r="AA529" s="160">
        <f t="shared" si="294"/>
        <v>23.471342584662626</v>
      </c>
      <c r="AB529" s="160">
        <f t="shared" si="295"/>
        <v>2.5197880278463716</v>
      </c>
      <c r="AC529" s="171" t="str">
        <f t="shared" si="296"/>
        <v>-0.015817953591641+0.0440856900585944i</v>
      </c>
      <c r="AD529" s="190">
        <f t="shared" si="297"/>
        <v>-26.58811733062635</v>
      </c>
      <c r="AE529" s="169">
        <f t="shared" si="298"/>
        <v>109.73799567937455</v>
      </c>
      <c r="AF529" s="98" t="str">
        <f t="shared" si="284"/>
        <v>-0.0000816326530612245</v>
      </c>
      <c r="AG529" s="98" t="str">
        <f t="shared" si="285"/>
        <v>0.190216300396707i</v>
      </c>
      <c r="AH529" s="98">
        <f t="shared" si="299"/>
        <v>0.19021630039670701</v>
      </c>
      <c r="AI529" s="98">
        <f t="shared" si="300"/>
        <v>1.5707963267948966</v>
      </c>
      <c r="AJ529" s="98" t="str">
        <f t="shared" si="286"/>
        <v>1+57.9690418411328i</v>
      </c>
      <c r="AK529" s="98">
        <f t="shared" si="301"/>
        <v>57.977666493047181</v>
      </c>
      <c r="AL529" s="98">
        <f t="shared" si="302"/>
        <v>1.5535474506413642</v>
      </c>
      <c r="AM529" s="98" t="str">
        <f t="shared" si="287"/>
        <v>1+908.181655511084i</v>
      </c>
      <c r="AN529" s="98">
        <f t="shared" si="303"/>
        <v>908.18220606156626</v>
      </c>
      <c r="AO529" s="98">
        <f t="shared" si="304"/>
        <v>1.56969522594157</v>
      </c>
      <c r="AP529" s="168" t="str">
        <f t="shared" si="305"/>
        <v>-0.000108548108743544+0.00672158683772061i</v>
      </c>
      <c r="AQ529" s="98">
        <f t="shared" si="306"/>
        <v>-43.44943125001307</v>
      </c>
      <c r="AR529" s="169">
        <f t="shared" si="307"/>
        <v>90.925199373227386</v>
      </c>
      <c r="AS529" s="168" t="str">
        <f t="shared" si="308"/>
        <v>-0.000294608785083113-0.000111107166939764i</v>
      </c>
      <c r="AT529" s="190">
        <f t="shared" si="309"/>
        <v>-70.03754858063941</v>
      </c>
      <c r="AU529" s="169">
        <f t="shared" si="310"/>
        <v>-159.33680494739806</v>
      </c>
      <c r="AV529" s="225"/>
      <c r="AX529">
        <f t="shared" si="311"/>
        <v>0</v>
      </c>
      <c r="AY529">
        <f t="shared" si="312"/>
        <v>0</v>
      </c>
    </row>
    <row r="530" spans="14:51" x14ac:dyDescent="0.25">
      <c r="N530" s="170">
        <v>12</v>
      </c>
      <c r="O530" s="199">
        <f t="shared" si="314"/>
        <v>1318256.7385564097</v>
      </c>
      <c r="P530" s="189" t="str">
        <f t="shared" si="279"/>
        <v>18.0065359477124</v>
      </c>
      <c r="Q530" s="160" t="str">
        <f t="shared" si="280"/>
        <v>1+2598.54160652176i</v>
      </c>
      <c r="R530" s="160">
        <f t="shared" si="288"/>
        <v>2598.541798937375</v>
      </c>
      <c r="S530" s="160">
        <f t="shared" si="289"/>
        <v>1.5704114955695181</v>
      </c>
      <c r="T530" s="160" t="str">
        <f t="shared" si="281"/>
        <v>1+3.31314054831525i</v>
      </c>
      <c r="U530" s="160">
        <f t="shared" si="290"/>
        <v>3.4607658535200954</v>
      </c>
      <c r="V530" s="160">
        <f t="shared" si="291"/>
        <v>1.2776629216930642</v>
      </c>
      <c r="W530" s="98" t="str">
        <f t="shared" si="282"/>
        <v>1-46.8061407102707i</v>
      </c>
      <c r="X530" s="160">
        <f t="shared" si="292"/>
        <v>46.816821850587637</v>
      </c>
      <c r="Y530" s="160">
        <f t="shared" si="293"/>
        <v>-1.5494348584898652</v>
      </c>
      <c r="Z530" s="98" t="str">
        <f t="shared" si="283"/>
        <v>-20.0244334669113+13.9905912596961i</v>
      </c>
      <c r="AA530" s="160">
        <f t="shared" si="294"/>
        <v>24.427742005077796</v>
      </c>
      <c r="AB530" s="160">
        <f t="shared" si="295"/>
        <v>2.5317558264962865</v>
      </c>
      <c r="AC530" s="171" t="str">
        <f t="shared" si="296"/>
        <v>-0.0152602722071328+0.0433538382141372i</v>
      </c>
      <c r="AD530" s="190">
        <f t="shared" si="297"/>
        <v>-26.752174276090184</v>
      </c>
      <c r="AE530" s="169">
        <f t="shared" si="298"/>
        <v>109.39174062059344</v>
      </c>
      <c r="AF530" s="98" t="str">
        <f t="shared" si="284"/>
        <v>-0.0000816326530612245</v>
      </c>
      <c r="AG530" s="98" t="str">
        <f t="shared" si="285"/>
        <v>0.194647007213521i</v>
      </c>
      <c r="AH530" s="98">
        <f t="shared" si="299"/>
        <v>0.19464700721352099</v>
      </c>
      <c r="AI530" s="98">
        <f t="shared" si="300"/>
        <v>1.5707963267948966</v>
      </c>
      <c r="AJ530" s="98" t="str">
        <f t="shared" si="286"/>
        <v>1+59.3193142852611i</v>
      </c>
      <c r="AK530" s="98">
        <f t="shared" si="301"/>
        <v>59.327742644344568</v>
      </c>
      <c r="AL530" s="98">
        <f t="shared" si="302"/>
        <v>1.5539400077624985</v>
      </c>
      <c r="AM530" s="98" t="str">
        <f t="shared" si="287"/>
        <v>1+929.335923802427i</v>
      </c>
      <c r="AN530" s="98">
        <f t="shared" si="303"/>
        <v>929.33646182085772</v>
      </c>
      <c r="AO530" s="98">
        <f t="shared" si="304"/>
        <v>1.5697202900374272</v>
      </c>
      <c r="AP530" s="168" t="str">
        <f t="shared" si="305"/>
        <v>-0.000103664027080589+0.00656866717714425i</v>
      </c>
      <c r="AQ530" s="98">
        <f t="shared" si="306"/>
        <v>-43.649373336985974</v>
      </c>
      <c r="AR530" s="169">
        <f t="shared" si="307"/>
        <v>90.9041435738785</v>
      </c>
      <c r="AS530" s="168" t="str">
        <f t="shared" si="308"/>
        <v>-0.000283194992809088-0.000104733882619958i</v>
      </c>
      <c r="AT530" s="190">
        <f t="shared" si="309"/>
        <v>-70.401547613076161</v>
      </c>
      <c r="AU530" s="169">
        <f t="shared" si="310"/>
        <v>-159.70411580552801</v>
      </c>
      <c r="AV530" s="225"/>
      <c r="AX530">
        <f t="shared" si="311"/>
        <v>0</v>
      </c>
      <c r="AY530">
        <f t="shared" si="312"/>
        <v>0</v>
      </c>
    </row>
    <row r="531" spans="14:51" x14ac:dyDescent="0.25">
      <c r="N531" s="170">
        <v>13</v>
      </c>
      <c r="O531" s="199">
        <f t="shared" si="314"/>
        <v>1348962.8825916562</v>
      </c>
      <c r="P531" s="189" t="str">
        <f t="shared" ref="P531:P560" si="315">COMPLEX(Adc,0)</f>
        <v>18.0065359477124</v>
      </c>
      <c r="Q531" s="160" t="str">
        <f t="shared" ref="Q531:Q560" si="316">IMSUM(COMPLEX(1,0),IMDIV(COMPLEX(0,2*PI()*O531),COMPLEX(wp_lf,0)))</f>
        <v>1+2659.06941610369i</v>
      </c>
      <c r="R531" s="160">
        <f t="shared" si="288"/>
        <v>2659.0696041393912</v>
      </c>
      <c r="S531" s="160">
        <f t="shared" si="289"/>
        <v>1.5704202553968352</v>
      </c>
      <c r="T531" s="160" t="str">
        <f t="shared" ref="T531:T560" si="317">IMSUM(COMPLEX(1,0),IMDIV(COMPLEX(0,2*PI()*O531),COMPLEX(wz_esr,0)))</f>
        <v>1+3.3903135055322i</v>
      </c>
      <c r="U531" s="160">
        <f t="shared" si="290"/>
        <v>3.5347171974281104</v>
      </c>
      <c r="V531" s="160">
        <f t="shared" si="291"/>
        <v>1.28397163996176</v>
      </c>
      <c r="W531" s="98" t="str">
        <f t="shared" ref="W531:W560" si="318">IMSUB(COMPLEX(1,0),IMDIV(COMPLEX(0,2*PI()*O531),COMPLEX(wz_rhp,0)))</f>
        <v>1-47.8963957845268i</v>
      </c>
      <c r="X531" s="160">
        <f t="shared" si="292"/>
        <v>47.90683384599776</v>
      </c>
      <c r="Y531" s="160">
        <f t="shared" si="293"/>
        <v>-1.5499209619763754</v>
      </c>
      <c r="Z531" s="98" t="str">
        <f t="shared" ref="Z531:Z560" si="319">IF(Dc_Mode_Loop="CCM",IMSUM(COMPLEX(1,0),IMDIV(COMPLEX(0,2*PI()*O531),COMPLEX(Q*(wsl/2),0)),IMDIV(IMPOWER(COMPLEX(0,2*PI()*O531),2),IMPOWER(COMPLEX(wsl/2,0),2))),COMPLEX(1,0))</f>
        <v>-21.0152844897995+14.3164739939114i</v>
      </c>
      <c r="AA531" s="160">
        <f t="shared" si="294"/>
        <v>25.428401636861661</v>
      </c>
      <c r="AB531" s="160">
        <f t="shared" si="295"/>
        <v>2.5435678614575132</v>
      </c>
      <c r="AC531" s="171" t="str">
        <f t="shared" si="296"/>
        <v>-0.0147174381751717+0.0426263336204499i</v>
      </c>
      <c r="AD531" s="190">
        <f t="shared" si="297"/>
        <v>-26.917329068774151</v>
      </c>
      <c r="AE531" s="169">
        <f t="shared" si="298"/>
        <v>109.04807022146933</v>
      </c>
      <c r="AF531" s="98" t="str">
        <f t="shared" ref="AF531:AF560" si="320">COMPLEX(Adc_ea,0)</f>
        <v>-0.0000816326530612245</v>
      </c>
      <c r="AG531" s="98" t="str">
        <f t="shared" ref="AG531:AG560" si="321">COMPLEX(0,2*PI()*O531*wp0_ea)</f>
        <v>0.199180918450017i</v>
      </c>
      <c r="AH531" s="98">
        <f t="shared" si="299"/>
        <v>0.19918091845001701</v>
      </c>
      <c r="AI531" s="98">
        <f t="shared" si="300"/>
        <v>1.5707963267948966</v>
      </c>
      <c r="AJ531" s="98" t="str">
        <f t="shared" ref="AJ531:AJ560" si="322">IMSUM(COMPLEX(1,0),IMDIV(COMPLEX(0,2*PI()*O531),COMPLEX(wp1_ea,0)))</f>
        <v>1+60.7010386150072i</v>
      </c>
      <c r="AK531" s="98">
        <f t="shared" si="301"/>
        <v>60.709275147547224</v>
      </c>
      <c r="AL531" s="98">
        <f t="shared" si="302"/>
        <v>1.5543236342131663</v>
      </c>
      <c r="AM531" s="98" t="str">
        <f t="shared" ref="AM531:AM560" si="323">IMSUM(COMPLEX(1,0),IMDIV(COMPLEX(0,2*PI()*O531),COMPLEX(wz_ea,0)))</f>
        <v>1+950.982938301783i</v>
      </c>
      <c r="AN531" s="98">
        <f t="shared" si="303"/>
        <v>950.98346407342581</v>
      </c>
      <c r="AO531" s="98">
        <f t="shared" si="304"/>
        <v>1.5697447836061149</v>
      </c>
      <c r="AP531" s="168" t="str">
        <f t="shared" si="305"/>
        <v>-0.0000989996432067861+0.00641922289948818i</v>
      </c>
      <c r="AQ531" s="98">
        <f t="shared" si="306"/>
        <v>-43.8493180297477</v>
      </c>
      <c r="AR531" s="169">
        <f t="shared" si="307"/>
        <v>90.883566775456671</v>
      </c>
      <c r="AS531" s="168" t="str">
        <f t="shared" si="308"/>
        <v>-0.000272170915769355-0.0000986945079755017i</v>
      </c>
      <c r="AT531" s="190">
        <f t="shared" si="309"/>
        <v>-70.766647098521844</v>
      </c>
      <c r="AU531" s="169">
        <f t="shared" si="310"/>
        <v>-160.06836300307398</v>
      </c>
      <c r="AV531" s="225"/>
      <c r="AX531">
        <f t="shared" si="311"/>
        <v>0</v>
      </c>
      <c r="AY531">
        <f t="shared" si="312"/>
        <v>0</v>
      </c>
    </row>
    <row r="532" spans="14:51" x14ac:dyDescent="0.25">
      <c r="N532" s="170">
        <v>14</v>
      </c>
      <c r="O532" s="199">
        <f t="shared" si="314"/>
        <v>1380384.2646028849</v>
      </c>
      <c r="P532" s="189" t="str">
        <f t="shared" si="315"/>
        <v>18.0065359477124</v>
      </c>
      <c r="Q532" s="160" t="str">
        <f t="shared" si="316"/>
        <v>1+2721.00709948698i</v>
      </c>
      <c r="R532" s="160">
        <f t="shared" ref="R532:R560" si="324">IMABS(Q532)</f>
        <v>2721.0072832424667</v>
      </c>
      <c r="S532" s="160">
        <f t="shared" ref="S532:S560" si="325">IMARGUMENT(Q532)</f>
        <v>1.5704288158261943</v>
      </c>
      <c r="T532" s="160" t="str">
        <f t="shared" si="317"/>
        <v>1+3.4692840518459i</v>
      </c>
      <c r="U532" s="160">
        <f t="shared" ref="U532:U560" si="326">IMABS(T532)</f>
        <v>3.6105306857015225</v>
      </c>
      <c r="V532" s="160">
        <f t="shared" ref="V532:V560" si="327">IMARGUMENT(T532)</f>
        <v>1.2901595244892798</v>
      </c>
      <c r="W532" s="98" t="str">
        <f t="shared" si="318"/>
        <v>1-49.0120461618117i</v>
      </c>
      <c r="X532" s="160">
        <f t="shared" ref="X532:X560" si="328">IMABS(W532)</f>
        <v>49.022246674010781</v>
      </c>
      <c r="Y532" s="160">
        <f t="shared" ref="Y532:Y560" si="329">IMARGUMENT(W532)</f>
        <v>-1.5503960099311491</v>
      </c>
      <c r="Z532" s="98" t="str">
        <f t="shared" si="319"/>
        <v>-22.0528328827311+14.6499475121392i</v>
      </c>
      <c r="AA532" s="160">
        <f t="shared" ref="AA532:AA560" si="330">IMABS(Z532)</f>
        <v>26.475430124213268</v>
      </c>
      <c r="AB532" s="160">
        <f t="shared" ref="AB532:AB560" si="331">IMARGUMENT(Z532)</f>
        <v>2.5552224166120627</v>
      </c>
      <c r="AC532" s="171" t="str">
        <f t="shared" ref="AC532:AC560" si="332">(IMDIV(IMPRODUCT(P532,T532,W532),IMPRODUCT(Q532,Z532)))</f>
        <v>-0.0141893586495588+0.041903448292779i</v>
      </c>
      <c r="AD532" s="190">
        <f t="shared" ref="AD532:AD560" si="333">20*LOG(IMABS(AC532))</f>
        <v>-27.083566099794972</v>
      </c>
      <c r="AE532" s="169">
        <f t="shared" ref="AE532:AE560" si="334">(180/PI())*IMARGUMENT(AC532)</f>
        <v>108.70714434720442</v>
      </c>
      <c r="AF532" s="98" t="str">
        <f t="shared" si="320"/>
        <v>-0.0000816326530612245</v>
      </c>
      <c r="AG532" s="98" t="str">
        <f t="shared" si="321"/>
        <v>0.203820438045947i</v>
      </c>
      <c r="AH532" s="98">
        <f t="shared" ref="AH532:AH560" si="335">IMABS(AG532)</f>
        <v>0.20382043804594699</v>
      </c>
      <c r="AI532" s="98">
        <f t="shared" ref="AI532:AI560" si="336">IMARGUMENT(AG532)</f>
        <v>1.5707963267948966</v>
      </c>
      <c r="AJ532" s="98" t="str">
        <f t="shared" si="322"/>
        <v>1+62.1149474389002i</v>
      </c>
      <c r="AK532" s="98">
        <f t="shared" ref="AK532:AK560" si="337">IMABS(AJ532)</f>
        <v>62.122996509644757</v>
      </c>
      <c r="AL532" s="98">
        <f t="shared" ref="AL532:AL560" si="338">IMARGUMENT(AJ532)</f>
        <v>1.5546985329452658</v>
      </c>
      <c r="AM532" s="98" t="str">
        <f t="shared" si="323"/>
        <v>1+973.134176542774i</v>
      </c>
      <c r="AN532" s="98">
        <f t="shared" ref="AN532:AN560" si="339">IMABS(AM532)</f>
        <v>973.13469034639945</v>
      </c>
      <c r="AO532" s="98">
        <f t="shared" ref="AO532:AO560" si="340">IMARGUMENT(AM532)</f>
        <v>1.5697687196343297</v>
      </c>
      <c r="AP532" s="168" t="str">
        <f t="shared" ref="AP532:AP560" si="341">IMPRODUCT(AF532,IMDIV(AM532,IMPRODUCT(AG532,AJ532)))</f>
        <v>-0.0000945450798316539+0.00627317526182946i</v>
      </c>
      <c r="AQ532" s="98">
        <f t="shared" ref="AQ532:AQ560" si="342">20*LOG(IMABS(AP532))</f>
        <v>-44.049265211082258</v>
      </c>
      <c r="AR532" s="169">
        <f t="shared" ref="AR532:AR560" si="343">(180/PI())*IMARGUMENT(AP532)</f>
        <v>90.863458093757586</v>
      </c>
      <c r="AS532" s="168" t="str">
        <f t="shared" ref="AS532:AS560" si="344">IMPRODUCT(AC532,AP532)</f>
        <v>-0.000261526141169329-0.0000929740985257005i</v>
      </c>
      <c r="AT532" s="190">
        <f t="shared" ref="AT532:AT560" si="345">20*LOG(IMABS(AS532))</f>
        <v>-71.132831310877222</v>
      </c>
      <c r="AU532" s="169">
        <f t="shared" ref="AU532:AU560" si="346">(180/PI())*IMARGUMENT(AS532)</f>
        <v>-160.42939755903799</v>
      </c>
      <c r="AV532" s="225"/>
      <c r="AX532">
        <f t="shared" ref="AX532:AX559" si="347">SUM((AT533&lt;0)*(AT532&gt;0))*O532</f>
        <v>0</v>
      </c>
      <c r="AY532">
        <f t="shared" ref="AY532:AY559" si="348">IF(AX532&gt;0,AU532,0)</f>
        <v>0</v>
      </c>
    </row>
    <row r="533" spans="14:51" x14ac:dyDescent="0.25">
      <c r="N533" s="170">
        <v>15</v>
      </c>
      <c r="O533" s="199">
        <f t="shared" si="314"/>
        <v>1412537.5446227565</v>
      </c>
      <c r="P533" s="189" t="str">
        <f t="shared" si="315"/>
        <v>18.0065359477124</v>
      </c>
      <c r="Q533" s="160" t="str">
        <f t="shared" si="316"/>
        <v>1+2784.38749685121i</v>
      </c>
      <c r="R533" s="160">
        <f t="shared" si="324"/>
        <v>2784.3876764239112</v>
      </c>
      <c r="S533" s="160">
        <f t="shared" si="325"/>
        <v>1.5704371813964433</v>
      </c>
      <c r="T533" s="160" t="str">
        <f t="shared" si="317"/>
        <v>1+3.55009405848529i</v>
      </c>
      <c r="U533" s="160">
        <f t="shared" si="326"/>
        <v>3.6882472563661666</v>
      </c>
      <c r="V533" s="160">
        <f t="shared" si="327"/>
        <v>1.2962279599795272</v>
      </c>
      <c r="W533" s="98" t="str">
        <f t="shared" si="318"/>
        <v>1-50.1536833747228i</v>
      </c>
      <c r="X533" s="160">
        <f t="shared" si="328"/>
        <v>50.163651741594194</v>
      </c>
      <c r="Y533" s="160">
        <f t="shared" si="329"/>
        <v>-1.5508602533727736</v>
      </c>
      <c r="Z533" s="98" t="str">
        <f t="shared" si="319"/>
        <v>-23.1392794249544+14.9911886264529i</v>
      </c>
      <c r="AA533" s="160">
        <f t="shared" si="330"/>
        <v>27.57103532223643</v>
      </c>
      <c r="AB533" s="160">
        <f t="shared" si="331"/>
        <v>2.566717969275393</v>
      </c>
      <c r="AC533" s="171" t="str">
        <f t="shared" si="332"/>
        <v>-0.0136759233126822+0.0411854523784269i</v>
      </c>
      <c r="AD533" s="190">
        <f t="shared" si="333"/>
        <v>-27.250868661079792</v>
      </c>
      <c r="AE533" s="169">
        <f t="shared" si="334"/>
        <v>108.36911493652374</v>
      </c>
      <c r="AF533" s="98" t="str">
        <f t="shared" si="320"/>
        <v>-0.0000816326530612245</v>
      </c>
      <c r="AG533" s="98" t="str">
        <f t="shared" si="321"/>
        <v>0.208568025936011i</v>
      </c>
      <c r="AH533" s="98">
        <f t="shared" si="335"/>
        <v>0.20856802593601101</v>
      </c>
      <c r="AI533" s="98">
        <f t="shared" si="336"/>
        <v>1.5707963267948966</v>
      </c>
      <c r="AJ533" s="98" t="str">
        <f t="shared" si="322"/>
        <v>1+63.5617904301141i</v>
      </c>
      <c r="AK533" s="98">
        <f t="shared" si="337"/>
        <v>63.569656304574629</v>
      </c>
      <c r="AL533" s="98">
        <f t="shared" si="338"/>
        <v>1.5550649023132925</v>
      </c>
      <c r="AM533" s="98" t="str">
        <f t="shared" si="323"/>
        <v>1+995.801383405124i</v>
      </c>
      <c r="AN533" s="98">
        <f t="shared" si="339"/>
        <v>995.80188551315712</v>
      </c>
      <c r="AO533" s="98">
        <f t="shared" si="340"/>
        <v>1.5697921108131607</v>
      </c>
      <c r="AP533" s="168" t="str">
        <f t="shared" si="341"/>
        <v>-0.0000902909032716572+0.00613044728921755i</v>
      </c>
      <c r="AQ533" s="98">
        <f t="shared" si="342"/>
        <v>-44.249214769043803</v>
      </c>
      <c r="AR533" s="169">
        <f t="shared" si="343"/>
        <v>90.843806891051656</v>
      </c>
      <c r="AS533" s="168" t="str">
        <f t="shared" si="344"/>
        <v>-0.00025125043341955-0.0000875581986966797i</v>
      </c>
      <c r="AT533" s="190">
        <f t="shared" si="345"/>
        <v>-71.500083430123581</v>
      </c>
      <c r="AU533" s="169">
        <f t="shared" si="346"/>
        <v>-160.7870781724246</v>
      </c>
      <c r="AV533" s="225"/>
      <c r="AX533">
        <f t="shared" si="347"/>
        <v>0</v>
      </c>
      <c r="AY533">
        <f t="shared" si="348"/>
        <v>0</v>
      </c>
    </row>
    <row r="534" spans="14:51" x14ac:dyDescent="0.25">
      <c r="N534" s="170">
        <v>16</v>
      </c>
      <c r="O534" s="199">
        <f t="shared" si="314"/>
        <v>1445439.7707459298</v>
      </c>
      <c r="P534" s="189" t="str">
        <f t="shared" si="315"/>
        <v>18.0065359477124</v>
      </c>
      <c r="Q534" s="160" t="str">
        <f t="shared" si="316"/>
        <v>1+2849.244213322i</v>
      </c>
      <c r="R534" s="160">
        <f t="shared" si="324"/>
        <v>2849.244388807128</v>
      </c>
      <c r="S534" s="160">
        <f t="shared" si="325"/>
        <v>1.570445356543114</v>
      </c>
      <c r="T534" s="160" t="str">
        <f t="shared" si="317"/>
        <v>1+3.63278637198554i</v>
      </c>
      <c r="U534" s="160">
        <f t="shared" si="326"/>
        <v>3.7679088131858847</v>
      </c>
      <c r="V534" s="160">
        <f t="shared" si="327"/>
        <v>1.3021783754944156</v>
      </c>
      <c r="W534" s="98" t="str">
        <f t="shared" si="318"/>
        <v>1-51.3219127344217i</v>
      </c>
      <c r="X534" s="160">
        <f t="shared" si="328"/>
        <v>51.331654237123466</v>
      </c>
      <c r="Y534" s="160">
        <f t="shared" si="329"/>
        <v>-1.5513139376483702</v>
      </c>
      <c r="Z534" s="98" t="str">
        <f t="shared" si="319"/>
        <v>-24.2769286152474+15.3403782674082i</v>
      </c>
      <c r="AA534" s="160">
        <f t="shared" si="330"/>
        <v>28.717528939255686</v>
      </c>
      <c r="AB534" s="160">
        <f t="shared" si="331"/>
        <v>2.5780531883364763</v>
      </c>
      <c r="AC534" s="171" t="str">
        <f t="shared" si="332"/>
        <v>-0.0131770049175505+0.0404726127053955i</v>
      </c>
      <c r="AD534" s="190">
        <f t="shared" si="333"/>
        <v>-27.419219049945696</v>
      </c>
      <c r="AE534" s="169">
        <f t="shared" si="334"/>
        <v>108.03412582419534</v>
      </c>
      <c r="AF534" s="98" t="str">
        <f t="shared" si="320"/>
        <v>-0.0000816326530612245</v>
      </c>
      <c r="AG534" s="98" t="str">
        <f t="shared" si="321"/>
        <v>0.213426199354151i</v>
      </c>
      <c r="AH534" s="98">
        <f t="shared" si="335"/>
        <v>0.213426199354151</v>
      </c>
      <c r="AI534" s="98">
        <f t="shared" si="336"/>
        <v>1.5707963267948966</v>
      </c>
      <c r="AJ534" s="98" t="str">
        <f t="shared" si="322"/>
        <v>1+65.0423347239537i</v>
      </c>
      <c r="AK534" s="98">
        <f t="shared" si="337"/>
        <v>65.05002157065617</v>
      </c>
      <c r="AL534" s="98">
        <f t="shared" si="338"/>
        <v>1.5554229361774967</v>
      </c>
      <c r="AM534" s="98" t="str">
        <f t="shared" si="323"/>
        <v>1+1018.99657734195i</v>
      </c>
      <c r="AN534" s="98">
        <f t="shared" si="339"/>
        <v>1018.9970680206144</v>
      </c>
      <c r="AO534" s="98">
        <f t="shared" si="340"/>
        <v>1.5698149695448185</v>
      </c>
      <c r="AP534" s="168" t="str">
        <f t="shared" si="341"/>
        <v>-0.000086228103567631+0.00599096373605889i</v>
      </c>
      <c r="AQ534" s="98">
        <f t="shared" si="342"/>
        <v>-44.449166596719678</v>
      </c>
      <c r="AR534" s="169">
        <f t="shared" si="343"/>
        <v>90.824602770558982</v>
      </c>
      <c r="AS534" s="168" t="str">
        <f t="shared" si="344"/>
        <v>-0.000241333726876839-0.0000824328352509282i</v>
      </c>
      <c r="AT534" s="190">
        <f t="shared" si="345"/>
        <v>-71.868385646665374</v>
      </c>
      <c r="AU534" s="169">
        <f t="shared" si="346"/>
        <v>-161.14127140524567</v>
      </c>
      <c r="AV534" s="225"/>
      <c r="AX534">
        <f t="shared" si="347"/>
        <v>0</v>
      </c>
      <c r="AY534">
        <f t="shared" si="348"/>
        <v>0</v>
      </c>
    </row>
    <row r="535" spans="14:51" x14ac:dyDescent="0.25">
      <c r="N535" s="170">
        <v>17</v>
      </c>
      <c r="O535" s="199">
        <f t="shared" si="314"/>
        <v>1479108.3881682095</v>
      </c>
      <c r="P535" s="189" t="str">
        <f t="shared" si="315"/>
        <v>18.0065359477124</v>
      </c>
      <c r="Q535" s="160" t="str">
        <f t="shared" si="316"/>
        <v>1+2915.61163678888i</v>
      </c>
      <c r="R535" s="160">
        <f t="shared" si="324"/>
        <v>2915.6118082794787</v>
      </c>
      <c r="S535" s="160">
        <f t="shared" si="325"/>
        <v>1.5704533456007725</v>
      </c>
      <c r="T535" s="160" t="str">
        <f t="shared" si="317"/>
        <v>1+3.71740483690583i</v>
      </c>
      <c r="U535" s="160">
        <f t="shared" si="326"/>
        <v>3.8495582501698631</v>
      </c>
      <c r="V535" s="160">
        <f t="shared" si="327"/>
        <v>1.3080122398412317</v>
      </c>
      <c r="W535" s="98" t="str">
        <f t="shared" si="318"/>
        <v>1-52.517353651578i</v>
      </c>
      <c r="X535" s="160">
        <f t="shared" si="328"/>
        <v>52.52687345126219</v>
      </c>
      <c r="Y535" s="160">
        <f t="shared" si="329"/>
        <v>-1.5517573025598659</v>
      </c>
      <c r="Z535" s="98" t="str">
        <f t="shared" si="319"/>
        <v>-25.4681935600702+15.6977015799748i</v>
      </c>
      <c r="AA535" s="160">
        <f t="shared" si="330"/>
        <v>29.917331400162425</v>
      </c>
      <c r="AB535" s="160">
        <f t="shared" si="331"/>
        <v>2.5892269317214431</v>
      </c>
      <c r="AC535" s="171" t="str">
        <f t="shared" si="332"/>
        <v>-0.0126924599319755+0.0397651914353737i</v>
      </c>
      <c r="AD535" s="190">
        <f t="shared" si="333"/>
        <v>-27.588598671674831</v>
      </c>
      <c r="AE535" s="169">
        <f t="shared" si="334"/>
        <v>107.70231261469991</v>
      </c>
      <c r="AF535" s="98" t="str">
        <f t="shared" si="320"/>
        <v>-0.0000816326530612245</v>
      </c>
      <c r="AG535" s="98" t="str">
        <f t="shared" si="321"/>
        <v>0.218397534168217i</v>
      </c>
      <c r="AH535" s="98">
        <f t="shared" si="335"/>
        <v>0.218397534168217</v>
      </c>
      <c r="AI535" s="98">
        <f t="shared" si="336"/>
        <v>1.5707963267948966</v>
      </c>
      <c r="AJ535" s="98" t="str">
        <f t="shared" si="322"/>
        <v>1+66.5573653246009i</v>
      </c>
      <c r="AK535" s="98">
        <f t="shared" si="337"/>
        <v>66.564877217286181</v>
      </c>
      <c r="AL535" s="98">
        <f t="shared" si="338"/>
        <v>1.5557728240047961</v>
      </c>
      <c r="AM535" s="98" t="str">
        <f t="shared" si="323"/>
        <v>1+1042.73205675208i</v>
      </c>
      <c r="AN535" s="98">
        <f t="shared" si="339"/>
        <v>1042.7325362615395</v>
      </c>
      <c r="AO535" s="98">
        <f t="shared" si="340"/>
        <v>1.5698373079492092</v>
      </c>
      <c r="AP535" s="168" t="str">
        <f t="shared" si="341"/>
        <v>-0.0000823480754897723+0.00585465104827187i</v>
      </c>
      <c r="AQ535" s="98">
        <f t="shared" si="342"/>
        <v>-44.649120592004373</v>
      </c>
      <c r="AR535" s="169">
        <f t="shared" si="343"/>
        <v>90.805835571044383</v>
      </c>
      <c r="AS535" s="168" t="str">
        <f t="shared" si="344"/>
        <v>-0.000231766120073213-0.0000775845108320745i</v>
      </c>
      <c r="AT535" s="190">
        <f t="shared" si="345"/>
        <v>-72.237719263679196</v>
      </c>
      <c r="AU535" s="169">
        <f t="shared" si="346"/>
        <v>-161.49185181425571</v>
      </c>
      <c r="AV535" s="225"/>
      <c r="AX535">
        <f t="shared" si="347"/>
        <v>0</v>
      </c>
      <c r="AY535">
        <f t="shared" si="348"/>
        <v>0</v>
      </c>
    </row>
    <row r="536" spans="14:51" x14ac:dyDescent="0.25">
      <c r="N536" s="170">
        <v>18</v>
      </c>
      <c r="O536" s="199">
        <f t="shared" si="314"/>
        <v>1513561.2484362102</v>
      </c>
      <c r="P536" s="189" t="str">
        <f t="shared" si="315"/>
        <v>18.0065359477124</v>
      </c>
      <c r="Q536" s="160" t="str">
        <f t="shared" si="316"/>
        <v>1+2983.52495613829i</v>
      </c>
      <c r="R536" s="160">
        <f t="shared" si="324"/>
        <v>2983.525123725286</v>
      </c>
      <c r="S536" s="160">
        <f t="shared" si="325"/>
        <v>1.5704611528053192</v>
      </c>
      <c r="T536" s="160" t="str">
        <f t="shared" si="317"/>
        <v>1+3.80399431907632i</v>
      </c>
      <c r="U536" s="160">
        <f t="shared" si="326"/>
        <v>3.9332394765085068</v>
      </c>
      <c r="V536" s="160">
        <f t="shared" si="327"/>
        <v>1.3137310571733718</v>
      </c>
      <c r="W536" s="98" t="str">
        <f t="shared" si="318"/>
        <v>1-53.7406399647899i</v>
      </c>
      <c r="X536" s="160">
        <f t="shared" si="328"/>
        <v>53.749943105320334</v>
      </c>
      <c r="Y536" s="160">
        <f t="shared" si="329"/>
        <v>-1.5521905824875795</v>
      </c>
      <c r="Z536" s="98" t="str">
        <f t="shared" si="319"/>
        <v>-26.7156010920866+16.0633480217028i</v>
      </c>
      <c r="AA536" s="160">
        <f t="shared" si="330"/>
        <v>31.172976941220131</v>
      </c>
      <c r="AB536" s="160">
        <f t="shared" si="331"/>
        <v>2.6002382432336009</v>
      </c>
      <c r="AC536" s="171" t="str">
        <f t="shared" si="332"/>
        <v>-0.0122221292711803+0.0390634448253299i</v>
      </c>
      <c r="AD536" s="190">
        <f t="shared" si="333"/>
        <v>-27.758988139591683</v>
      </c>
      <c r="AE536" s="169">
        <f t="shared" si="334"/>
        <v>107.37380260401137</v>
      </c>
      <c r="AF536" s="98" t="str">
        <f t="shared" si="320"/>
        <v>-0.0000816326530612245</v>
      </c>
      <c r="AG536" s="98" t="str">
        <f t="shared" si="321"/>
        <v>0.223484666245734i</v>
      </c>
      <c r="AH536" s="98">
        <f t="shared" si="335"/>
        <v>0.22348466624573399</v>
      </c>
      <c r="AI536" s="98">
        <f t="shared" si="336"/>
        <v>1.5707963267948966</v>
      </c>
      <c r="AJ536" s="98" t="str">
        <f t="shared" si="322"/>
        <v>1+68.1076855213342i</v>
      </c>
      <c r="AK536" s="98">
        <f t="shared" si="337"/>
        <v>68.115026441108839</v>
      </c>
      <c r="AL536" s="98">
        <f t="shared" si="338"/>
        <v>1.5561147509674809</v>
      </c>
      <c r="AM536" s="98" t="str">
        <f t="shared" si="323"/>
        <v>1+1067.02040650091i</v>
      </c>
      <c r="AN536" s="98">
        <f t="shared" si="339"/>
        <v>1067.0208750954064</v>
      </c>
      <c r="AO536" s="98">
        <f t="shared" si="340"/>
        <v>1.5698591378703615</v>
      </c>
      <c r="AP536" s="168" t="str">
        <f t="shared" si="341"/>
        <v>-0.0000786426003908788+0.00572143732620198i</v>
      </c>
      <c r="AQ536" s="98">
        <f t="shared" si="342"/>
        <v>-44.849076657383698</v>
      </c>
      <c r="AR536" s="169">
        <f t="shared" si="343"/>
        <v>90.787495361529935</v>
      </c>
      <c r="AS536" s="168" t="str">
        <f t="shared" si="344"/>
        <v>-0.000222537871285475-0.0000730001974990863i</v>
      </c>
      <c r="AT536" s="190">
        <f t="shared" si="345"/>
        <v>-72.608064796975384</v>
      </c>
      <c r="AU536" s="169">
        <f t="shared" si="346"/>
        <v>-161.83870203445872</v>
      </c>
      <c r="AV536" s="225"/>
      <c r="AX536">
        <f t="shared" si="347"/>
        <v>0</v>
      </c>
      <c r="AY536">
        <f t="shared" si="348"/>
        <v>0</v>
      </c>
    </row>
    <row r="537" spans="14:51" x14ac:dyDescent="0.25">
      <c r="N537" s="170">
        <v>19</v>
      </c>
      <c r="O537" s="199">
        <f t="shared" si="314"/>
        <v>1548816.6189124861</v>
      </c>
      <c r="P537" s="189" t="str">
        <f t="shared" si="315"/>
        <v>18.0065359477124</v>
      </c>
      <c r="Q537" s="160" t="str">
        <f t="shared" si="316"/>
        <v>1+3053.02017991106i</v>
      </c>
      <c r="R537" s="160">
        <f t="shared" si="324"/>
        <v>3053.0203436833112</v>
      </c>
      <c r="S537" s="160">
        <f t="shared" si="325"/>
        <v>1.5704687822962333</v>
      </c>
      <c r="T537" s="160" t="str">
        <f t="shared" si="317"/>
        <v>1+3.8926007293866i</v>
      </c>
      <c r="U537" s="160">
        <f t="shared" si="326"/>
        <v>4.0189974419525436</v>
      </c>
      <c r="V537" s="160">
        <f t="shared" si="327"/>
        <v>1.3193363628032395</v>
      </c>
      <c r="W537" s="98" t="str">
        <f t="shared" si="318"/>
        <v>1-54.9924202766526i</v>
      </c>
      <c r="X537" s="160">
        <f t="shared" si="328"/>
        <v>55.001511687261761</v>
      </c>
      <c r="Y537" s="160">
        <f t="shared" si="329"/>
        <v>-1.5526140065111675</v>
      </c>
      <c r="Z537" s="98" t="str">
        <f t="shared" si="319"/>
        <v>-28.0217971299146+16.4375114631754i</v>
      </c>
      <c r="AA537" s="160">
        <f t="shared" si="330"/>
        <v>32.487118947239885</v>
      </c>
      <c r="AB537" s="160">
        <f t="shared" si="331"/>
        <v>2.6110863488240641</v>
      </c>
      <c r="AC537" s="171" t="str">
        <f t="shared" si="332"/>
        <v>-0.011765839105347+0.0383676221004441i</v>
      </c>
      <c r="AD537" s="190">
        <f t="shared" si="333"/>
        <v>-27.930367372212505</v>
      </c>
      <c r="AE537" s="169">
        <f t="shared" si="334"/>
        <v>107.04871474631265</v>
      </c>
      <c r="AF537" s="98" t="str">
        <f t="shared" si="320"/>
        <v>-0.0000816326530612245</v>
      </c>
      <c r="AG537" s="98" t="str">
        <f t="shared" si="321"/>
        <v>0.228690292851463i</v>
      </c>
      <c r="AH537" s="98">
        <f t="shared" si="335"/>
        <v>0.228690292851463</v>
      </c>
      <c r="AI537" s="98">
        <f t="shared" si="336"/>
        <v>1.5707963267948966</v>
      </c>
      <c r="AJ537" s="98" t="str">
        <f t="shared" si="322"/>
        <v>1+69.6941173144428i</v>
      </c>
      <c r="AK537" s="98">
        <f t="shared" si="337"/>
        <v>69.701291151881236</v>
      </c>
      <c r="AL537" s="98">
        <f t="shared" si="338"/>
        <v>1.5564488980397608</v>
      </c>
      <c r="AM537" s="98" t="str">
        <f t="shared" si="323"/>
        <v>1+1091.87450459294i</v>
      </c>
      <c r="AN537" s="98">
        <f t="shared" si="339"/>
        <v>1091.874962520928</v>
      </c>
      <c r="AO537" s="98">
        <f t="shared" si="340"/>
        <v>1.569880470882705</v>
      </c>
      <c r="AP537" s="168" t="str">
        <f t="shared" si="341"/>
        <v>-0.0000751038288702738+0.00559125228828682i</v>
      </c>
      <c r="AQ537" s="98">
        <f t="shared" si="342"/>
        <v>-45.049034699728395</v>
      </c>
      <c r="AR537" s="169">
        <f t="shared" si="343"/>
        <v>90.769572436123241</v>
      </c>
      <c r="AS537" s="168" t="str">
        <f t="shared" si="344"/>
        <v>-0.000213639395298549-0.0000686673301457771i</v>
      </c>
      <c r="AT537" s="190">
        <f t="shared" si="345"/>
        <v>-72.979402071940896</v>
      </c>
      <c r="AU537" s="169">
        <f t="shared" si="346"/>
        <v>-162.18171281756409</v>
      </c>
      <c r="AV537" s="225"/>
      <c r="AX537">
        <f t="shared" si="347"/>
        <v>0</v>
      </c>
      <c r="AY537">
        <f t="shared" si="348"/>
        <v>0</v>
      </c>
    </row>
    <row r="538" spans="14:51" x14ac:dyDescent="0.25">
      <c r="N538" s="170">
        <v>20</v>
      </c>
      <c r="O538" s="199">
        <f t="shared" si="314"/>
        <v>1584893.1924611153</v>
      </c>
      <c r="P538" s="189" t="str">
        <f t="shared" si="315"/>
        <v>18.0065359477124</v>
      </c>
      <c r="Q538" s="160" t="str">
        <f t="shared" si="316"/>
        <v>1+3124.13415539471i</v>
      </c>
      <c r="R538" s="160">
        <f t="shared" si="324"/>
        <v>3124.1343154390493</v>
      </c>
      <c r="S538" s="160">
        <f t="shared" si="325"/>
        <v>1.5704762381187682</v>
      </c>
      <c r="T538" s="160" t="str">
        <f t="shared" si="317"/>
        <v>1+3.98327104812825i</v>
      </c>
      <c r="U538" s="160">
        <f t="shared" si="326"/>
        <v>4.1068781626506441</v>
      </c>
      <c r="V538" s="160">
        <f t="shared" si="327"/>
        <v>1.324829719225137</v>
      </c>
      <c r="W538" s="98" t="str">
        <f t="shared" si="318"/>
        <v>1-56.2733582976566i</v>
      </c>
      <c r="X538" s="160">
        <f t="shared" si="328"/>
        <v>56.282242795542871</v>
      </c>
      <c r="Y538" s="160">
        <f t="shared" si="329"/>
        <v>-1.5530277985279859</v>
      </c>
      <c r="Z538" s="98" t="str">
        <f t="shared" si="319"/>
        <v>-29.3895522904751+16.8203902908019i</v>
      </c>
      <c r="AA538" s="160">
        <f t="shared" si="330"/>
        <v>33.862535542535397</v>
      </c>
      <c r="AB538" s="160">
        <f t="shared" si="331"/>
        <v>2.6217706523477307</v>
      </c>
      <c r="AC538" s="171" t="str">
        <f t="shared" si="332"/>
        <v>-0.0113234017290132+0.0376779644397047i</v>
      </c>
      <c r="AD538" s="190">
        <f t="shared" si="333"/>
        <v>-28.10271568709565</v>
      </c>
      <c r="AE538" s="169">
        <f t="shared" si="334"/>
        <v>106.72715966238161</v>
      </c>
      <c r="AF538" s="98" t="str">
        <f t="shared" si="320"/>
        <v>-0.0000816326530612245</v>
      </c>
      <c r="AG538" s="98" t="str">
        <f t="shared" si="321"/>
        <v>0.234017174077535i</v>
      </c>
      <c r="AH538" s="98">
        <f t="shared" si="335"/>
        <v>0.234017174077535</v>
      </c>
      <c r="AI538" s="98">
        <f t="shared" si="336"/>
        <v>1.5707963267948966</v>
      </c>
      <c r="AJ538" s="98" t="str">
        <f t="shared" si="322"/>
        <v>1+71.3175018510619i</v>
      </c>
      <c r="AK538" s="98">
        <f t="shared" si="337"/>
        <v>71.324512408261285</v>
      </c>
      <c r="AL538" s="98">
        <f t="shared" si="338"/>
        <v>1.5567754420921933</v>
      </c>
      <c r="AM538" s="98" t="str">
        <f t="shared" si="323"/>
        <v>1+1117.30752899997i</v>
      </c>
      <c r="AN538" s="98">
        <f t="shared" si="339"/>
        <v>1117.3079765042487</v>
      </c>
      <c r="AO538" s="98">
        <f t="shared" si="340"/>
        <v>1.5699013182972079</v>
      </c>
      <c r="AP538" s="168" t="str">
        <f t="shared" si="341"/>
        <v>-0.0000717242642124346+0.00546402723545989i</v>
      </c>
      <c r="AQ538" s="98">
        <f t="shared" si="342"/>
        <v>-45.248994630097179</v>
      </c>
      <c r="AR538" s="169">
        <f t="shared" si="343"/>
        <v>90.752057308958527</v>
      </c>
      <c r="AS538" s="168" t="str">
        <f t="shared" si="344"/>
        <v>-0.00020506126121784-0.0000645737997218418i</v>
      </c>
      <c r="AT538" s="190">
        <f t="shared" si="345"/>
        <v>-73.351710317192854</v>
      </c>
      <c r="AU538" s="169">
        <f t="shared" si="346"/>
        <v>-162.52078302865985</v>
      </c>
      <c r="AV538" s="225"/>
      <c r="AX538">
        <f t="shared" si="347"/>
        <v>0</v>
      </c>
      <c r="AY538">
        <f t="shared" si="348"/>
        <v>0</v>
      </c>
    </row>
    <row r="539" spans="14:51" x14ac:dyDescent="0.25">
      <c r="N539" s="170">
        <v>21</v>
      </c>
      <c r="O539" s="199">
        <f t="shared" si="314"/>
        <v>1621810.0973589318</v>
      </c>
      <c r="P539" s="189" t="str">
        <f t="shared" si="315"/>
        <v>18.0065359477124</v>
      </c>
      <c r="Q539" s="160" t="str">
        <f t="shared" si="316"/>
        <v>1+3196.90458816035i</v>
      </c>
      <c r="R539" s="160">
        <f t="shared" si="324"/>
        <v>3196.9047445616361</v>
      </c>
      <c r="S539" s="160">
        <f t="shared" si="325"/>
        <v>1.5704835242260966</v>
      </c>
      <c r="T539" s="160" t="str">
        <f t="shared" si="317"/>
        <v>1+4.07605334990444i</v>
      </c>
      <c r="U539" s="160">
        <f t="shared" si="326"/>
        <v>4.1969287474613148</v>
      </c>
      <c r="V539" s="160">
        <f t="shared" si="327"/>
        <v>1.3302127123451275</v>
      </c>
      <c r="W539" s="98" t="str">
        <f t="shared" si="318"/>
        <v>1-57.5841331980958i</v>
      </c>
      <c r="X539" s="160">
        <f t="shared" si="328"/>
        <v>57.592815490962394</v>
      </c>
      <c r="Y539" s="160">
        <f t="shared" si="329"/>
        <v>-1.5534321773689048</v>
      </c>
      <c r="Z539" s="98" t="str">
        <f t="shared" si="319"/>
        <v>-30.8217677658419+17.2121875120047i</v>
      </c>
      <c r="AA539" s="160">
        <f t="shared" si="330"/>
        <v>35.302135447588739</v>
      </c>
      <c r="AB539" s="160">
        <f t="shared" si="331"/>
        <v>2.632290730859375</v>
      </c>
      <c r="AC539" s="171" t="str">
        <f t="shared" si="332"/>
        <v>-0.010894616479749+0.0369947040742016i</v>
      </c>
      <c r="AD539" s="190">
        <f t="shared" si="333"/>
        <v>-28.276011891078703</v>
      </c>
      <c r="AE539" s="169">
        <f t="shared" si="334"/>
        <v>106.40923968633344</v>
      </c>
      <c r="AF539" s="98" t="str">
        <f t="shared" si="320"/>
        <v>-0.0000816326530612245</v>
      </c>
      <c r="AG539" s="98" t="str">
        <f t="shared" si="321"/>
        <v>0.239468134306887i</v>
      </c>
      <c r="AH539" s="98">
        <f t="shared" si="335"/>
        <v>0.23946813430688699</v>
      </c>
      <c r="AI539" s="98">
        <f t="shared" si="336"/>
        <v>1.5707963267948966</v>
      </c>
      <c r="AJ539" s="98" t="str">
        <f t="shared" si="322"/>
        <v>1+72.9786998711612i</v>
      </c>
      <c r="AK539" s="98">
        <f t="shared" si="337"/>
        <v>72.985550863749893</v>
      </c>
      <c r="AL539" s="98">
        <f t="shared" si="338"/>
        <v>1.5570945559840397</v>
      </c>
      <c r="AM539" s="98" t="str">
        <f t="shared" si="323"/>
        <v>1+1143.3329646482i</v>
      </c>
      <c r="AN539" s="98">
        <f t="shared" si="339"/>
        <v>1143.3334019660417</v>
      </c>
      <c r="AO539" s="98">
        <f t="shared" si="340"/>
        <v>1.5699216911673723</v>
      </c>
      <c r="AP539" s="168" t="str">
        <f t="shared" si="341"/>
        <v>-0.0000684967465659614+0.00533969501628246i</v>
      </c>
      <c r="AQ539" s="98">
        <f t="shared" si="342"/>
        <v>-45.448956363548383</v>
      </c>
      <c r="AR539" s="169">
        <f t="shared" si="343"/>
        <v>90.734940709248733</v>
      </c>
      <c r="AS539" s="168" t="str">
        <f t="shared" si="344"/>
        <v>-0.000196794191189912-0.0000607079461904778i</v>
      </c>
      <c r="AT539" s="190">
        <f t="shared" si="345"/>
        <v>-73.724968254627086</v>
      </c>
      <c r="AU539" s="169">
        <f t="shared" si="346"/>
        <v>-162.85581960441783</v>
      </c>
      <c r="AV539" s="225"/>
      <c r="AX539">
        <f t="shared" si="347"/>
        <v>0</v>
      </c>
      <c r="AY539">
        <f t="shared" si="348"/>
        <v>0</v>
      </c>
    </row>
    <row r="540" spans="14:51" x14ac:dyDescent="0.25">
      <c r="N540" s="170">
        <v>22</v>
      </c>
      <c r="O540" s="199">
        <f t="shared" si="314"/>
        <v>1659586.9074375622</v>
      </c>
      <c r="P540" s="189" t="str">
        <f t="shared" si="315"/>
        <v>18.0065359477124</v>
      </c>
      <c r="Q540" s="160" t="str">
        <f t="shared" si="316"/>
        <v>1+3271.37006205468i</v>
      </c>
      <c r="R540" s="160">
        <f t="shared" si="324"/>
        <v>3271.3702148958382</v>
      </c>
      <c r="S540" s="160">
        <f t="shared" si="325"/>
        <v>1.570490644481406</v>
      </c>
      <c r="T540" s="160" t="str">
        <f t="shared" si="317"/>
        <v>1+4.17099682911972i</v>
      </c>
      <c r="U540" s="160">
        <f t="shared" si="326"/>
        <v>4.2891974247552138</v>
      </c>
      <c r="V540" s="160">
        <f t="shared" si="327"/>
        <v>1.3354869479141078</v>
      </c>
      <c r="W540" s="98" t="str">
        <f t="shared" si="318"/>
        <v>1-58.9254399681732i</v>
      </c>
      <c r="X540" s="160">
        <f t="shared" si="328"/>
        <v>58.933924656710111</v>
      </c>
      <c r="Y540" s="160">
        <f t="shared" si="329"/>
        <v>-1.5538273569116361</v>
      </c>
      <c r="Z540" s="98" t="str">
        <f t="shared" si="319"/>
        <v>-32.3214814770591+17.6131108628568i</v>
      </c>
      <c r="AA540" s="160">
        <f t="shared" si="330"/>
        <v>36.808964113910605</v>
      </c>
      <c r="AB540" s="160">
        <f t="shared" si="331"/>
        <v>2.6426463295040747</v>
      </c>
      <c r="AC540" s="171" t="str">
        <f t="shared" si="332"/>
        <v>-0.0104792706941747+0.0363180634969723i</v>
      </c>
      <c r="AD540" s="190">
        <f t="shared" si="333"/>
        <v>-28.450234366644271</v>
      </c>
      <c r="AE540" s="169">
        <f t="shared" si="334"/>
        <v>106.09504894739452</v>
      </c>
      <c r="AF540" s="98" t="str">
        <f t="shared" si="320"/>
        <v>-0.0000816326530612245</v>
      </c>
      <c r="AG540" s="98" t="str">
        <f t="shared" si="321"/>
        <v>0.245046063710784i</v>
      </c>
      <c r="AH540" s="98">
        <f t="shared" si="335"/>
        <v>0.245046063710784</v>
      </c>
      <c r="AI540" s="98">
        <f t="shared" si="336"/>
        <v>1.5707963267948966</v>
      </c>
      <c r="AJ540" s="98" t="str">
        <f t="shared" si="322"/>
        <v>1+74.6785921639198i</v>
      </c>
      <c r="AK540" s="98">
        <f t="shared" si="337"/>
        <v>74.685287223020467</v>
      </c>
      <c r="AL540" s="98">
        <f t="shared" si="338"/>
        <v>1.5574064086535881</v>
      </c>
      <c r="AM540" s="98" t="str">
        <f t="shared" si="323"/>
        <v>1+1169.96461056808i</v>
      </c>
      <c r="AN540" s="98">
        <f t="shared" si="339"/>
        <v>1169.9650379313557</v>
      </c>
      <c r="AO540" s="98">
        <f t="shared" si="340"/>
        <v>1.5699416002950966</v>
      </c>
      <c r="AP540" s="168" t="str">
        <f t="shared" si="341"/>
        <v>-0.0000654144378299915+0.00521818999279182i</v>
      </c>
      <c r="AQ540" s="98">
        <f t="shared" si="342"/>
        <v>-45.648919818960785</v>
      </c>
      <c r="AR540" s="169">
        <f t="shared" si="343"/>
        <v>90.718213576446104</v>
      </c>
      <c r="AS540" s="168" t="str">
        <f t="shared" si="344"/>
        <v>-0.000188829059896151-0.0000570585511748274i</v>
      </c>
      <c r="AT540" s="190">
        <f t="shared" si="345"/>
        <v>-74.099154185605045</v>
      </c>
      <c r="AU540" s="169">
        <f t="shared" si="346"/>
        <v>-163.18673747615938</v>
      </c>
      <c r="AV540" s="225"/>
      <c r="AX540">
        <f t="shared" si="347"/>
        <v>0</v>
      </c>
      <c r="AY540">
        <f t="shared" si="348"/>
        <v>0</v>
      </c>
    </row>
    <row r="541" spans="14:51" x14ac:dyDescent="0.25">
      <c r="N541" s="170">
        <v>23</v>
      </c>
      <c r="O541" s="199">
        <f t="shared" si="314"/>
        <v>1698243.6524617488</v>
      </c>
      <c r="P541" s="189" t="str">
        <f t="shared" si="315"/>
        <v>18.0065359477124</v>
      </c>
      <c r="Q541" s="160" t="str">
        <f t="shared" si="316"/>
        <v>1+3347.57005965763i</v>
      </c>
      <c r="R541" s="160">
        <f t="shared" si="324"/>
        <v>3347.5702090196987</v>
      </c>
      <c r="S541" s="160">
        <f t="shared" si="325"/>
        <v>1.5704976026599469</v>
      </c>
      <c r="T541" s="160" t="str">
        <f t="shared" si="317"/>
        <v>1+4.26815182606348i</v>
      </c>
      <c r="U541" s="160">
        <f t="shared" si="326"/>
        <v>4.3837335697244439</v>
      </c>
      <c r="V541" s="160">
        <f t="shared" si="327"/>
        <v>1.3406540481597071</v>
      </c>
      <c r="W541" s="98" t="str">
        <f t="shared" si="318"/>
        <v>1-60.2979897864922i</v>
      </c>
      <c r="X541" s="160">
        <f t="shared" si="328"/>
        <v>60.306281366802232</v>
      </c>
      <c r="Y541" s="160">
        <f t="shared" si="329"/>
        <v>-1.5542135461916087</v>
      </c>
      <c r="Z541" s="98" t="str">
        <f t="shared" si="319"/>
        <v>-33.8918745179782+18.0233729182255i</v>
      </c>
      <c r="AA541" s="160">
        <f t="shared" si="330"/>
        <v>38.386210150154241</v>
      </c>
      <c r="AB541" s="160">
        <f t="shared" si="331"/>
        <v>2.6528373560552145</v>
      </c>
      <c r="AC541" s="171" t="str">
        <f t="shared" si="332"/>
        <v>-0.0100771406900936+0.0356482547822114i</v>
      </c>
      <c r="AD541" s="190">
        <f t="shared" si="333"/>
        <v>-28.625361154209422</v>
      </c>
      <c r="AE541" s="169">
        <f t="shared" si="334"/>
        <v>105.78467348340313</v>
      </c>
      <c r="AF541" s="98" t="str">
        <f t="shared" si="320"/>
        <v>-0.0000816326530612245</v>
      </c>
      <c r="AG541" s="98" t="str">
        <f t="shared" si="321"/>
        <v>0.250753919781228i</v>
      </c>
      <c r="AH541" s="98">
        <f t="shared" si="335"/>
        <v>0.25075391978122802</v>
      </c>
      <c r="AI541" s="98">
        <f t="shared" si="336"/>
        <v>1.5707963267948966</v>
      </c>
      <c r="AJ541" s="98" t="str">
        <f t="shared" si="322"/>
        <v>1+76.418080034732i</v>
      </c>
      <c r="AK541" s="98">
        <f t="shared" si="337"/>
        <v>76.424622708880321</v>
      </c>
      <c r="AL541" s="98">
        <f t="shared" si="338"/>
        <v>1.5577111652064859</v>
      </c>
      <c r="AM541" s="98" t="str">
        <f t="shared" si="323"/>
        <v>1+1197.21658721081i</v>
      </c>
      <c r="AN541" s="98">
        <f t="shared" si="339"/>
        <v>1197.2170048461135</v>
      </c>
      <c r="AO541" s="98">
        <f t="shared" si="340"/>
        <v>1.5699610562363999</v>
      </c>
      <c r="AP541" s="168" t="str">
        <f t="shared" si="341"/>
        <v>-0.0000624708072166519+0.00509944800705605i</v>
      </c>
      <c r="AQ541" s="98">
        <f t="shared" si="342"/>
        <v>-45.848884918861103</v>
      </c>
      <c r="AR541" s="169">
        <f t="shared" si="343"/>
        <v>90.70186705550924</v>
      </c>
      <c r="AS541" s="168" t="str">
        <f t="shared" si="344"/>
        <v>-0.000181156894690828-0.0000536148302610309i</v>
      </c>
      <c r="AT541" s="190">
        <f t="shared" si="345"/>
        <v>-74.474246073070532</v>
      </c>
      <c r="AU541" s="169">
        <f t="shared" si="346"/>
        <v>-163.51345946108759</v>
      </c>
      <c r="AV541" s="225"/>
      <c r="AX541">
        <f t="shared" si="347"/>
        <v>0</v>
      </c>
      <c r="AY541">
        <f t="shared" si="348"/>
        <v>0</v>
      </c>
    </row>
    <row r="542" spans="14:51" x14ac:dyDescent="0.25">
      <c r="N542" s="170">
        <v>24</v>
      </c>
      <c r="O542" s="199">
        <f t="shared" si="314"/>
        <v>1737800.8287493798</v>
      </c>
      <c r="P542" s="189" t="str">
        <f t="shared" si="315"/>
        <v>18.0065359477124</v>
      </c>
      <c r="Q542" s="160" t="str">
        <f t="shared" si="316"/>
        <v>1+3425.5449832165i</v>
      </c>
      <c r="R542" s="160">
        <f t="shared" si="324"/>
        <v>3425.5451291786726</v>
      </c>
      <c r="S542" s="160">
        <f t="shared" si="325"/>
        <v>1.5705044024510351</v>
      </c>
      <c r="T542" s="160" t="str">
        <f t="shared" si="317"/>
        <v>1+4.36756985360104i</v>
      </c>
      <c r="U542" s="160">
        <f t="shared" si="326"/>
        <v>4.4805877322160104</v>
      </c>
      <c r="V542" s="160">
        <f t="shared" si="327"/>
        <v>1.3457156486120929</v>
      </c>
      <c r="W542" s="98" t="str">
        <f t="shared" si="318"/>
        <v>1-61.7025103971336i</v>
      </c>
      <c r="X542" s="160">
        <f t="shared" si="328"/>
        <v>61.710613263103944</v>
      </c>
      <c r="Y542" s="160">
        <f t="shared" si="329"/>
        <v>-1.5545909495104495</v>
      </c>
      <c r="Z542" s="98" t="str">
        <f t="shared" si="319"/>
        <v>-35.5362779027845+18.4431912044828i</v>
      </c>
      <c r="AA542" s="160">
        <f t="shared" si="330"/>
        <v>40.037212053151777</v>
      </c>
      <c r="AB542" s="160">
        <f t="shared" si="331"/>
        <v>2.6628638751518126</v>
      </c>
      <c r="AC542" s="171" t="str">
        <f t="shared" si="332"/>
        <v>-0.00968799276430156+0.0349854790107463i</v>
      </c>
      <c r="AD542" s="190">
        <f t="shared" si="333"/>
        <v>-28.801370030182074</v>
      </c>
      <c r="AE542" s="169">
        <f t="shared" si="334"/>
        <v>105.47819138278925</v>
      </c>
      <c r="AF542" s="98" t="str">
        <f t="shared" si="320"/>
        <v>-0.0000816326530612245</v>
      </c>
      <c r="AG542" s="98" t="str">
        <f t="shared" si="321"/>
        <v>0.256594728899061i</v>
      </c>
      <c r="AH542" s="98">
        <f t="shared" si="335"/>
        <v>0.25659472889906099</v>
      </c>
      <c r="AI542" s="98">
        <f t="shared" si="336"/>
        <v>1.5707963267948966</v>
      </c>
      <c r="AJ542" s="98" t="str">
        <f t="shared" si="322"/>
        <v>1+78.1980857830907i</v>
      </c>
      <c r="AK542" s="98">
        <f t="shared" si="337"/>
        <v>78.204479540110839</v>
      </c>
      <c r="AL542" s="98">
        <f t="shared" si="338"/>
        <v>1.5580089870021232</v>
      </c>
      <c r="AM542" s="98" t="str">
        <f t="shared" si="323"/>
        <v>1+1225.10334393509i</v>
      </c>
      <c r="AN542" s="98">
        <f t="shared" si="339"/>
        <v>1225.1037520638567</v>
      </c>
      <c r="AO542" s="98">
        <f t="shared" si="340"/>
        <v>1.5699800693070214</v>
      </c>
      <c r="AP542" s="168" t="str">
        <f t="shared" si="341"/>
        <v>-0.0000596596174594614+0.0049834063484222i</v>
      </c>
      <c r="AQ542" s="98">
        <f t="shared" si="342"/>
        <v>-46.048851589260735</v>
      </c>
      <c r="AR542" s="169">
        <f t="shared" si="343"/>
        <v>90.685892492274405</v>
      </c>
      <c r="AS542" s="168" t="str">
        <f t="shared" si="344"/>
        <v>-0.000173768876262476-0.0000503664249395059i</v>
      </c>
      <c r="AT542" s="190">
        <f t="shared" si="345"/>
        <v>-74.850221619442834</v>
      </c>
      <c r="AU542" s="169">
        <f t="shared" si="346"/>
        <v>-163.83591612493629</v>
      </c>
      <c r="AV542" s="225"/>
      <c r="AX542">
        <f t="shared" si="347"/>
        <v>0</v>
      </c>
      <c r="AY542">
        <f t="shared" si="348"/>
        <v>0</v>
      </c>
    </row>
    <row r="543" spans="14:51" x14ac:dyDescent="0.25">
      <c r="N543" s="170">
        <v>25</v>
      </c>
      <c r="O543" s="199">
        <f t="shared" si="314"/>
        <v>1778279.4100389241</v>
      </c>
      <c r="P543" s="189" t="str">
        <f t="shared" si="315"/>
        <v>18.0065359477124</v>
      </c>
      <c r="Q543" s="160" t="str">
        <f t="shared" si="316"/>
        <v>1+3505.33617606792i</v>
      </c>
      <c r="R543" s="160">
        <f t="shared" si="324"/>
        <v>3505.3363187075879</v>
      </c>
      <c r="S543" s="160">
        <f t="shared" si="325"/>
        <v>1.5705110474600075</v>
      </c>
      <c r="T543" s="160" t="str">
        <f t="shared" si="317"/>
        <v>1+4.4693036244866i</v>
      </c>
      <c r="U543" s="160">
        <f t="shared" si="326"/>
        <v>4.579811665106881</v>
      </c>
      <c r="V543" s="160">
        <f t="shared" si="327"/>
        <v>1.3506733951183303</v>
      </c>
      <c r="W543" s="98" t="str">
        <f t="shared" si="318"/>
        <v>1-63.1397464955169i</v>
      </c>
      <c r="X543" s="160">
        <f t="shared" si="328"/>
        <v>63.147664941137293</v>
      </c>
      <c r="Y543" s="160">
        <f t="shared" si="329"/>
        <v>-1.5549597665421089</v>
      </c>
      <c r="Z543" s="98" t="str">
        <f t="shared" si="319"/>
        <v>-37.2581796315265+18.8727883148412i</v>
      </c>
      <c r="AA543" s="160">
        <f t="shared" si="330"/>
        <v>41.765465258175951</v>
      </c>
      <c r="AB543" s="160">
        <f t="shared" si="331"/>
        <v>2.6727261022851643</v>
      </c>
      <c r="AC543" s="171" t="str">
        <f t="shared" si="332"/>
        <v>-0.0093115841964578+0.0343299257978911i</v>
      </c>
      <c r="AD543" s="190">
        <f t="shared" si="333"/>
        <v>-28.978238580676301</v>
      </c>
      <c r="AE543" s="169">
        <f t="shared" si="334"/>
        <v>105.17567295185636</v>
      </c>
      <c r="AF543" s="98" t="str">
        <f t="shared" si="320"/>
        <v>-0.0000816326530612245</v>
      </c>
      <c r="AG543" s="98" t="str">
        <f t="shared" si="321"/>
        <v>0.262571587938589i</v>
      </c>
      <c r="AH543" s="98">
        <f t="shared" si="335"/>
        <v>0.26257158793858898</v>
      </c>
      <c r="AI543" s="98">
        <f t="shared" si="336"/>
        <v>1.5707963267948966</v>
      </c>
      <c r="AJ543" s="98" t="str">
        <f t="shared" si="322"/>
        <v>1+80.0195531916055i</v>
      </c>
      <c r="AK543" s="98">
        <f t="shared" si="337"/>
        <v>80.025801420443031</v>
      </c>
      <c r="AL543" s="98">
        <f t="shared" si="338"/>
        <v>1.5583000317381077</v>
      </c>
      <c r="AM543" s="98" t="str">
        <f t="shared" si="323"/>
        <v>1+1253.63966666849i</v>
      </c>
      <c r="AN543" s="98">
        <f t="shared" si="339"/>
        <v>1253.6400655071145</v>
      </c>
      <c r="AO543" s="98">
        <f t="shared" si="340"/>
        <v>1.5699986495878877</v>
      </c>
      <c r="AP543" s="168" t="str">
        <f t="shared" si="341"/>
        <v>-0.0000569749116389642+0.00487000372144816i</v>
      </c>
      <c r="AQ543" s="98">
        <f t="shared" si="342"/>
        <v>-46.248819759498694</v>
      </c>
      <c r="AR543" s="169">
        <f t="shared" si="343"/>
        <v>90.670281428928803</v>
      </c>
      <c r="AS543" s="168" t="str">
        <f t="shared" si="344"/>
        <v>-0.000166656339705957-0.0000473033941782344i</v>
      </c>
      <c r="AT543" s="190">
        <f t="shared" si="345"/>
        <v>-75.227058340174992</v>
      </c>
      <c r="AU543" s="169">
        <f t="shared" si="346"/>
        <v>-164.15404561921486</v>
      </c>
      <c r="AV543" s="225"/>
      <c r="AX543">
        <f t="shared" si="347"/>
        <v>0</v>
      </c>
      <c r="AY543">
        <f t="shared" si="348"/>
        <v>0</v>
      </c>
    </row>
    <row r="544" spans="14:51" x14ac:dyDescent="0.25">
      <c r="N544" s="170">
        <v>26</v>
      </c>
      <c r="O544" s="199">
        <f t="shared" si="314"/>
        <v>1819700.8586099846</v>
      </c>
      <c r="P544" s="189" t="str">
        <f t="shared" si="315"/>
        <v>18.0065359477124</v>
      </c>
      <c r="Q544" s="160" t="str">
        <f t="shared" si="316"/>
        <v>1+3586.98594455853i</v>
      </c>
      <c r="R544" s="160">
        <f t="shared" si="324"/>
        <v>3586.9860839513231</v>
      </c>
      <c r="S544" s="160">
        <f t="shared" si="325"/>
        <v>1.5705175412101329</v>
      </c>
      <c r="T544" s="160" t="str">
        <f t="shared" si="317"/>
        <v>1+4.57340707931212i</v>
      </c>
      <c r="U544" s="160">
        <f t="shared" si="326"/>
        <v>4.6814583532380398</v>
      </c>
      <c r="V544" s="160">
        <f t="shared" si="327"/>
        <v>1.3555289410395412</v>
      </c>
      <c r="W544" s="98" t="str">
        <f t="shared" si="318"/>
        <v>1-64.6104601232458i</v>
      </c>
      <c r="X544" s="160">
        <f t="shared" si="328"/>
        <v>64.618198344874457</v>
      </c>
      <c r="Y544" s="160">
        <f t="shared" si="329"/>
        <v>-1.5553201924366789</v>
      </c>
      <c r="Z544" s="98" t="str">
        <f t="shared" si="319"/>
        <v>-39.0612320886309+19.3123920273751i</v>
      </c>
      <c r="AA544" s="160">
        <f t="shared" si="330"/>
        <v>43.574629523392503</v>
      </c>
      <c r="AB544" s="160">
        <f t="shared" si="331"/>
        <v>2.6824243975826216</v>
      </c>
      <c r="AC544" s="171" t="str">
        <f t="shared" si="332"/>
        <v>-0.00894766425027192+0.033681772919148i</v>
      </c>
      <c r="AD544" s="190">
        <f t="shared" si="333"/>
        <v>-29.155944270817695</v>
      </c>
      <c r="AE544" s="169">
        <f t="shared" si="334"/>
        <v>104.87718090429635</v>
      </c>
      <c r="AF544" s="98" t="str">
        <f t="shared" si="320"/>
        <v>-0.0000816326530612245</v>
      </c>
      <c r="AG544" s="98" t="str">
        <f t="shared" si="321"/>
        <v>0.268687665909588i</v>
      </c>
      <c r="AH544" s="98">
        <f t="shared" si="335"/>
        <v>0.26868766590958798</v>
      </c>
      <c r="AI544" s="98">
        <f t="shared" si="336"/>
        <v>1.5707963267948966</v>
      </c>
      <c r="AJ544" s="98" t="str">
        <f t="shared" si="322"/>
        <v>1+81.8834480264071i</v>
      </c>
      <c r="AK544" s="98">
        <f t="shared" si="337"/>
        <v>81.889554038920679</v>
      </c>
      <c r="AL544" s="98">
        <f t="shared" si="338"/>
        <v>1.5585844535328697</v>
      </c>
      <c r="AM544" s="98" t="str">
        <f t="shared" si="323"/>
        <v>1+1282.84068574705i</v>
      </c>
      <c r="AN544" s="98">
        <f t="shared" si="339"/>
        <v>1282.841075507002</v>
      </c>
      <c r="AO544" s="98">
        <f t="shared" si="340"/>
        <v>1.5700168069304583</v>
      </c>
      <c r="AP544" s="168" t="str">
        <f t="shared" si="341"/>
        <v>-0.000054411000598119+0.00475918021450565i</v>
      </c>
      <c r="AQ544" s="98">
        <f t="shared" si="342"/>
        <v>-46.448789362092441</v>
      </c>
      <c r="AR544" s="169">
        <f t="shared" si="343"/>
        <v>90.655025599583865</v>
      </c>
      <c r="AS544" s="168" t="str">
        <f t="shared" si="344"/>
        <v>-0.000159810775901408-0.0000444162056323831i</v>
      </c>
      <c r="AT544" s="190">
        <f t="shared" si="345"/>
        <v>-75.604733632910126</v>
      </c>
      <c r="AU544" s="169">
        <f t="shared" si="346"/>
        <v>-164.46779349611978</v>
      </c>
      <c r="AV544" s="225"/>
      <c r="AX544">
        <f t="shared" si="347"/>
        <v>0</v>
      </c>
      <c r="AY544">
        <f t="shared" si="348"/>
        <v>0</v>
      </c>
    </row>
    <row r="545" spans="14:51" x14ac:dyDescent="0.25">
      <c r="N545" s="170">
        <v>27</v>
      </c>
      <c r="O545" s="199">
        <f t="shared" si="314"/>
        <v>1862087.1366628683</v>
      </c>
      <c r="P545" s="189" t="str">
        <f t="shared" si="315"/>
        <v>18.0065359477124</v>
      </c>
      <c r="Q545" s="160" t="str">
        <f t="shared" si="316"/>
        <v>1+3670.5375804763i</v>
      </c>
      <c r="R545" s="160">
        <f t="shared" si="324"/>
        <v>3670.5377166961257</v>
      </c>
      <c r="S545" s="160">
        <f t="shared" si="325"/>
        <v>1.570523887144482</v>
      </c>
      <c r="T545" s="160" t="str">
        <f t="shared" si="317"/>
        <v>1+4.67993541510728i</v>
      </c>
      <c r="U545" s="160">
        <f t="shared" si="326"/>
        <v>4.7855820429259532</v>
      </c>
      <c r="V545" s="160">
        <f t="shared" si="327"/>
        <v>1.3602839446248769</v>
      </c>
      <c r="W545" s="98" t="str">
        <f t="shared" si="318"/>
        <v>1-66.1154310721525i</v>
      </c>
      <c r="X545" s="160">
        <f t="shared" si="328"/>
        <v>66.122993170731078</v>
      </c>
      <c r="Y545" s="160">
        <f t="shared" si="329"/>
        <v>-1.5556724179219501</v>
      </c>
      <c r="Z545" s="98" t="str">
        <f t="shared" si="319"/>
        <v>-40.9492597900981+19.7622354257917i</v>
      </c>
      <c r="AA545" s="160">
        <f t="shared" si="330"/>
        <v>45.468536664174287</v>
      </c>
      <c r="AB545" s="160">
        <f t="shared" si="331"/>
        <v>2.6919592594339723</v>
      </c>
      <c r="AC545" s="171" t="str">
        <f t="shared" si="332"/>
        <v>-0.00859597516413104+0.0330411860286822i</v>
      </c>
      <c r="AD545" s="190">
        <f t="shared" si="333"/>
        <v>-29.334464509612378</v>
      </c>
      <c r="AE545" s="169">
        <f t="shared" si="334"/>
        <v>104.58277056998475</v>
      </c>
      <c r="AF545" s="98" t="str">
        <f t="shared" si="320"/>
        <v>-0.0000816326530612245</v>
      </c>
      <c r="AG545" s="98" t="str">
        <f t="shared" si="321"/>
        <v>0.274946205637554i</v>
      </c>
      <c r="AH545" s="98">
        <f t="shared" si="335"/>
        <v>0.27494620563755401</v>
      </c>
      <c r="AI545" s="98">
        <f t="shared" si="336"/>
        <v>1.5707963267948966</v>
      </c>
      <c r="AJ545" s="98" t="str">
        <f t="shared" si="322"/>
        <v>1+83.7907585492077i</v>
      </c>
      <c r="AK545" s="98">
        <f t="shared" si="337"/>
        <v>83.796725581920086</v>
      </c>
      <c r="AL545" s="98">
        <f t="shared" si="338"/>
        <v>1.5588624030064355</v>
      </c>
      <c r="AM545" s="98" t="str">
        <f t="shared" si="323"/>
        <v>1+1312.72188393759i</v>
      </c>
      <c r="AN545" s="98">
        <f t="shared" si="339"/>
        <v>1312.7222648255249</v>
      </c>
      <c r="AO545" s="98">
        <f t="shared" si="340"/>
        <v>1.5700345509619484</v>
      </c>
      <c r="AP545" s="168" t="str">
        <f t="shared" si="341"/>
        <v>-0.0000519624509211863+0.00465087726904389i</v>
      </c>
      <c r="AQ545" s="98">
        <f t="shared" si="342"/>
        <v>-46.64876033259457</v>
      </c>
      <c r="AR545" s="169">
        <f t="shared" si="343"/>
        <v>90.6401169259466</v>
      </c>
      <c r="AS545" s="168" t="str">
        <f t="shared" si="344"/>
        <v>-0.000153223833105463-0.0000416957265035161i</v>
      </c>
      <c r="AT545" s="190">
        <f t="shared" si="345"/>
        <v>-75.983224842206923</v>
      </c>
      <c r="AU545" s="169">
        <f t="shared" si="346"/>
        <v>-164.77711250406867</v>
      </c>
      <c r="AV545" s="225"/>
      <c r="AX545">
        <f t="shared" si="347"/>
        <v>0</v>
      </c>
      <c r="AY545">
        <f t="shared" si="348"/>
        <v>0</v>
      </c>
    </row>
    <row r="546" spans="14:51" x14ac:dyDescent="0.25">
      <c r="N546" s="170">
        <v>28</v>
      </c>
      <c r="O546" s="199">
        <f t="shared" si="314"/>
        <v>1905460.7179632513</v>
      </c>
      <c r="P546" s="189" t="str">
        <f t="shared" si="315"/>
        <v>18.0065359477124</v>
      </c>
      <c r="Q546" s="160" t="str">
        <f t="shared" si="316"/>
        <v>1+3756.03538400458i</v>
      </c>
      <c r="R546" s="160">
        <f t="shared" si="324"/>
        <v>3756.0355171236642</v>
      </c>
      <c r="S546" s="160">
        <f t="shared" si="325"/>
        <v>1.5705300886277507</v>
      </c>
      <c r="T546" s="160" t="str">
        <f t="shared" si="317"/>
        <v>1+4.78894511460584i</v>
      </c>
      <c r="U546" s="160">
        <f t="shared" si="326"/>
        <v>4.8922382720700694</v>
      </c>
      <c r="V546" s="160">
        <f t="shared" si="327"/>
        <v>1.3649400665560742</v>
      </c>
      <c r="W546" s="98" t="str">
        <f t="shared" si="318"/>
        <v>1-67.6554572977554i</v>
      </c>
      <c r="X546" s="160">
        <f t="shared" si="328"/>
        <v>67.662847280973963</v>
      </c>
      <c r="Y546" s="160">
        <f t="shared" si="329"/>
        <v>-1.5560166294027524</v>
      </c>
      <c r="Z546" s="98" t="str">
        <f t="shared" si="319"/>
        <v>-42.9262674958162+20.2225570230152i</v>
      </c>
      <c r="AA546" s="160">
        <f t="shared" si="330"/>
        <v>47.451198653684898</v>
      </c>
      <c r="AB546" s="160">
        <f t="shared" si="331"/>
        <v>2.7013313180033678</v>
      </c>
      <c r="AC546" s="171" t="str">
        <f t="shared" si="332"/>
        <v>-0.00825625312416886+0.0324083184650884i</v>
      </c>
      <c r="AD546" s="190">
        <f t="shared" si="333"/>
        <v>-29.513776710386654</v>
      </c>
      <c r="AE546" s="169">
        <f t="shared" si="334"/>
        <v>104.29249012023686</v>
      </c>
      <c r="AF546" s="98" t="str">
        <f t="shared" si="320"/>
        <v>-0.0000816326530612245</v>
      </c>
      <c r="AG546" s="98" t="str">
        <f t="shared" si="321"/>
        <v>0.281350525483092i</v>
      </c>
      <c r="AH546" s="98">
        <f t="shared" si="335"/>
        <v>0.28135052548309197</v>
      </c>
      <c r="AI546" s="98">
        <f t="shared" si="336"/>
        <v>1.5707963267948966</v>
      </c>
      <c r="AJ546" s="98" t="str">
        <f t="shared" si="322"/>
        <v>1+85.7424960412936i</v>
      </c>
      <c r="AK546" s="98">
        <f t="shared" si="337"/>
        <v>85.748327257103099</v>
      </c>
      <c r="AL546" s="98">
        <f t="shared" si="338"/>
        <v>1.5591340273594105</v>
      </c>
      <c r="AM546" s="98" t="str">
        <f t="shared" si="323"/>
        <v>1+1343.29910464694i</v>
      </c>
      <c r="AN546" s="98">
        <f t="shared" si="339"/>
        <v>1343.2994768648093</v>
      </c>
      <c r="AO546" s="98">
        <f t="shared" si="340"/>
        <v>1.570051891090434</v>
      </c>
      <c r="AP546" s="168" t="str">
        <f t="shared" si="341"/>
        <v>-0.0000496240734509901+0.00454503764950169i</v>
      </c>
      <c r="AQ546" s="98">
        <f t="shared" si="342"/>
        <v>-46.84873260945669</v>
      </c>
      <c r="AR546" s="169">
        <f t="shared" si="343"/>
        <v>90.625547513086602</v>
      </c>
      <c r="AS546" s="168" t="str">
        <f t="shared" si="344"/>
        <v>-0.000146887318669404-0.0000391332140690981i</v>
      </c>
      <c r="AT546" s="190">
        <f t="shared" si="345"/>
        <v>-76.36250931984334</v>
      </c>
      <c r="AU546" s="169">
        <f t="shared" si="346"/>
        <v>-165.08196236667652</v>
      </c>
      <c r="AV546" s="225"/>
      <c r="AX546">
        <f t="shared" si="347"/>
        <v>0</v>
      </c>
      <c r="AY546">
        <f t="shared" si="348"/>
        <v>0</v>
      </c>
    </row>
    <row r="547" spans="14:51" x14ac:dyDescent="0.25">
      <c r="N547" s="170">
        <v>29</v>
      </c>
      <c r="O547" s="199">
        <f t="shared" si="314"/>
        <v>1949844.5997580495</v>
      </c>
      <c r="P547" s="189" t="str">
        <f t="shared" si="315"/>
        <v>18.0065359477124</v>
      </c>
      <c r="Q547" s="160" t="str">
        <f t="shared" si="316"/>
        <v>1+3843.52468721042i</v>
      </c>
      <c r="R547" s="160">
        <f t="shared" si="324"/>
        <v>3843.5248172993438</v>
      </c>
      <c r="S547" s="160">
        <f t="shared" si="325"/>
        <v>1.5705361489480461</v>
      </c>
      <c r="T547" s="160" t="str">
        <f t="shared" si="317"/>
        <v>1+4.90049397619328i</v>
      </c>
      <c r="U547" s="160">
        <f t="shared" si="326"/>
        <v>5.001483900874482</v>
      </c>
      <c r="V547" s="160">
        <f t="shared" si="327"/>
        <v>1.3694989676561822</v>
      </c>
      <c r="W547" s="98" t="str">
        <f t="shared" si="318"/>
        <v>1-69.2313553423425i</v>
      </c>
      <c r="X547" s="160">
        <f t="shared" si="328"/>
        <v>69.238577126755672</v>
      </c>
      <c r="Y547" s="160">
        <f t="shared" si="329"/>
        <v>-1.5563530090581197</v>
      </c>
      <c r="Z547" s="98" t="str">
        <f t="shared" si="319"/>
        <v>-44.9964487041887+20.6936008876493i</v>
      </c>
      <c r="AA547" s="160">
        <f t="shared" si="330"/>
        <v>49.526816106893087</v>
      </c>
      <c r="AB547" s="160">
        <f t="shared" si="331"/>
        <v>2.7105413286668569</v>
      </c>
      <c r="AC547" s="171" t="str">
        <f t="shared" si="332"/>
        <v>-0.00792822921364581+0.0317833111386607i</v>
      </c>
      <c r="AD547" s="190">
        <f t="shared" si="333"/>
        <v>-29.693858346835917</v>
      </c>
      <c r="AE547" s="169">
        <f t="shared" si="334"/>
        <v>104.00638080686011</v>
      </c>
      <c r="AF547" s="98" t="str">
        <f t="shared" si="320"/>
        <v>-0.0000816326530612245</v>
      </c>
      <c r="AG547" s="98" t="str">
        <f t="shared" si="321"/>
        <v>0.287904021101356i</v>
      </c>
      <c r="AH547" s="98">
        <f t="shared" si="335"/>
        <v>0.28790402110135599</v>
      </c>
      <c r="AI547" s="98">
        <f t="shared" si="336"/>
        <v>1.5707963267948966</v>
      </c>
      <c r="AJ547" s="98" t="str">
        <f t="shared" si="322"/>
        <v>1+87.7396953397155i</v>
      </c>
      <c r="AK547" s="98">
        <f t="shared" si="337"/>
        <v>87.745393829568599</v>
      </c>
      <c r="AL547" s="98">
        <f t="shared" si="338"/>
        <v>1.559399470450207</v>
      </c>
      <c r="AM547" s="98" t="str">
        <f t="shared" si="323"/>
        <v>1+1374.58856032222i</v>
      </c>
      <c r="AN547" s="98">
        <f t="shared" si="339"/>
        <v>1374.5889240673785</v>
      </c>
      <c r="AO547" s="98">
        <f t="shared" si="340"/>
        <v>1.5700688365098388</v>
      </c>
      <c r="AP547" s="168" t="str">
        <f t="shared" si="341"/>
        <v>-0.000047390912320578+0.00444160541385716i</v>
      </c>
      <c r="AQ547" s="98">
        <f t="shared" si="342"/>
        <v>-47.048706133898989</v>
      </c>
      <c r="AR547" s="169">
        <f t="shared" si="343"/>
        <v>90.611309645297027</v>
      </c>
      <c r="AS547" s="168" t="str">
        <f t="shared" si="344"/>
        <v>-0.000140793200808261-0.0000367203059090596i</v>
      </c>
      <c r="AT547" s="190">
        <f t="shared" si="345"/>
        <v>-76.742564480734885</v>
      </c>
      <c r="AU547" s="169">
        <f t="shared" si="346"/>
        <v>-165.38230954784294</v>
      </c>
      <c r="AV547" s="225"/>
      <c r="AX547">
        <f t="shared" si="347"/>
        <v>0</v>
      </c>
      <c r="AY547">
        <f t="shared" si="348"/>
        <v>0</v>
      </c>
    </row>
    <row r="548" spans="14:51" x14ac:dyDescent="0.25">
      <c r="N548" s="170">
        <v>30</v>
      </c>
      <c r="O548" s="199">
        <f t="shared" si="314"/>
        <v>1995262.31496888</v>
      </c>
      <c r="P548" s="189" t="str">
        <f t="shared" si="315"/>
        <v>18.0065359477124</v>
      </c>
      <c r="Q548" s="160" t="str">
        <f t="shared" si="316"/>
        <v>1+3933.0518780805i</v>
      </c>
      <c r="R548" s="160">
        <f t="shared" si="324"/>
        <v>3933.0520052082393</v>
      </c>
      <c r="S548" s="160">
        <f t="shared" si="325"/>
        <v>1.5705420713186278</v>
      </c>
      <c r="T548" s="160" t="str">
        <f t="shared" si="317"/>
        <v>1+5.01464114455264i</v>
      </c>
      <c r="U548" s="160">
        <f t="shared" si="326"/>
        <v>5.1133771432039135</v>
      </c>
      <c r="V548" s="160">
        <f t="shared" si="327"/>
        <v>1.3739623067560158</v>
      </c>
      <c r="W548" s="98" t="str">
        <f t="shared" si="318"/>
        <v>1-70.843960767918i</v>
      </c>
      <c r="X548" s="160">
        <f t="shared" si="328"/>
        <v>70.851018181013501</v>
      </c>
      <c r="Y548" s="160">
        <f t="shared" si="329"/>
        <v>-1.5566817349363289</v>
      </c>
      <c r="Z548" s="98" t="str">
        <f t="shared" si="319"/>
        <v>-47.1641945471149+21.1756167733864i</v>
      </c>
      <c r="AA548" s="160">
        <f t="shared" si="330"/>
        <v>51.699787166016712</v>
      </c>
      <c r="AB548" s="160">
        <f t="shared" si="331"/>
        <v>2.7195901654130461</v>
      </c>
      <c r="AC548" s="171" t="str">
        <f t="shared" si="332"/>
        <v>-0.00761163033334091+0.0311662924941696i</v>
      </c>
      <c r="AD548" s="190">
        <f t="shared" si="333"/>
        <v>-29.874687004750847</v>
      </c>
      <c r="AE548" s="169">
        <f t="shared" si="334"/>
        <v>103.72447721247957</v>
      </c>
      <c r="AF548" s="98" t="str">
        <f t="shared" si="320"/>
        <v>-0.0000816326530612245</v>
      </c>
      <c r="AG548" s="98" t="str">
        <f t="shared" si="321"/>
        <v>0.294610167242467i</v>
      </c>
      <c r="AH548" s="98">
        <f t="shared" si="335"/>
        <v>0.29461016724246702</v>
      </c>
      <c r="AI548" s="98">
        <f t="shared" si="336"/>
        <v>1.5707963267948966</v>
      </c>
      <c r="AJ548" s="98" t="str">
        <f t="shared" si="322"/>
        <v>1+89.7834153859794i</v>
      </c>
      <c r="AK548" s="98">
        <f t="shared" si="337"/>
        <v>89.788984170505685</v>
      </c>
      <c r="AL548" s="98">
        <f t="shared" si="338"/>
        <v>1.5596588728705543</v>
      </c>
      <c r="AM548" s="98" t="str">
        <f t="shared" si="323"/>
        <v>1+1406.60684104702i</v>
      </c>
      <c r="AN548" s="98">
        <f t="shared" si="339"/>
        <v>1406.6071965123301</v>
      </c>
      <c r="AO548" s="98">
        <f t="shared" si="340"/>
        <v>1.5700853962048096</v>
      </c>
      <c r="AP548" s="168" t="str">
        <f t="shared" si="341"/>
        <v>-0.0000452582344763237+0.00434052588480345i</v>
      </c>
      <c r="AQ548" s="98">
        <f t="shared" si="342"/>
        <v>-47.248680849785778</v>
      </c>
      <c r="AR548" s="169">
        <f t="shared" si="343"/>
        <v>90.597395782047499</v>
      </c>
      <c r="AS548" s="168" t="str">
        <f t="shared" si="344"/>
        <v>-0.000134933610353925-0.0000344490098608801i</v>
      </c>
      <c r="AT548" s="190">
        <f t="shared" si="345"/>
        <v>-77.123367854536639</v>
      </c>
      <c r="AU548" s="169">
        <f t="shared" si="346"/>
        <v>-165.67812700547293</v>
      </c>
      <c r="AV548" s="225"/>
      <c r="AX548">
        <f t="shared" si="347"/>
        <v>0</v>
      </c>
      <c r="AY548">
        <f t="shared" si="348"/>
        <v>0</v>
      </c>
    </row>
    <row r="549" spans="14:51" x14ac:dyDescent="0.25">
      <c r="N549" s="170">
        <v>31</v>
      </c>
      <c r="O549" s="199">
        <f t="shared" si="314"/>
        <v>2041737.9446695296</v>
      </c>
      <c r="P549" s="189" t="str">
        <f t="shared" si="315"/>
        <v>18.0065359477124</v>
      </c>
      <c r="Q549" s="160" t="str">
        <f t="shared" si="316"/>
        <v>1+4024.66442511642i</v>
      </c>
      <c r="R549" s="160">
        <f t="shared" si="324"/>
        <v>4024.6645493503775</v>
      </c>
      <c r="S549" s="160">
        <f t="shared" si="325"/>
        <v>1.5705478588796138</v>
      </c>
      <c r="T549" s="160" t="str">
        <f t="shared" si="317"/>
        <v>1+5.13144714202344i</v>
      </c>
      <c r="U549" s="160">
        <f t="shared" si="326"/>
        <v>5.227977598592072</v>
      </c>
      <c r="V549" s="160">
        <f t="shared" si="327"/>
        <v>1.3783317387117324</v>
      </c>
      <c r="W549" s="98" t="str">
        <f t="shared" si="318"/>
        <v>1-72.4941285992229i</v>
      </c>
      <c r="X549" s="160">
        <f t="shared" si="328"/>
        <v>72.501025381443185</v>
      </c>
      <c r="Y549" s="160">
        <f t="shared" si="329"/>
        <v>-1.5570029810478496</v>
      </c>
      <c r="Z549" s="98" t="str">
        <f t="shared" si="319"/>
        <v>-49.4341031041612+21.668860251429i</v>
      </c>
      <c r="AA549" s="160">
        <f t="shared" si="330"/>
        <v>53.974716806193619</v>
      </c>
      <c r="AB549" s="160">
        <f t="shared" si="331"/>
        <v>2.7284788142411163</v>
      </c>
      <c r="AC549" s="171" t="str">
        <f t="shared" si="332"/>
        <v>-0.00730618008847776+0.0305573785430438i</v>
      </c>
      <c r="AD549" s="190">
        <f t="shared" si="333"/>
        <v>-30.056240429510655</v>
      </c>
      <c r="AE549" s="169">
        <f t="shared" si="334"/>
        <v>103.44680750979619</v>
      </c>
      <c r="AF549" s="98" t="str">
        <f t="shared" si="320"/>
        <v>-0.0000816326530612245</v>
      </c>
      <c r="AG549" s="98" t="str">
        <f t="shared" si="321"/>
        <v>0.301472519593878i</v>
      </c>
      <c r="AH549" s="98">
        <f t="shared" si="335"/>
        <v>0.301472519593878</v>
      </c>
      <c r="AI549" s="98">
        <f t="shared" si="336"/>
        <v>1.5707963267948966</v>
      </c>
      <c r="AJ549" s="98" t="str">
        <f t="shared" si="322"/>
        <v>1+91.8747397875045i</v>
      </c>
      <c r="AK549" s="98">
        <f t="shared" si="337"/>
        <v>91.880181818614517</v>
      </c>
      <c r="AL549" s="98">
        <f t="shared" si="338"/>
        <v>1.5599123720193284</v>
      </c>
      <c r="AM549" s="98" t="str">
        <f t="shared" si="323"/>
        <v>1+1439.37092333757i</v>
      </c>
      <c r="AN549" s="98">
        <f t="shared" si="339"/>
        <v>1439.3712707115037</v>
      </c>
      <c r="AO549" s="98">
        <f t="shared" si="340"/>
        <v>1.5701015789554795</v>
      </c>
      <c r="AP549" s="168" t="str">
        <f t="shared" si="341"/>
        <v>-0.0000432215196705603+0.00424174562153925i</v>
      </c>
      <c r="AQ549" s="98">
        <f t="shared" si="342"/>
        <v>-47.448656703506671</v>
      </c>
      <c r="AR549" s="169">
        <f t="shared" si="343"/>
        <v>90.583798554026885</v>
      </c>
      <c r="AS549" s="168" t="str">
        <f t="shared" si="344"/>
        <v>-0.000129300842434263-0.0000323116937382567i</v>
      </c>
      <c r="AT549" s="190">
        <f t="shared" si="345"/>
        <v>-77.504897133017309</v>
      </c>
      <c r="AU549" s="169">
        <f t="shared" si="346"/>
        <v>-165.96939393617697</v>
      </c>
      <c r="AV549" s="225"/>
      <c r="AX549">
        <f t="shared" si="347"/>
        <v>0</v>
      </c>
      <c r="AY549">
        <f t="shared" si="348"/>
        <v>0</v>
      </c>
    </row>
    <row r="550" spans="14:51" x14ac:dyDescent="0.25">
      <c r="N550" s="170">
        <v>32</v>
      </c>
      <c r="O550" s="199">
        <f t="shared" si="314"/>
        <v>2089296.1308540432</v>
      </c>
      <c r="P550" s="189" t="str">
        <f t="shared" si="315"/>
        <v>18.0065359477124</v>
      </c>
      <c r="Q550" s="160" t="str">
        <f t="shared" si="316"/>
        <v>1+4118.41090250331i</v>
      </c>
      <c r="R550" s="160">
        <f t="shared" si="324"/>
        <v>4118.4110239093588</v>
      </c>
      <c r="S550" s="160">
        <f t="shared" si="325"/>
        <v>1.5705535146996441</v>
      </c>
      <c r="T550" s="160" t="str">
        <f t="shared" si="317"/>
        <v>1+5.25097390069172i</v>
      </c>
      <c r="U550" s="160">
        <f t="shared" si="326"/>
        <v>5.3453462849235152</v>
      </c>
      <c r="V550" s="160">
        <f t="shared" si="327"/>
        <v>1.3826089125670413</v>
      </c>
      <c r="W550" s="98" t="str">
        <f t="shared" si="318"/>
        <v>1-74.182733777085i</v>
      </c>
      <c r="X550" s="160">
        <f t="shared" si="328"/>
        <v>74.189473583803434</v>
      </c>
      <c r="Y550" s="160">
        <f t="shared" si="329"/>
        <v>-1.5573169174562524</v>
      </c>
      <c r="Z550" s="98" t="str">
        <f t="shared" si="319"/>
        <v>-51.8109891557103+22.1735928459984i</v>
      </c>
      <c r="AA550" s="160">
        <f t="shared" si="330"/>
        <v>56.356426581120658</v>
      </c>
      <c r="AB550" s="160">
        <f t="shared" si="331"/>
        <v>2.7372083665879265</v>
      </c>
      <c r="AC550" s="171" t="str">
        <f t="shared" si="332"/>
        <v>-0.0070115996384628+0.0299566729588155i</v>
      </c>
      <c r="AD550" s="190">
        <f t="shared" si="333"/>
        <v>-30.238496569457077</v>
      </c>
      <c r="AE550" s="169">
        <f t="shared" si="334"/>
        <v>103.17339372758391</v>
      </c>
      <c r="AF550" s="98" t="str">
        <f t="shared" si="320"/>
        <v>-0.0000816326530612245</v>
      </c>
      <c r="AG550" s="98" t="str">
        <f t="shared" si="321"/>
        <v>0.308494716665638i</v>
      </c>
      <c r="AH550" s="98">
        <f t="shared" si="335"/>
        <v>0.30849471666563799</v>
      </c>
      <c r="AI550" s="98">
        <f t="shared" si="336"/>
        <v>1.5707963267948966</v>
      </c>
      <c r="AJ550" s="98" t="str">
        <f t="shared" si="322"/>
        <v>1+94.0147773921716i</v>
      </c>
      <c r="AK550" s="98">
        <f t="shared" si="337"/>
        <v>94.020095554618436</v>
      </c>
      <c r="AL550" s="98">
        <f t="shared" si="338"/>
        <v>1.560160102174736</v>
      </c>
      <c r="AM550" s="98" t="str">
        <f t="shared" si="323"/>
        <v>1+1472.89817914403i</v>
      </c>
      <c r="AN550" s="98">
        <f t="shared" si="339"/>
        <v>1472.8985186107693</v>
      </c>
      <c r="AO550" s="98">
        <f t="shared" si="340"/>
        <v>1.5701173933421233</v>
      </c>
      <c r="AP550" s="168" t="str">
        <f t="shared" si="341"/>
        <v>-0.0000412764509027794+0.00414521239216301i</v>
      </c>
      <c r="AQ550" s="98">
        <f t="shared" si="342"/>
        <v>-47.648633643862688</v>
      </c>
      <c r="AR550" s="169">
        <f t="shared" si="343"/>
        <v>90.570510759274185</v>
      </c>
      <c r="AS550" s="168" t="str">
        <f t="shared" si="344"/>
        <v>-0.00012388735802863-0.0000303010748508368i</v>
      </c>
      <c r="AT550" s="190">
        <f t="shared" si="345"/>
        <v>-77.887130213319736</v>
      </c>
      <c r="AU550" s="169">
        <f t="shared" si="346"/>
        <v>-166.25609551314196</v>
      </c>
      <c r="AV550" s="225"/>
      <c r="AX550">
        <f t="shared" si="347"/>
        <v>0</v>
      </c>
      <c r="AY550">
        <f t="shared" si="348"/>
        <v>0</v>
      </c>
    </row>
    <row r="551" spans="14:51" x14ac:dyDescent="0.25">
      <c r="N551" s="170">
        <v>33</v>
      </c>
      <c r="O551" s="199">
        <f t="shared" si="314"/>
        <v>2137962.0895022359</v>
      </c>
      <c r="P551" s="189" t="str">
        <f t="shared" si="315"/>
        <v>18.0065359477124</v>
      </c>
      <c r="Q551" s="160" t="str">
        <f t="shared" si="316"/>
        <v>1+4214.34101586428i</v>
      </c>
      <c r="R551" s="160">
        <f t="shared" si="324"/>
        <v>4214.3411345067898</v>
      </c>
      <c r="S551" s="160">
        <f t="shared" si="325"/>
        <v>1.5705590417775077</v>
      </c>
      <c r="T551" s="160" t="str">
        <f t="shared" si="317"/>
        <v>1+5.37328479522696i</v>
      </c>
      <c r="U551" s="160">
        <f t="shared" si="326"/>
        <v>5.4655456718078232</v>
      </c>
      <c r="V551" s="160">
        <f t="shared" si="327"/>
        <v>1.3867954698534664</v>
      </c>
      <c r="W551" s="98" t="str">
        <f t="shared" si="318"/>
        <v>1-75.9106716223197i</v>
      </c>
      <c r="X551" s="160">
        <f t="shared" si="328"/>
        <v>75.917258025772057</v>
      </c>
      <c r="Y551" s="160">
        <f t="shared" si="329"/>
        <v>-1.5576237103671111</v>
      </c>
      <c r="Z551" s="98" t="str">
        <f t="shared" si="319"/>
        <v>-54.2998943957506+22.6900821729968i</v>
      </c>
      <c r="AA551" s="160">
        <f t="shared" si="330"/>
        <v>58.849964829275933</v>
      </c>
      <c r="AB551" s="160">
        <f t="shared" si="331"/>
        <v>2.7457800128127334</v>
      </c>
      <c r="AC551" s="171" t="str">
        <f t="shared" si="332"/>
        <v>-0.00672760850644802+0.0293642672297383i</v>
      </c>
      <c r="AD551" s="190">
        <f t="shared" si="333"/>
        <v>-30.421433615277756</v>
      </c>
      <c r="AE551" s="169">
        <f t="shared" si="334"/>
        <v>102.90425202141374</v>
      </c>
      <c r="AF551" s="98" t="str">
        <f t="shared" si="320"/>
        <v>-0.0000816326530612245</v>
      </c>
      <c r="AG551" s="98" t="str">
        <f t="shared" si="321"/>
        <v>0.315680481719584i</v>
      </c>
      <c r="AH551" s="98">
        <f t="shared" si="335"/>
        <v>0.31568048171958402</v>
      </c>
      <c r="AI551" s="98">
        <f t="shared" si="336"/>
        <v>1.5707963267948966</v>
      </c>
      <c r="AJ551" s="98" t="str">
        <f t="shared" si="322"/>
        <v>1+96.2046628762441i</v>
      </c>
      <c r="AK551" s="98">
        <f t="shared" si="337"/>
        <v>96.209859989149663</v>
      </c>
      <c r="AL551" s="98">
        <f t="shared" si="338"/>
        <v>1.5604021945648887</v>
      </c>
      <c r="AM551" s="98" t="str">
        <f t="shared" si="323"/>
        <v>1+1507.20638506116i</v>
      </c>
      <c r="AN551" s="98">
        <f t="shared" si="339"/>
        <v>1507.2067168006947</v>
      </c>
      <c r="AO551" s="98">
        <f t="shared" si="340"/>
        <v>1.5701328477497063</v>
      </c>
      <c r="AP551" s="168" t="str">
        <f t="shared" si="341"/>
        <v>-0.0000394189052893721+0.00405087514665904i</v>
      </c>
      <c r="AQ551" s="98">
        <f t="shared" si="342"/>
        <v>-47.848611621958462</v>
      </c>
      <c r="AR551" s="169">
        <f t="shared" si="343"/>
        <v>90.557525359395569</v>
      </c>
      <c r="AS551" s="168" t="str">
        <f t="shared" si="344"/>
        <v>-0.000118685785358262-0.0000284102093640431i</v>
      </c>
      <c r="AT551" s="190">
        <f t="shared" si="345"/>
        <v>-78.270045237236189</v>
      </c>
      <c r="AU551" s="169">
        <f t="shared" si="346"/>
        <v>-166.53822261919072</v>
      </c>
      <c r="AV551" s="225"/>
      <c r="AX551">
        <f t="shared" si="347"/>
        <v>0</v>
      </c>
      <c r="AY551">
        <f t="shared" si="348"/>
        <v>0</v>
      </c>
    </row>
    <row r="552" spans="14:51" x14ac:dyDescent="0.25">
      <c r="N552" s="170">
        <v>34</v>
      </c>
      <c r="O552" s="199">
        <f t="shared" si="314"/>
        <v>2187761.6239495561</v>
      </c>
      <c r="P552" s="189" t="str">
        <f t="shared" si="315"/>
        <v>18.0065359477124</v>
      </c>
      <c r="Q552" s="160" t="str">
        <f t="shared" si="316"/>
        <v>1+4312.50562861528i</v>
      </c>
      <c r="R552" s="160">
        <f t="shared" si="324"/>
        <v>4312.5057445571556</v>
      </c>
      <c r="S552" s="160">
        <f t="shared" si="325"/>
        <v>1.5705644430437331</v>
      </c>
      <c r="T552" s="160" t="str">
        <f t="shared" si="317"/>
        <v>1+5.49844467648448i</v>
      </c>
      <c r="U552" s="160">
        <f t="shared" si="326"/>
        <v>5.588639714667651</v>
      </c>
      <c r="V552" s="160">
        <f t="shared" si="327"/>
        <v>1.3908930430222486</v>
      </c>
      <c r="W552" s="98" t="str">
        <f t="shared" si="318"/>
        <v>1-77.6788583104453i</v>
      </c>
      <c r="X552" s="160">
        <f t="shared" si="328"/>
        <v>77.685294801617616</v>
      </c>
      <c r="Y552" s="160">
        <f t="shared" si="329"/>
        <v>-1.5579235222149483</v>
      </c>
      <c r="Z552" s="98" t="str">
        <f t="shared" si="319"/>
        <v>-56.9060981259904+23.2186020819021i</v>
      </c>
      <c r="AA552" s="160">
        <f t="shared" si="330"/>
        <v>61.460617362361049</v>
      </c>
      <c r="AB552" s="160">
        <f t="shared" si="331"/>
        <v>2.7541950357653766</v>
      </c>
      <c r="AC552" s="171" t="str">
        <f t="shared" si="332"/>
        <v>-0.0064539253463978+0.0287802408625824i</v>
      </c>
      <c r="AD552" s="190">
        <f t="shared" si="333"/>
        <v>-30.60503003554512</v>
      </c>
      <c r="AE552" s="169">
        <f t="shared" si="334"/>
        <v>102.63939294725094</v>
      </c>
      <c r="AF552" s="98" t="str">
        <f t="shared" si="320"/>
        <v>-0.0000816326530612245</v>
      </c>
      <c r="AG552" s="98" t="str">
        <f t="shared" si="321"/>
        <v>0.323033624743463i</v>
      </c>
      <c r="AH552" s="98">
        <f t="shared" si="335"/>
        <v>0.32303362474346298</v>
      </c>
      <c r="AI552" s="98">
        <f t="shared" si="336"/>
        <v>1.5707963267948966</v>
      </c>
      <c r="AJ552" s="98" t="str">
        <f t="shared" si="322"/>
        <v>1+98.4455573459931i</v>
      </c>
      <c r="AK552" s="98">
        <f t="shared" si="337"/>
        <v>98.450636164339826</v>
      </c>
      <c r="AL552" s="98">
        <f t="shared" si="338"/>
        <v>1.5606387774368013</v>
      </c>
      <c r="AM552" s="98" t="str">
        <f t="shared" si="323"/>
        <v>1+1542.3137317539i</v>
      </c>
      <c r="AN552" s="98">
        <f t="shared" si="339"/>
        <v>1542.3140559421224</v>
      </c>
      <c r="AO552" s="98">
        <f t="shared" si="340"/>
        <v>1.5701479503723303</v>
      </c>
      <c r="AP552" s="168" t="str">
        <f t="shared" si="341"/>
        <v>-0.0000376449453427744+0.0039586839904655i</v>
      </c>
      <c r="AQ552" s="98">
        <f t="shared" si="342"/>
        <v>-48.048590591098083</v>
      </c>
      <c r="AR552" s="169">
        <f t="shared" si="343"/>
        <v>90.544835475865838</v>
      </c>
      <c r="AS552" s="168" t="str">
        <f t="shared" si="344"/>
        <v>-0.000113688921077534-0.0000266324815386683i</v>
      </c>
      <c r="AT552" s="190">
        <f t="shared" si="345"/>
        <v>-78.653620626643232</v>
      </c>
      <c r="AU552" s="169">
        <f t="shared" si="346"/>
        <v>-166.81577157688315</v>
      </c>
      <c r="AV552" s="225"/>
      <c r="AX552">
        <f t="shared" si="347"/>
        <v>0</v>
      </c>
      <c r="AY552">
        <f t="shared" si="348"/>
        <v>0</v>
      </c>
    </row>
    <row r="553" spans="14:51" x14ac:dyDescent="0.25">
      <c r="N553" s="170">
        <v>35</v>
      </c>
      <c r="O553" s="199">
        <f t="shared" si="314"/>
        <v>2238721.1385683389</v>
      </c>
      <c r="P553" s="189" t="str">
        <f t="shared" si="315"/>
        <v>18.0065359477124</v>
      </c>
      <c r="Q553" s="160" t="str">
        <f t="shared" si="316"/>
        <v>1+4412.9567889333i</v>
      </c>
      <c r="R553" s="160">
        <f t="shared" si="324"/>
        <v>4412.9569022360174</v>
      </c>
      <c r="S553" s="160">
        <f t="shared" si="325"/>
        <v>1.5705697213621421</v>
      </c>
      <c r="T553" s="160" t="str">
        <f t="shared" si="317"/>
        <v>1+5.62651990588996i</v>
      </c>
      <c r="U553" s="160">
        <f t="shared" si="326"/>
        <v>5.7146938895601371</v>
      </c>
      <c r="V553" s="160">
        <f t="shared" si="327"/>
        <v>1.3949032540014636</v>
      </c>
      <c r="W553" s="98" t="str">
        <f t="shared" si="318"/>
        <v>1-79.488231357448i</v>
      </c>
      <c r="X553" s="160">
        <f t="shared" si="328"/>
        <v>79.494521347921705</v>
      </c>
      <c r="Y553" s="160">
        <f t="shared" si="329"/>
        <v>-1.558216511748256</v>
      </c>
      <c r="Z553" s="98" t="str">
        <f t="shared" si="319"/>
        <v>-59.6351284539608+23.7594328009656i</v>
      </c>
      <c r="AA553" s="160">
        <f t="shared" si="330"/>
        <v>64.193918658577047</v>
      </c>
      <c r="AB553" s="160">
        <f t="shared" si="331"/>
        <v>2.7624548044608757</v>
      </c>
      <c r="AC553" s="171" t="str">
        <f t="shared" si="332"/>
        <v>-0.00619026866596747+0.0282046616317812i</v>
      </c>
      <c r="AD553" s="190">
        <f t="shared" si="333"/>
        <v>-30.78926460856573</v>
      </c>
      <c r="AE553" s="169">
        <f t="shared" si="334"/>
        <v>102.37882173624293</v>
      </c>
      <c r="AF553" s="98" t="str">
        <f t="shared" si="320"/>
        <v>-0.0000816326530612245</v>
      </c>
      <c r="AG553" s="98" t="str">
        <f t="shared" si="321"/>
        <v>0.330558044471036i</v>
      </c>
      <c r="AH553" s="98">
        <f t="shared" si="335"/>
        <v>0.33055804447103598</v>
      </c>
      <c r="AI553" s="98">
        <f t="shared" si="336"/>
        <v>1.5707963267948966</v>
      </c>
      <c r="AJ553" s="98" t="str">
        <f t="shared" si="322"/>
        <v>1+100.738648953327i</v>
      </c>
      <c r="AK553" s="98">
        <f t="shared" si="337"/>
        <v>100.74361216941574</v>
      </c>
      <c r="AL553" s="98">
        <f t="shared" si="338"/>
        <v>1.5608699761238483</v>
      </c>
      <c r="AM553" s="98" t="str">
        <f t="shared" si="323"/>
        <v>1+1578.23883360213i</v>
      </c>
      <c r="AN553" s="98">
        <f t="shared" si="339"/>
        <v>1578.2391504109294</v>
      </c>
      <c r="AO553" s="98">
        <f t="shared" si="340"/>
        <v>1.5701627092175785</v>
      </c>
      <c r="AP553" s="168" t="str">
        <f t="shared" si="341"/>
        <v>-0.0000359508106417198+0.00386859015861225i</v>
      </c>
      <c r="AQ553" s="98">
        <f t="shared" si="342"/>
        <v>-48.24857050668647</v>
      </c>
      <c r="AR553" s="169">
        <f t="shared" si="343"/>
        <v>90.532434386412291</v>
      </c>
      <c r="AS553" s="168" t="str">
        <f t="shared" si="344"/>
        <v>-0.000108889731239066-0.0000249615928898655i</v>
      </c>
      <c r="AT553" s="190">
        <f t="shared" si="345"/>
        <v>-79.037835115252179</v>
      </c>
      <c r="AU553" s="169">
        <f t="shared" si="346"/>
        <v>-167.0887438773448</v>
      </c>
      <c r="AV553" s="225"/>
      <c r="AX553">
        <f t="shared" si="347"/>
        <v>0</v>
      </c>
      <c r="AY553">
        <f t="shared" si="348"/>
        <v>0</v>
      </c>
    </row>
    <row r="554" spans="14:51" x14ac:dyDescent="0.25">
      <c r="N554" s="170">
        <v>36</v>
      </c>
      <c r="O554" s="199">
        <f t="shared" si="314"/>
        <v>2290867.6527677765</v>
      </c>
      <c r="P554" s="189" t="str">
        <f t="shared" si="315"/>
        <v>18.0065359477124</v>
      </c>
      <c r="Q554" s="160" t="str">
        <f t="shared" si="316"/>
        <v>1+4515.74775735326i</v>
      </c>
      <c r="R554" s="160">
        <f t="shared" si="324"/>
        <v>4515.7478680768918</v>
      </c>
      <c r="S554" s="160">
        <f t="shared" si="325"/>
        <v>1.5705748795313674</v>
      </c>
      <c r="T554" s="160" t="str">
        <f t="shared" si="317"/>
        <v>1+5.7575783906254i</v>
      </c>
      <c r="U554" s="160">
        <f t="shared" si="326"/>
        <v>5.8437752287538043</v>
      </c>
      <c r="V554" s="160">
        <f t="shared" si="327"/>
        <v>1.3988277128721409</v>
      </c>
      <c r="W554" s="98" t="str">
        <f t="shared" si="318"/>
        <v>1-81.3397501168683i</v>
      </c>
      <c r="X554" s="160">
        <f t="shared" si="328"/>
        <v>81.345896940623732</v>
      </c>
      <c r="Y554" s="160">
        <f t="shared" si="329"/>
        <v>-1.5585028341126397</v>
      </c>
      <c r="Z554" s="98" t="str">
        <f t="shared" si="319"/>
        <v>-62.4927740188766+24.3128610857937i</v>
      </c>
      <c r="AA554" s="160">
        <f t="shared" si="330"/>
        <v>67.055663584454066</v>
      </c>
      <c r="AB554" s="160">
        <f t="shared" si="331"/>
        <v>2.770560767880784</v>
      </c>
      <c r="AC554" s="171" t="str">
        <f t="shared" si="332"/>
        <v>-0.00593635750406568+0.0276375858683i</v>
      </c>
      <c r="AD554" s="190">
        <f t="shared" si="333"/>
        <v>-30.974116450706148</v>
      </c>
      <c r="AE554" s="169">
        <f t="shared" si="334"/>
        <v>102.12253856917123</v>
      </c>
      <c r="AF554" s="98" t="str">
        <f t="shared" si="320"/>
        <v>-0.0000816326530612245</v>
      </c>
      <c r="AG554" s="98" t="str">
        <f t="shared" si="321"/>
        <v>0.338257730449242i</v>
      </c>
      <c r="AH554" s="98">
        <f t="shared" si="335"/>
        <v>0.33825773044924201</v>
      </c>
      <c r="AI554" s="98">
        <f t="shared" si="336"/>
        <v>1.5707963267948966</v>
      </c>
      <c r="AJ554" s="98" t="str">
        <f t="shared" si="322"/>
        <v>1+103.085153525771i</v>
      </c>
      <c r="AK554" s="98">
        <f t="shared" si="337"/>
        <v>103.09000377064585</v>
      </c>
      <c r="AL554" s="98">
        <f t="shared" si="338"/>
        <v>1.5610959131117108</v>
      </c>
      <c r="AM554" s="98" t="str">
        <f t="shared" si="323"/>
        <v>1+1615.00073857042i</v>
      </c>
      <c r="AN554" s="98">
        <f t="shared" si="339"/>
        <v>1615.0010481677718</v>
      </c>
      <c r="AO554" s="98">
        <f t="shared" si="340"/>
        <v>1.57017713211076</v>
      </c>
      <c r="AP554" s="168" t="str">
        <f t="shared" si="341"/>
        <v>-0.0000343329098751212+0.00378054599041824i</v>
      </c>
      <c r="AQ554" s="98">
        <f t="shared" si="342"/>
        <v>-48.448551326134933</v>
      </c>
      <c r="AR554" s="169">
        <f t="shared" si="343"/>
        <v>90.520315521479532</v>
      </c>
      <c r="AS554" s="168" t="str">
        <f t="shared" si="344"/>
        <v>-0.000104281352012068-0.000023391551304467i</v>
      </c>
      <c r="AT554" s="190">
        <f t="shared" si="345"/>
        <v>-79.422667776841067</v>
      </c>
      <c r="AU554" s="169">
        <f t="shared" si="346"/>
        <v>-167.35714590934927</v>
      </c>
      <c r="AV554" s="225"/>
      <c r="AX554">
        <f t="shared" si="347"/>
        <v>0</v>
      </c>
      <c r="AY554">
        <f t="shared" si="348"/>
        <v>0</v>
      </c>
    </row>
    <row r="555" spans="14:51" x14ac:dyDescent="0.25">
      <c r="N555" s="170">
        <v>37</v>
      </c>
      <c r="O555" s="199">
        <f t="shared" si="314"/>
        <v>2344228.8153199251</v>
      </c>
      <c r="P555" s="189" t="str">
        <f t="shared" si="315"/>
        <v>18.0065359477124</v>
      </c>
      <c r="Q555" s="160" t="str">
        <f t="shared" si="316"/>
        <v>1+4620.93303500712i</v>
      </c>
      <c r="R555" s="160">
        <f t="shared" si="324"/>
        <v>4620.9331432103754</v>
      </c>
      <c r="S555" s="160">
        <f t="shared" si="325"/>
        <v>1.570579920286338</v>
      </c>
      <c r="T555" s="160" t="str">
        <f t="shared" si="317"/>
        <v>1+5.89168961963408i</v>
      </c>
      <c r="U555" s="160">
        <f t="shared" si="326"/>
        <v>5.9759523570811686</v>
      </c>
      <c r="V555" s="160">
        <f t="shared" si="327"/>
        <v>1.4026680166572132</v>
      </c>
      <c r="W555" s="98" t="str">
        <f t="shared" si="318"/>
        <v>1-83.2343962884591i</v>
      </c>
      <c r="X555" s="160">
        <f t="shared" si="328"/>
        <v>83.240403203638152</v>
      </c>
      <c r="Y555" s="160">
        <f t="shared" si="329"/>
        <v>-1.5587826409321159</v>
      </c>
      <c r="Z555" s="98" t="str">
        <f t="shared" si="319"/>
        <v>-65.4850962701101+24.8791803713882i</v>
      </c>
      <c r="AA555" s="160">
        <f t="shared" si="330"/>
        <v>70.051919670039425</v>
      </c>
      <c r="AB555" s="160">
        <f t="shared" si="331"/>
        <v>2.7785144489189677</v>
      </c>
      <c r="AC555" s="171" t="str">
        <f t="shared" si="332"/>
        <v>-0.00569191206248989+0.0270790587828411i</v>
      </c>
      <c r="AD555" s="190">
        <f t="shared" si="333"/>
        <v>-31.15956504136733</v>
      </c>
      <c r="AE555" s="169">
        <f t="shared" si="334"/>
        <v>101.87053884920256</v>
      </c>
      <c r="AF555" s="98" t="str">
        <f t="shared" si="320"/>
        <v>-0.0000816326530612245</v>
      </c>
      <c r="AG555" s="98" t="str">
        <f t="shared" si="321"/>
        <v>0.346136765153501i</v>
      </c>
      <c r="AH555" s="98">
        <f t="shared" si="335"/>
        <v>0.346136765153501</v>
      </c>
      <c r="AI555" s="98">
        <f t="shared" si="336"/>
        <v>1.5707963267948966</v>
      </c>
      <c r="AJ555" s="98" t="str">
        <f t="shared" si="322"/>
        <v>1+105.486315211108i</v>
      </c>
      <c r="AK555" s="98">
        <f t="shared" si="337"/>
        <v>105.49105505594886</v>
      </c>
      <c r="AL555" s="98">
        <f t="shared" si="338"/>
        <v>1.5613167081028498</v>
      </c>
      <c r="AM555" s="98" t="str">
        <f t="shared" si="323"/>
        <v>1+1652.61893830736i</v>
      </c>
      <c r="AN555" s="98">
        <f t="shared" si="339"/>
        <v>1652.619240857417</v>
      </c>
      <c r="AO555" s="98">
        <f t="shared" si="340"/>
        <v>1.5701912266990599</v>
      </c>
      <c r="AP555" s="168" t="str">
        <f t="shared" si="341"/>
        <v>-0.0000327878132428833+0.00369450490473762i</v>
      </c>
      <c r="AQ555" s="98">
        <f t="shared" si="342"/>
        <v>-48.64853300877067</v>
      </c>
      <c r="AR555" s="169">
        <f t="shared" si="343"/>
        <v>90.508472460773191</v>
      </c>
      <c r="AS555" s="168" t="str">
        <f t="shared" si="344"/>
        <v>-0.0000998570901391849-0.000021916660154369i</v>
      </c>
      <c r="AT555" s="190">
        <f t="shared" si="345"/>
        <v>-79.808098050138</v>
      </c>
      <c r="AU555" s="169">
        <f t="shared" si="346"/>
        <v>-167.62098869002423</v>
      </c>
      <c r="AV555" s="225"/>
      <c r="AX555">
        <f t="shared" si="347"/>
        <v>0</v>
      </c>
      <c r="AY555">
        <f t="shared" si="348"/>
        <v>0</v>
      </c>
    </row>
    <row r="556" spans="14:51" x14ac:dyDescent="0.25">
      <c r="N556" s="170">
        <v>38</v>
      </c>
      <c r="O556" s="199">
        <f t="shared" si="314"/>
        <v>2398832.9190194933</v>
      </c>
      <c r="P556" s="189" t="str">
        <f t="shared" si="315"/>
        <v>18.0065359477124</v>
      </c>
      <c r="Q556" s="160" t="str">
        <f t="shared" si="316"/>
        <v>1+4728.56839252141i</v>
      </c>
      <c r="R556" s="160">
        <f t="shared" si="324"/>
        <v>4728.5684982616576</v>
      </c>
      <c r="S556" s="160">
        <f t="shared" si="325"/>
        <v>1.5705848462997274</v>
      </c>
      <c r="T556" s="160" t="str">
        <f t="shared" si="317"/>
        <v>1+6.0289247004648i</v>
      </c>
      <c r="U556" s="160">
        <f t="shared" si="326"/>
        <v>6.1112955290899302</v>
      </c>
      <c r="V556" s="160">
        <f t="shared" si="327"/>
        <v>1.4064257482173688</v>
      </c>
      <c r="W556" s="98" t="str">
        <f t="shared" si="318"/>
        <v>1-85.1731744386991i</v>
      </c>
      <c r="X556" s="160">
        <f t="shared" si="328"/>
        <v>85.179044629328089</v>
      </c>
      <c r="Y556" s="160">
        <f t="shared" si="329"/>
        <v>-1.5590560803886104</v>
      </c>
      <c r="Z556" s="98" t="str">
        <f t="shared" si="319"/>
        <v>-68.6184423243442+25.4586909277304i</v>
      </c>
      <c r="AA556" s="160">
        <f t="shared" si="330"/>
        <v>73.189039963460743</v>
      </c>
      <c r="AB556" s="160">
        <f t="shared" si="331"/>
        <v>2.7863174384871168</v>
      </c>
      <c r="AC556" s="171" t="str">
        <f t="shared" si="332"/>
        <v>-0.00545665429147974+0.0265291148182661i</v>
      </c>
      <c r="AD556" s="190">
        <f t="shared" si="333"/>
        <v>-31.345590244785168</v>
      </c>
      <c r="AE556" s="169">
        <f t="shared" si="334"/>
        <v>101.62281347171638</v>
      </c>
      <c r="AF556" s="98" t="str">
        <f t="shared" si="320"/>
        <v>-0.0000816326530612245</v>
      </c>
      <c r="AG556" s="98" t="str">
        <f t="shared" si="321"/>
        <v>0.354199326152307i</v>
      </c>
      <c r="AH556" s="98">
        <f t="shared" si="335"/>
        <v>0.35419932615230698</v>
      </c>
      <c r="AI556" s="98">
        <f t="shared" si="336"/>
        <v>1.5707963267948966</v>
      </c>
      <c r="AJ556" s="98" t="str">
        <f t="shared" si="322"/>
        <v>1+107.943407137045i</v>
      </c>
      <c r="AK556" s="98">
        <f t="shared" si="337"/>
        <v>107.94803909452851</v>
      </c>
      <c r="AL556" s="98">
        <f t="shared" si="338"/>
        <v>1.5615324780795314</v>
      </c>
      <c r="AM556" s="98" t="str">
        <f t="shared" si="323"/>
        <v>1+1691.11337848038i</v>
      </c>
      <c r="AN556" s="98">
        <f t="shared" si="339"/>
        <v>1691.1136741435585</v>
      </c>
      <c r="AO556" s="98">
        <f t="shared" si="340"/>
        <v>1.570205000455593</v>
      </c>
      <c r="AP556" s="168" t="str">
        <f t="shared" si="341"/>
        <v>-0.0000313122451976707+0.00361042137574359i</v>
      </c>
      <c r="AQ556" s="98">
        <f t="shared" si="342"/>
        <v>-48.848515515750883</v>
      </c>
      <c r="AR556" s="169">
        <f t="shared" si="343"/>
        <v>90.496898929881098</v>
      </c>
      <c r="AS556" s="168" t="str">
        <f t="shared" si="344"/>
        <v>-0.0000956104231222902-0.0000205315074420682i</v>
      </c>
      <c r="AT556" s="190">
        <f t="shared" si="345"/>
        <v>-80.194105760536047</v>
      </c>
      <c r="AU556" s="169">
        <f t="shared" si="346"/>
        <v>-167.88028759840248</v>
      </c>
      <c r="AV556" s="225"/>
      <c r="AX556">
        <f t="shared" si="347"/>
        <v>0</v>
      </c>
      <c r="AY556">
        <f t="shared" si="348"/>
        <v>0</v>
      </c>
    </row>
    <row r="557" spans="14:51" x14ac:dyDescent="0.25">
      <c r="N557" s="170">
        <v>39</v>
      </c>
      <c r="O557" s="199">
        <f t="shared" si="314"/>
        <v>2454708.915685033</v>
      </c>
      <c r="P557" s="189" t="str">
        <f t="shared" si="315"/>
        <v>18.0065359477124</v>
      </c>
      <c r="Q557" s="160" t="str">
        <f t="shared" si="316"/>
        <v>1+4838.71089958742i</v>
      </c>
      <c r="R557" s="160">
        <f t="shared" si="324"/>
        <v>4838.7110029207252</v>
      </c>
      <c r="S557" s="160">
        <f t="shared" si="325"/>
        <v>1.5705896601833724</v>
      </c>
      <c r="T557" s="160" t="str">
        <f t="shared" si="317"/>
        <v>1+6.16935639697396i</v>
      </c>
      <c r="U557" s="160">
        <f t="shared" si="326"/>
        <v>6.2498766670138002</v>
      </c>
      <c r="V557" s="160">
        <f t="shared" si="327"/>
        <v>1.4101024752479614</v>
      </c>
      <c r="W557" s="98" t="str">
        <f t="shared" si="318"/>
        <v>1-87.1571125334269i</v>
      </c>
      <c r="X557" s="160">
        <f t="shared" si="328"/>
        <v>87.1628491111003</v>
      </c>
      <c r="Y557" s="160">
        <f t="shared" si="329"/>
        <v>-1.5593232972996902</v>
      </c>
      <c r="Z557" s="98" t="str">
        <f t="shared" si="319"/>
        <v>-71.8994584286556+26.051700018988i</v>
      </c>
      <c r="AA557" s="160">
        <f t="shared" si="330"/>
        <v>76.473676492066957</v>
      </c>
      <c r="AB557" s="160">
        <f t="shared" si="331"/>
        <v>2.7939713897928291</v>
      </c>
      <c r="AC557" s="171" t="str">
        <f t="shared" si="332"/>
        <v>-0.00523030842944661+0.0259877780264127i</v>
      </c>
      <c r="AD557" s="190">
        <f t="shared" si="333"/>
        <v>-31.532172328835173</v>
      </c>
      <c r="AE557" s="169">
        <f t="shared" si="334"/>
        <v>101.37934909013978</v>
      </c>
      <c r="AF557" s="98" t="str">
        <f t="shared" si="320"/>
        <v>-0.0000816326530612245</v>
      </c>
      <c r="AG557" s="98" t="str">
        <f t="shared" si="321"/>
        <v>0.362449688322221i</v>
      </c>
      <c r="AH557" s="98">
        <f t="shared" si="335"/>
        <v>0.36244968832222102</v>
      </c>
      <c r="AI557" s="98">
        <f t="shared" si="336"/>
        <v>1.5707963267948966</v>
      </c>
      <c r="AJ557" s="98" t="str">
        <f t="shared" si="322"/>
        <v>1+110.457732086246i</v>
      </c>
      <c r="AK557" s="98">
        <f t="shared" si="337"/>
        <v>110.46225861187567</v>
      </c>
      <c r="AL557" s="98">
        <f t="shared" si="338"/>
        <v>1.561743337365443</v>
      </c>
      <c r="AM557" s="98" t="str">
        <f t="shared" si="323"/>
        <v>1+1730.5044693512i</v>
      </c>
      <c r="AN557" s="98">
        <f t="shared" si="339"/>
        <v>1730.5047582842635</v>
      </c>
      <c r="AO557" s="98">
        <f t="shared" si="340"/>
        <v>1.570218460683366</v>
      </c>
      <c r="AP557" s="168" t="str">
        <f t="shared" si="341"/>
        <v>-0.0000299030775123887+0.00352825090923981i</v>
      </c>
      <c r="AQ557" s="98">
        <f t="shared" si="342"/>
        <v>-49.048498809980352</v>
      </c>
      <c r="AR557" s="169">
        <f t="shared" si="343"/>
        <v>90.485588796969893</v>
      </c>
      <c r="AS557" s="168" t="str">
        <f t="shared" si="344"/>
        <v>-0.0000915349991324335-0.0000192309550124982i</v>
      </c>
      <c r="AT557" s="190">
        <f t="shared" si="345"/>
        <v>-80.580671138815518</v>
      </c>
      <c r="AU557" s="169">
        <f t="shared" si="346"/>
        <v>-168.13506211289032</v>
      </c>
      <c r="AV557" s="225"/>
      <c r="AX557">
        <f t="shared" si="347"/>
        <v>0</v>
      </c>
      <c r="AY557">
        <f t="shared" si="348"/>
        <v>0</v>
      </c>
    </row>
    <row r="558" spans="14:51" x14ac:dyDescent="0.25">
      <c r="N558" s="170">
        <v>40</v>
      </c>
      <c r="O558" s="199">
        <f t="shared" si="314"/>
        <v>2511886.431509587</v>
      </c>
      <c r="P558" s="189" t="str">
        <f t="shared" si="315"/>
        <v>18.0065359477124</v>
      </c>
      <c r="Q558" s="160" t="str">
        <f t="shared" si="316"/>
        <v>1+4951.41895522033i</v>
      </c>
      <c r="R558" s="160">
        <f t="shared" si="324"/>
        <v>4951.4190562014837</v>
      </c>
      <c r="S558" s="160">
        <f t="shared" si="325"/>
        <v>1.5705943644896569</v>
      </c>
      <c r="T558" s="160" t="str">
        <f t="shared" si="317"/>
        <v>1+6.31305916790592i</v>
      </c>
      <c r="U558" s="160">
        <f t="shared" si="326"/>
        <v>6.3917693995857672</v>
      </c>
      <c r="V558" s="160">
        <f t="shared" si="327"/>
        <v>1.4136997493713643</v>
      </c>
      <c r="W558" s="98" t="str">
        <f t="shared" si="318"/>
        <v>1-89.1872624828812i</v>
      </c>
      <c r="X558" s="160">
        <f t="shared" si="328"/>
        <v>89.19286848840747</v>
      </c>
      <c r="Y558" s="160">
        <f t="shared" si="329"/>
        <v>-1.5595844331945663</v>
      </c>
      <c r="Z558" s="98" t="str">
        <f t="shared" si="319"/>
        <v>-75.3351040580956+26.658522066431i</v>
      </c>
      <c r="AA558" s="160">
        <f t="shared" si="330"/>
        <v>79.912794358666247</v>
      </c>
      <c r="AB558" s="160">
        <f t="shared" si="331"/>
        <v>2.8014780128010206</v>
      </c>
      <c r="AC558" s="171" t="str">
        <f t="shared" si="332"/>
        <v>-0.00501260149748704+0.0254550624647856i</v>
      </c>
      <c r="AD558" s="190">
        <f t="shared" si="333"/>
        <v>-31.719291981022049</v>
      </c>
      <c r="AE558" s="169">
        <f t="shared" si="334"/>
        <v>101.14012837684572</v>
      </c>
      <c r="AF558" s="98" t="str">
        <f t="shared" si="320"/>
        <v>-0.0000816326530612245</v>
      </c>
      <c r="AG558" s="98" t="str">
        <f t="shared" si="321"/>
        <v>0.370892226114473i</v>
      </c>
      <c r="AH558" s="98">
        <f t="shared" si="335"/>
        <v>0.37089222611447298</v>
      </c>
      <c r="AI558" s="98">
        <f t="shared" si="336"/>
        <v>1.5707963267948966</v>
      </c>
      <c r="AJ558" s="98" t="str">
        <f t="shared" si="322"/>
        <v>1+113.030623187081i</v>
      </c>
      <c r="AK558" s="98">
        <f t="shared" si="337"/>
        <v>113.03504668048708</v>
      </c>
      <c r="AL558" s="98">
        <f t="shared" si="338"/>
        <v>1.5619493976859251</v>
      </c>
      <c r="AM558" s="98" t="str">
        <f t="shared" si="323"/>
        <v>1+1770.81309659761i</v>
      </c>
      <c r="AN558" s="98">
        <f t="shared" si="339"/>
        <v>1770.8133789537553</v>
      </c>
      <c r="AO558" s="98">
        <f t="shared" si="340"/>
        <v>1.5702316145191508</v>
      </c>
      <c r="AP558" s="168" t="str">
        <f t="shared" si="341"/>
        <v>-0.0000285573226588006+0.00344795001948874i</v>
      </c>
      <c r="AQ558" s="98">
        <f t="shared" si="342"/>
        <v>-49.248482856032879</v>
      </c>
      <c r="AR558" s="169">
        <f t="shared" si="343"/>
        <v>90.474536069556038</v>
      </c>
      <c r="AS558" s="168" t="str">
        <f t="shared" si="344"/>
        <v>-0.0000876246366432209-0.0000180101278630565i</v>
      </c>
      <c r="AT558" s="190">
        <f t="shared" si="345"/>
        <v>-80.967774837054932</v>
      </c>
      <c r="AU558" s="169">
        <f t="shared" si="346"/>
        <v>-168.38533555359825</v>
      </c>
      <c r="AV558" s="225"/>
      <c r="AX558">
        <f t="shared" si="347"/>
        <v>0</v>
      </c>
      <c r="AY558">
        <f t="shared" si="348"/>
        <v>0</v>
      </c>
    </row>
    <row r="559" spans="14:51" x14ac:dyDescent="0.25">
      <c r="N559" s="170">
        <v>41</v>
      </c>
      <c r="O559" s="199">
        <f t="shared" si="314"/>
        <v>2570395.782768866</v>
      </c>
      <c r="P559" s="189" t="str">
        <f t="shared" si="315"/>
        <v>18.0065359477124</v>
      </c>
      <c r="Q559" s="160" t="str">
        <f t="shared" si="316"/>
        <v>1+5066.75231872304i</v>
      </c>
      <c r="R559" s="160">
        <f t="shared" si="324"/>
        <v>5066.7524174055816</v>
      </c>
      <c r="S559" s="160">
        <f t="shared" si="325"/>
        <v>1.5705989617128655</v>
      </c>
      <c r="T559" s="160" t="str">
        <f t="shared" si="317"/>
        <v>1+6.46010920637188i</v>
      </c>
      <c r="U559" s="160">
        <f t="shared" si="326"/>
        <v>6.5370491017163648</v>
      </c>
      <c r="V559" s="160">
        <f t="shared" si="327"/>
        <v>1.4172191053193171</v>
      </c>
      <c r="W559" s="98" t="str">
        <f t="shared" si="318"/>
        <v>1-91.2647006994363i</v>
      </c>
      <c r="X559" s="160">
        <f t="shared" si="328"/>
        <v>91.2701791044462</v>
      </c>
      <c r="Y559" s="160">
        <f t="shared" si="329"/>
        <v>-1.5598396263884056</v>
      </c>
      <c r="Z559" s="98" t="str">
        <f t="shared" si="319"/>
        <v>-78.9326666776676+27.2794788151406i</v>
      </c>
      <c r="AA559" s="160">
        <f t="shared" si="330"/>
        <v>83.513686502713313</v>
      </c>
      <c r="AB559" s="160">
        <f t="shared" si="331"/>
        <v>2.8088390688873504</v>
      </c>
      <c r="AC559" s="171" t="str">
        <f t="shared" si="332"/>
        <v>-0.00480326374959893+0.0249309726089169i</v>
      </c>
      <c r="AD559" s="190">
        <f t="shared" si="333"/>
        <v>-31.906930321833464</v>
      </c>
      <c r="AE559" s="169">
        <f t="shared" si="334"/>
        <v>100.90513027830711</v>
      </c>
      <c r="AF559" s="98" t="str">
        <f t="shared" si="320"/>
        <v>-0.0000816326530612245</v>
      </c>
      <c r="AG559" s="98" t="str">
        <f t="shared" si="321"/>
        <v>0.379531415874348i</v>
      </c>
      <c r="AH559" s="98">
        <f t="shared" si="335"/>
        <v>0.37953141587434802</v>
      </c>
      <c r="AI559" s="98">
        <f t="shared" si="336"/>
        <v>1.5707963267948966</v>
      </c>
      <c r="AJ559" s="98" t="str">
        <f t="shared" si="322"/>
        <v>1+115.663444620466i</v>
      </c>
      <c r="AK559" s="98">
        <f t="shared" si="337"/>
        <v>115.66776742667597</v>
      </c>
      <c r="AL559" s="98">
        <f t="shared" si="338"/>
        <v>1.5621507682268505</v>
      </c>
      <c r="AM559" s="98" t="str">
        <f t="shared" si="323"/>
        <v>1+1812.06063238731i</v>
      </c>
      <c r="AN559" s="98">
        <f t="shared" si="339"/>
        <v>1812.060908316246</v>
      </c>
      <c r="AO559" s="98">
        <f t="shared" si="340"/>
        <v>1.570244468937267</v>
      </c>
      <c r="AP559" s="168" t="str">
        <f t="shared" si="341"/>
        <v>-0.0000272721274833549+0.00336947620654672i</v>
      </c>
      <c r="AQ559" s="98">
        <f t="shared" si="342"/>
        <v>-49.448467620076158</v>
      </c>
      <c r="AR559" s="169">
        <f t="shared" si="343"/>
        <v>90.463734891348906</v>
      </c>
      <c r="AS559" s="168" t="str">
        <f t="shared" si="344"/>
        <v>-0.0000838733237904983-0.0000168644035813164i</v>
      </c>
      <c r="AT559" s="190">
        <f t="shared" si="345"/>
        <v>-81.355397941909629</v>
      </c>
      <c r="AU559" s="169">
        <f t="shared" si="346"/>
        <v>-168.631134830344</v>
      </c>
      <c r="AV559" s="225"/>
      <c r="AX559">
        <f t="shared" si="347"/>
        <v>0</v>
      </c>
      <c r="AY559">
        <f t="shared" si="348"/>
        <v>0</v>
      </c>
    </row>
    <row r="560" spans="14:51" ht="15.75" thickBot="1" x14ac:dyDescent="0.3">
      <c r="N560" s="170">
        <v>42</v>
      </c>
      <c r="O560" s="199">
        <f t="shared" si="314"/>
        <v>2630267.9918953842</v>
      </c>
      <c r="P560" s="189" t="str">
        <f t="shared" si="315"/>
        <v>18.0065359477124</v>
      </c>
      <c r="Q560" s="160" t="str">
        <f t="shared" si="316"/>
        <v>1+5184.77214137155i</v>
      </c>
      <c r="R560" s="160">
        <f t="shared" si="324"/>
        <v>5184.7722378078024</v>
      </c>
      <c r="S560" s="160">
        <f t="shared" si="325"/>
        <v>1.5706034542905063</v>
      </c>
      <c r="T560" s="160" t="str">
        <f t="shared" si="317"/>
        <v>1+6.61058448024872i</v>
      </c>
      <c r="U560" s="160">
        <f t="shared" si="326"/>
        <v>6.6857929350605261</v>
      </c>
      <c r="V560" s="160">
        <f t="shared" si="327"/>
        <v>1.4206620602000242</v>
      </c>
      <c r="W560" s="98" t="str">
        <f t="shared" si="318"/>
        <v>1-93.3905286683334i</v>
      </c>
      <c r="X560" s="160">
        <f t="shared" si="328"/>
        <v>93.395882376852157</v>
      </c>
      <c r="Y560" s="160">
        <f t="shared" si="329"/>
        <v>-1.5600890120549884</v>
      </c>
      <c r="Z560" s="98" t="str">
        <f t="shared" si="319"/>
        <v>-82.6997772000224+27.9148995046046i</v>
      </c>
      <c r="AA560" s="160">
        <f t="shared" si="330"/>
        <v>87.28398915772307</v>
      </c>
      <c r="AB560" s="160">
        <f t="shared" si="331"/>
        <v>2.8160563656904092</v>
      </c>
      <c r="AC560" s="196" t="str">
        <f t="shared" si="332"/>
        <v>-0.0046020290797771+0.0244155037765107i</v>
      </c>
      <c r="AD560" s="197">
        <f t="shared" si="333"/>
        <v>-32.095068915636141</v>
      </c>
      <c r="AE560" s="198">
        <f t="shared" si="334"/>
        <v>100.67433026381283</v>
      </c>
      <c r="AF560" s="98" t="str">
        <f t="shared" si="320"/>
        <v>-0.0000816326530612245</v>
      </c>
      <c r="AG560" s="98" t="str">
        <f t="shared" si="321"/>
        <v>0.388371838214613i</v>
      </c>
      <c r="AH560" s="98">
        <f t="shared" si="335"/>
        <v>0.38837183821461302</v>
      </c>
      <c r="AI560" s="98">
        <f t="shared" si="336"/>
        <v>1.5707963267948966</v>
      </c>
      <c r="AJ560" s="98" t="str">
        <f t="shared" si="322"/>
        <v>1+118.357592343176i</v>
      </c>
      <c r="AK560" s="98">
        <f t="shared" si="337"/>
        <v>118.36181675385619</v>
      </c>
      <c r="AL560" s="98">
        <f t="shared" si="338"/>
        <v>1.5623475556921835</v>
      </c>
      <c r="AM560" s="98" t="str">
        <f t="shared" si="323"/>
        <v>1+1854.26894670977i</v>
      </c>
      <c r="AN560" s="98">
        <f t="shared" si="339"/>
        <v>1854.2692163577974</v>
      </c>
      <c r="AO560" s="98">
        <f t="shared" si="340"/>
        <v>1.5702570307532799</v>
      </c>
      <c r="AP560" s="191" t="str">
        <f t="shared" si="341"/>
        <v>-0.0000260447671669113+0.00329278793409556i</v>
      </c>
      <c r="AQ560" s="195">
        <f t="shared" si="342"/>
        <v>-49.648453069800169</v>
      </c>
      <c r="AR560" s="198">
        <f t="shared" si="343"/>
        <v>90.453179539164807</v>
      </c>
      <c r="AS560" s="191" t="str">
        <f t="shared" si="344"/>
        <v>-0.0000802752174642809-0.000015789401937369i</v>
      </c>
      <c r="AT560" s="197">
        <f t="shared" si="345"/>
        <v>-81.743521985436303</v>
      </c>
      <c r="AU560" s="198">
        <f t="shared" si="346"/>
        <v>-168.87249019702236</v>
      </c>
      <c r="AV560" s="225"/>
    </row>
    <row r="561" spans="14:30" x14ac:dyDescent="0.25">
      <c r="N561" s="170"/>
      <c r="P561" s="189"/>
      <c r="Q561" s="160"/>
      <c r="R561" s="160"/>
      <c r="S561" s="160"/>
      <c r="T561" s="160"/>
      <c r="U561" s="160"/>
      <c r="V561" s="160"/>
      <c r="X561" s="160"/>
      <c r="Y561" s="160"/>
      <c r="AA561" s="160"/>
      <c r="AB561" s="160"/>
      <c r="AC561" s="160"/>
      <c r="AD561" s="190"/>
    </row>
    <row r="562" spans="14:30" x14ac:dyDescent="0.25">
      <c r="N562" s="170"/>
      <c r="P562" s="189"/>
      <c r="Q562" s="160"/>
      <c r="R562" s="160"/>
      <c r="S562" s="160"/>
      <c r="T562" s="160"/>
      <c r="U562" s="160"/>
      <c r="V562" s="160"/>
      <c r="X562" s="160"/>
      <c r="Y562" s="160"/>
      <c r="AA562" s="160"/>
      <c r="AB562" s="160"/>
      <c r="AC562" s="160"/>
      <c r="AD562" s="190"/>
    </row>
    <row r="563" spans="14:30" x14ac:dyDescent="0.25">
      <c r="N563" s="170"/>
      <c r="P563" s="189"/>
      <c r="Q563" s="160"/>
      <c r="R563" s="160"/>
      <c r="S563" s="160"/>
      <c r="T563" s="160"/>
      <c r="U563" s="160"/>
      <c r="V563" s="160"/>
      <c r="X563" s="160"/>
      <c r="Y563" s="160"/>
      <c r="AA563" s="160"/>
      <c r="AB563" s="160"/>
      <c r="AC563" s="160"/>
      <c r="AD563" s="190"/>
    </row>
    <row r="564" spans="14:30" x14ac:dyDescent="0.25">
      <c r="N564" s="170"/>
      <c r="P564" s="189"/>
      <c r="Q564" s="160"/>
      <c r="R564" s="160"/>
      <c r="S564" s="160"/>
      <c r="T564" s="160"/>
      <c r="U564" s="160"/>
      <c r="V564" s="160"/>
      <c r="X564" s="160"/>
      <c r="Y564" s="160"/>
      <c r="AA564" s="160"/>
      <c r="AB564" s="160"/>
      <c r="AC564" s="160"/>
      <c r="AD564" s="190"/>
    </row>
    <row r="565" spans="14:30" x14ac:dyDescent="0.25">
      <c r="N565" s="170"/>
      <c r="P565" s="189"/>
      <c r="Q565" s="160"/>
      <c r="R565" s="160"/>
      <c r="S565" s="160"/>
      <c r="T565" s="160"/>
      <c r="U565" s="160"/>
      <c r="V565" s="160"/>
      <c r="X565" s="160"/>
      <c r="Y565" s="160"/>
      <c r="AA565" s="160"/>
      <c r="AB565" s="160"/>
      <c r="AC565" s="160"/>
      <c r="AD565" s="190"/>
    </row>
    <row r="566" spans="14:30" x14ac:dyDescent="0.25">
      <c r="N566" s="170"/>
      <c r="P566" s="189"/>
      <c r="Q566" s="160"/>
      <c r="R566" s="160"/>
      <c r="S566" s="160"/>
      <c r="T566" s="160"/>
      <c r="U566" s="160"/>
      <c r="V566" s="160"/>
      <c r="X566" s="160"/>
      <c r="Y566" s="160"/>
      <c r="AA566" s="160"/>
      <c r="AB566" s="160"/>
      <c r="AC566" s="160"/>
      <c r="AD566" s="190"/>
    </row>
    <row r="567" spans="14:30" x14ac:dyDescent="0.25">
      <c r="N567" s="170"/>
      <c r="P567" s="189"/>
      <c r="Q567" s="160"/>
      <c r="R567" s="160"/>
      <c r="S567" s="160"/>
      <c r="T567" s="160"/>
      <c r="U567" s="160"/>
      <c r="V567" s="160"/>
      <c r="X567" s="160"/>
      <c r="Y567" s="160"/>
      <c r="AA567" s="160"/>
      <c r="AB567" s="160"/>
      <c r="AC567" s="160"/>
      <c r="AD567" s="190"/>
    </row>
    <row r="568" spans="14:30" x14ac:dyDescent="0.25">
      <c r="N568" s="170"/>
      <c r="P568" s="189"/>
      <c r="Q568" s="160"/>
      <c r="R568" s="160"/>
      <c r="S568" s="160"/>
      <c r="T568" s="160"/>
      <c r="U568" s="160"/>
      <c r="V568" s="160"/>
      <c r="X568" s="160"/>
      <c r="Y568" s="160"/>
      <c r="AA568" s="160"/>
      <c r="AB568" s="160"/>
      <c r="AC568" s="160"/>
      <c r="AD568" s="190"/>
    </row>
    <row r="569" spans="14:30" x14ac:dyDescent="0.25">
      <c r="N569" s="170"/>
      <c r="P569" s="189"/>
      <c r="Q569" s="160"/>
      <c r="R569" s="160"/>
      <c r="S569" s="160"/>
      <c r="T569" s="160"/>
      <c r="U569" s="160"/>
      <c r="V569" s="160"/>
      <c r="X569" s="160"/>
      <c r="Y569" s="160"/>
      <c r="AA569" s="160"/>
      <c r="AB569" s="160"/>
      <c r="AC569" s="160"/>
      <c r="AD569" s="190"/>
    </row>
    <row r="570" spans="14:30" x14ac:dyDescent="0.25">
      <c r="N570" s="170"/>
      <c r="P570" s="189"/>
      <c r="Q570" s="160"/>
      <c r="R570" s="160"/>
      <c r="S570" s="160"/>
      <c r="T570" s="160"/>
      <c r="U570" s="160"/>
      <c r="V570" s="160"/>
      <c r="X570" s="160"/>
      <c r="Y570" s="160"/>
      <c r="AA570" s="160"/>
      <c r="AB570" s="160"/>
      <c r="AC570" s="160"/>
      <c r="AD570" s="190"/>
    </row>
    <row r="571" spans="14:30" x14ac:dyDescent="0.25">
      <c r="N571" s="170"/>
      <c r="P571" s="189"/>
      <c r="Q571" s="160"/>
      <c r="R571" s="160"/>
      <c r="S571" s="160"/>
      <c r="T571" s="160"/>
      <c r="U571" s="160"/>
      <c r="V571" s="160"/>
      <c r="X571" s="160"/>
      <c r="Y571" s="160"/>
      <c r="AA571" s="160"/>
      <c r="AB571" s="160"/>
      <c r="AC571" s="160"/>
      <c r="AD571" s="190"/>
    </row>
    <row r="572" spans="14:30" x14ac:dyDescent="0.25">
      <c r="N572" s="170"/>
      <c r="P572" s="189"/>
      <c r="Q572" s="160"/>
      <c r="R572" s="160"/>
      <c r="S572" s="160"/>
      <c r="T572" s="160"/>
      <c r="U572" s="160"/>
      <c r="V572" s="160"/>
      <c r="X572" s="160"/>
      <c r="Y572" s="160"/>
      <c r="AA572" s="160"/>
      <c r="AB572" s="160"/>
      <c r="AC572" s="160"/>
      <c r="AD572" s="190"/>
    </row>
    <row r="573" spans="14:30" x14ac:dyDescent="0.25">
      <c r="N573" s="170"/>
      <c r="P573" s="189"/>
      <c r="Q573" s="160"/>
      <c r="R573" s="160"/>
      <c r="S573" s="160"/>
      <c r="T573" s="160"/>
      <c r="U573" s="160"/>
      <c r="V573" s="160"/>
      <c r="X573" s="160"/>
      <c r="Y573" s="160"/>
      <c r="AA573" s="160"/>
      <c r="AB573" s="160"/>
      <c r="AC573" s="160"/>
      <c r="AD573" s="190"/>
    </row>
    <row r="574" spans="14:30" x14ac:dyDescent="0.25">
      <c r="N574" s="170"/>
      <c r="P574" s="189"/>
      <c r="Q574" s="160"/>
      <c r="R574" s="160"/>
      <c r="S574" s="160"/>
      <c r="T574" s="160"/>
      <c r="U574" s="160"/>
      <c r="V574" s="160"/>
      <c r="X574" s="160"/>
      <c r="Y574" s="160"/>
      <c r="AA574" s="160"/>
      <c r="AB574" s="160"/>
      <c r="AC574" s="160"/>
      <c r="AD574" s="190"/>
    </row>
    <row r="575" spans="14:30" x14ac:dyDescent="0.25">
      <c r="N575" s="170"/>
      <c r="P575" s="189"/>
      <c r="Q575" s="160"/>
      <c r="R575" s="160"/>
      <c r="S575" s="160"/>
      <c r="T575" s="160"/>
      <c r="U575" s="160"/>
      <c r="V575" s="160"/>
      <c r="X575" s="160"/>
      <c r="Y575" s="160"/>
      <c r="AA575" s="160"/>
      <c r="AB575" s="160"/>
      <c r="AC575" s="160"/>
      <c r="AD575" s="190"/>
    </row>
    <row r="576" spans="14:30" x14ac:dyDescent="0.25">
      <c r="N576" s="170"/>
      <c r="P576" s="189"/>
      <c r="Q576" s="160"/>
      <c r="R576" s="160"/>
      <c r="S576" s="160"/>
      <c r="T576" s="160"/>
      <c r="U576" s="160"/>
      <c r="V576" s="160"/>
      <c r="X576" s="160"/>
      <c r="Y576" s="160"/>
      <c r="AA576" s="160"/>
      <c r="AB576" s="160"/>
      <c r="AC576" s="160"/>
      <c r="AD576" s="190"/>
    </row>
    <row r="577" spans="14:30" x14ac:dyDescent="0.25">
      <c r="N577" s="170"/>
      <c r="P577" s="189"/>
      <c r="Q577" s="160"/>
      <c r="R577" s="160"/>
      <c r="S577" s="160"/>
      <c r="T577" s="160"/>
      <c r="U577" s="160"/>
      <c r="V577" s="160"/>
      <c r="X577" s="160"/>
      <c r="Y577" s="160"/>
      <c r="AA577" s="160"/>
      <c r="AB577" s="160"/>
      <c r="AC577" s="160"/>
      <c r="AD577" s="190"/>
    </row>
    <row r="578" spans="14:30" x14ac:dyDescent="0.25">
      <c r="N578" s="170"/>
      <c r="P578" s="189"/>
      <c r="Q578" s="160"/>
      <c r="R578" s="160"/>
      <c r="S578" s="160"/>
      <c r="T578" s="160"/>
      <c r="U578" s="160"/>
      <c r="V578" s="160"/>
      <c r="X578" s="160"/>
      <c r="Y578" s="160"/>
      <c r="AA578" s="160"/>
      <c r="AB578" s="160"/>
      <c r="AC578" s="160"/>
      <c r="AD578" s="190"/>
    </row>
    <row r="579" spans="14:30" x14ac:dyDescent="0.25">
      <c r="N579" s="170"/>
      <c r="P579" s="189"/>
      <c r="Q579" s="160"/>
      <c r="R579" s="160"/>
      <c r="S579" s="160"/>
      <c r="T579" s="160"/>
      <c r="U579" s="160"/>
      <c r="V579" s="160"/>
      <c r="X579" s="160"/>
      <c r="Y579" s="160"/>
      <c r="AA579" s="160"/>
      <c r="AB579" s="160"/>
      <c r="AC579" s="160"/>
      <c r="AD579" s="190"/>
    </row>
    <row r="580" spans="14:30" x14ac:dyDescent="0.25">
      <c r="N580" s="170"/>
      <c r="P580" s="189"/>
      <c r="Q580" s="160"/>
      <c r="R580" s="160"/>
      <c r="S580" s="160"/>
      <c r="T580" s="160"/>
      <c r="U580" s="160"/>
      <c r="V580" s="160"/>
      <c r="X580" s="160"/>
      <c r="Y580" s="160"/>
      <c r="AA580" s="160"/>
      <c r="AB580" s="160"/>
      <c r="AC580" s="160"/>
      <c r="AD580" s="190"/>
    </row>
    <row r="581" spans="14:30" x14ac:dyDescent="0.25">
      <c r="N581" s="170"/>
      <c r="P581" s="189"/>
      <c r="Q581" s="160"/>
      <c r="R581" s="160"/>
      <c r="S581" s="160"/>
      <c r="T581" s="160"/>
      <c r="U581" s="160"/>
      <c r="V581" s="160"/>
      <c r="X581" s="160"/>
      <c r="Y581" s="160"/>
      <c r="AA581" s="160"/>
      <c r="AB581" s="160"/>
      <c r="AC581" s="160"/>
      <c r="AD581" s="190"/>
    </row>
    <row r="582" spans="14:30" x14ac:dyDescent="0.25">
      <c r="N582" s="170"/>
      <c r="P582" s="189"/>
      <c r="Q582" s="160"/>
      <c r="R582" s="160"/>
      <c r="S582" s="160"/>
      <c r="T582" s="160"/>
      <c r="U582" s="160"/>
      <c r="V582" s="160"/>
      <c r="X582" s="160"/>
      <c r="Y582" s="160"/>
      <c r="AA582" s="160"/>
      <c r="AB582" s="160"/>
      <c r="AC582" s="160"/>
      <c r="AD582" s="190"/>
    </row>
    <row r="583" spans="14:30" x14ac:dyDescent="0.25">
      <c r="N583" s="170"/>
      <c r="P583" s="189"/>
      <c r="Q583" s="160"/>
      <c r="R583" s="160"/>
      <c r="S583" s="160"/>
      <c r="T583" s="160"/>
      <c r="U583" s="160"/>
      <c r="V583" s="160"/>
      <c r="X583" s="160"/>
      <c r="Y583" s="160"/>
      <c r="AA583" s="160"/>
      <c r="AB583" s="160"/>
      <c r="AC583" s="160"/>
      <c r="AD583" s="190"/>
    </row>
    <row r="584" spans="14:30" x14ac:dyDescent="0.25">
      <c r="N584" s="170"/>
      <c r="P584" s="189"/>
      <c r="Q584" s="160"/>
      <c r="R584" s="160"/>
      <c r="S584" s="160"/>
      <c r="T584" s="160"/>
      <c r="U584" s="160"/>
      <c r="V584" s="160"/>
      <c r="X584" s="160"/>
      <c r="Y584" s="160"/>
      <c r="AA584" s="160"/>
      <c r="AB584" s="160"/>
      <c r="AC584" s="160"/>
      <c r="AD584" s="190"/>
    </row>
    <row r="585" spans="14:30" x14ac:dyDescent="0.25">
      <c r="N585" s="170"/>
      <c r="P585" s="189"/>
      <c r="Q585" s="160"/>
      <c r="R585" s="160"/>
      <c r="S585" s="160"/>
      <c r="T585" s="160"/>
      <c r="U585" s="160"/>
      <c r="V585" s="160"/>
      <c r="X585" s="160"/>
      <c r="Y585" s="160"/>
      <c r="AA585" s="160"/>
      <c r="AB585" s="160"/>
      <c r="AC585" s="160"/>
      <c r="AD585" s="190"/>
    </row>
    <row r="586" spans="14:30" x14ac:dyDescent="0.25">
      <c r="N586" s="170"/>
      <c r="P586" s="189"/>
      <c r="Q586" s="160"/>
      <c r="R586" s="160"/>
      <c r="S586" s="160"/>
      <c r="T586" s="160"/>
      <c r="U586" s="160"/>
      <c r="V586" s="160"/>
      <c r="X586" s="160"/>
      <c r="Y586" s="160"/>
      <c r="AA586" s="160"/>
      <c r="AB586" s="160"/>
      <c r="AC586" s="160"/>
      <c r="AD586" s="190"/>
    </row>
    <row r="587" spans="14:30" x14ac:dyDescent="0.25">
      <c r="N587" s="170"/>
      <c r="P587" s="189"/>
      <c r="Q587" s="160"/>
      <c r="R587" s="160"/>
      <c r="S587" s="160"/>
      <c r="T587" s="160"/>
      <c r="U587" s="160"/>
      <c r="V587" s="160"/>
      <c r="X587" s="160"/>
      <c r="Y587" s="160"/>
      <c r="AA587" s="160"/>
      <c r="AB587" s="160"/>
      <c r="AC587" s="160"/>
      <c r="AD587" s="190"/>
    </row>
    <row r="588" spans="14:30" x14ac:dyDescent="0.25">
      <c r="N588" s="170"/>
      <c r="P588" s="189"/>
      <c r="Q588" s="160"/>
      <c r="R588" s="160"/>
      <c r="S588" s="160"/>
      <c r="T588" s="160"/>
      <c r="U588" s="160"/>
      <c r="V588" s="160"/>
      <c r="X588" s="160"/>
      <c r="Y588" s="160"/>
      <c r="AA588" s="160"/>
      <c r="AB588" s="160"/>
      <c r="AC588" s="160"/>
      <c r="AD588" s="190"/>
    </row>
    <row r="589" spans="14:30" x14ac:dyDescent="0.25">
      <c r="N589" s="170"/>
      <c r="P589" s="189"/>
      <c r="Q589" s="160"/>
      <c r="R589" s="160"/>
      <c r="S589" s="160"/>
      <c r="T589" s="160"/>
      <c r="U589" s="160"/>
      <c r="V589" s="160"/>
      <c r="X589" s="160"/>
      <c r="Y589" s="160"/>
      <c r="AA589" s="160"/>
      <c r="AB589" s="160"/>
      <c r="AC589" s="160"/>
      <c r="AD589" s="190"/>
    </row>
    <row r="590" spans="14:30" x14ac:dyDescent="0.25">
      <c r="N590" s="170"/>
      <c r="P590" s="189"/>
      <c r="Q590" s="160"/>
      <c r="R590" s="160"/>
      <c r="S590" s="160"/>
      <c r="T590" s="160"/>
      <c r="U590" s="160"/>
      <c r="V590" s="160"/>
      <c r="X590" s="160"/>
      <c r="Y590" s="160"/>
      <c r="AA590" s="160"/>
      <c r="AB590" s="160"/>
      <c r="AC590" s="160"/>
      <c r="AD590" s="190"/>
    </row>
    <row r="591" spans="14:30" x14ac:dyDescent="0.25">
      <c r="N591" s="170"/>
      <c r="P591" s="189"/>
      <c r="Q591" s="160"/>
      <c r="R591" s="160"/>
      <c r="S591" s="160"/>
      <c r="T591" s="160"/>
      <c r="U591" s="160"/>
      <c r="V591" s="160"/>
      <c r="X591" s="160"/>
      <c r="Y591" s="160"/>
      <c r="AA591" s="160"/>
      <c r="AB591" s="160"/>
      <c r="AC591" s="160"/>
      <c r="AD591" s="190"/>
    </row>
    <row r="592" spans="14:30" x14ac:dyDescent="0.25">
      <c r="N592" s="170"/>
      <c r="P592" s="189"/>
      <c r="Q592" s="160"/>
      <c r="R592" s="160"/>
      <c r="S592" s="160"/>
      <c r="T592" s="160"/>
      <c r="U592" s="160"/>
      <c r="V592" s="160"/>
      <c r="X592" s="160"/>
      <c r="Y592" s="160"/>
      <c r="AA592" s="160"/>
      <c r="AB592" s="160"/>
      <c r="AC592" s="160"/>
      <c r="AD592" s="190"/>
    </row>
    <row r="593" spans="14:30" x14ac:dyDescent="0.25">
      <c r="N593" s="170"/>
      <c r="P593" s="189"/>
      <c r="Q593" s="160"/>
      <c r="R593" s="160"/>
      <c r="S593" s="160"/>
      <c r="T593" s="160"/>
      <c r="U593" s="160"/>
      <c r="V593" s="160"/>
      <c r="X593" s="160"/>
      <c r="Y593" s="160"/>
      <c r="AA593" s="160"/>
      <c r="AB593" s="160"/>
      <c r="AC593" s="160"/>
      <c r="AD593" s="190"/>
    </row>
    <row r="594" spans="14:30" x14ac:dyDescent="0.25">
      <c r="N594" s="170"/>
      <c r="P594" s="189"/>
      <c r="Q594" s="160"/>
      <c r="R594" s="160"/>
      <c r="S594" s="160"/>
      <c r="T594" s="160"/>
      <c r="U594" s="160"/>
      <c r="V594" s="160"/>
      <c r="X594" s="160"/>
      <c r="Y594" s="160"/>
      <c r="AA594" s="160"/>
      <c r="AB594" s="160"/>
      <c r="AC594" s="160"/>
      <c r="AD594" s="190"/>
    </row>
    <row r="595" spans="14:30" x14ac:dyDescent="0.25">
      <c r="N595" s="170"/>
      <c r="P595" s="189"/>
      <c r="Q595" s="160"/>
      <c r="R595" s="160"/>
      <c r="S595" s="160"/>
      <c r="T595" s="160"/>
      <c r="U595" s="160"/>
      <c r="V595" s="160"/>
      <c r="X595" s="160"/>
      <c r="Y595" s="160"/>
      <c r="AA595" s="160"/>
      <c r="AB595" s="160"/>
      <c r="AC595" s="160"/>
      <c r="AD595" s="190"/>
    </row>
    <row r="596" spans="14:30" x14ac:dyDescent="0.25">
      <c r="N596" s="170"/>
      <c r="P596" s="189"/>
      <c r="Q596" s="160"/>
      <c r="R596" s="160"/>
      <c r="S596" s="160"/>
      <c r="T596" s="160"/>
      <c r="U596" s="160"/>
      <c r="V596" s="160"/>
      <c r="X596" s="160"/>
      <c r="Y596" s="160"/>
      <c r="AA596" s="160"/>
      <c r="AB596" s="160"/>
      <c r="AC596" s="160"/>
      <c r="AD596" s="190"/>
    </row>
    <row r="597" spans="14:30" x14ac:dyDescent="0.25">
      <c r="N597" s="170"/>
      <c r="P597" s="189"/>
      <c r="Q597" s="160"/>
      <c r="R597" s="160"/>
      <c r="S597" s="160"/>
      <c r="T597" s="160"/>
      <c r="U597" s="160"/>
      <c r="V597" s="160"/>
      <c r="X597" s="160"/>
      <c r="Y597" s="160"/>
      <c r="AA597" s="160"/>
      <c r="AB597" s="160"/>
      <c r="AC597" s="160"/>
      <c r="AD597" s="190"/>
    </row>
    <row r="598" spans="14:30" x14ac:dyDescent="0.25">
      <c r="N598" s="170"/>
      <c r="P598" s="189"/>
      <c r="Q598" s="160"/>
      <c r="R598" s="160"/>
      <c r="S598" s="160"/>
      <c r="T598" s="160"/>
      <c r="U598" s="160"/>
      <c r="V598" s="160"/>
      <c r="X598" s="160"/>
      <c r="Y598" s="160"/>
      <c r="AA598" s="160"/>
      <c r="AB598" s="160"/>
      <c r="AC598" s="160"/>
      <c r="AD598" s="190"/>
    </row>
    <row r="599" spans="14:30" x14ac:dyDescent="0.25">
      <c r="N599" s="170"/>
      <c r="P599" s="189"/>
      <c r="Q599" s="160"/>
      <c r="R599" s="160"/>
      <c r="S599" s="160"/>
      <c r="T599" s="160"/>
      <c r="U599" s="160"/>
      <c r="V599" s="160"/>
      <c r="X599" s="160"/>
      <c r="Y599" s="160"/>
      <c r="AA599" s="160"/>
      <c r="AB599" s="160"/>
      <c r="AC599" s="160"/>
      <c r="AD599" s="190"/>
    </row>
    <row r="600" spans="14:30" x14ac:dyDescent="0.25">
      <c r="N600" s="170"/>
      <c r="P600" s="189"/>
      <c r="Q600" s="160"/>
      <c r="R600" s="160"/>
      <c r="S600" s="160"/>
      <c r="T600" s="160"/>
      <c r="U600" s="160"/>
      <c r="V600" s="160"/>
      <c r="X600" s="160"/>
      <c r="Y600" s="160"/>
      <c r="AA600" s="160"/>
      <c r="AB600" s="160"/>
      <c r="AC600" s="160"/>
      <c r="AD600" s="190"/>
    </row>
    <row r="601" spans="14:30" x14ac:dyDescent="0.25">
      <c r="N601" s="170"/>
      <c r="P601" s="189"/>
      <c r="Q601" s="160"/>
      <c r="R601" s="160"/>
      <c r="S601" s="160"/>
      <c r="T601" s="160"/>
      <c r="U601" s="160"/>
      <c r="V601" s="160"/>
      <c r="X601" s="160"/>
      <c r="Y601" s="160"/>
      <c r="AA601" s="160"/>
      <c r="AB601" s="160"/>
      <c r="AC601" s="160"/>
      <c r="AD601" s="190"/>
    </row>
    <row r="602" spans="14:30" x14ac:dyDescent="0.25">
      <c r="N602" s="170"/>
      <c r="P602" s="189"/>
      <c r="Q602" s="160"/>
      <c r="R602" s="160"/>
      <c r="S602" s="160"/>
      <c r="T602" s="160"/>
      <c r="U602" s="160"/>
      <c r="V602" s="160"/>
      <c r="X602" s="160"/>
      <c r="Y602" s="160"/>
      <c r="AA602" s="160"/>
      <c r="AB602" s="160"/>
      <c r="AC602" s="160"/>
      <c r="AD602" s="190"/>
    </row>
    <row r="603" spans="14:30" x14ac:dyDescent="0.25">
      <c r="N603" s="170"/>
      <c r="P603" s="189"/>
      <c r="Q603" s="160"/>
      <c r="R603" s="160"/>
      <c r="S603" s="160"/>
      <c r="T603" s="160"/>
      <c r="U603" s="160"/>
      <c r="V603" s="160"/>
      <c r="X603" s="160"/>
      <c r="Y603" s="160"/>
      <c r="AA603" s="160"/>
      <c r="AB603" s="160"/>
      <c r="AC603" s="160"/>
      <c r="AD603" s="190"/>
    </row>
    <row r="604" spans="14:30" x14ac:dyDescent="0.25">
      <c r="N604" s="170"/>
      <c r="P604" s="189"/>
      <c r="Q604" s="160"/>
      <c r="R604" s="160"/>
      <c r="S604" s="160"/>
      <c r="T604" s="160"/>
      <c r="U604" s="160"/>
      <c r="V604" s="160"/>
      <c r="X604" s="160"/>
      <c r="Y604" s="160"/>
      <c r="AA604" s="160"/>
      <c r="AB604" s="160"/>
      <c r="AC604" s="160"/>
      <c r="AD604" s="190"/>
    </row>
    <row r="605" spans="14:30" x14ac:dyDescent="0.25">
      <c r="N605" s="170"/>
      <c r="P605" s="189"/>
      <c r="Q605" s="160"/>
      <c r="R605" s="160"/>
      <c r="S605" s="160"/>
      <c r="T605" s="160"/>
      <c r="U605" s="160"/>
      <c r="V605" s="160"/>
      <c r="X605" s="160"/>
      <c r="Y605" s="160"/>
      <c r="AA605" s="160"/>
      <c r="AB605" s="160"/>
      <c r="AC605" s="160"/>
      <c r="AD605" s="190"/>
    </row>
    <row r="606" spans="14:30" x14ac:dyDescent="0.25">
      <c r="N606" s="170"/>
      <c r="P606" s="189"/>
      <c r="Q606" s="160"/>
      <c r="R606" s="160"/>
      <c r="S606" s="160"/>
      <c r="T606" s="160"/>
      <c r="U606" s="160"/>
      <c r="V606" s="160"/>
      <c r="X606" s="160"/>
      <c r="Y606" s="160"/>
      <c r="AA606" s="160"/>
      <c r="AB606" s="160"/>
      <c r="AC606" s="160"/>
      <c r="AD606" s="190"/>
    </row>
    <row r="607" spans="14:30" x14ac:dyDescent="0.25">
      <c r="N607" s="170"/>
      <c r="P607" s="189"/>
      <c r="Q607" s="160"/>
      <c r="R607" s="160"/>
      <c r="S607" s="160"/>
      <c r="T607" s="160"/>
      <c r="U607" s="160"/>
      <c r="V607" s="160"/>
      <c r="X607" s="160"/>
      <c r="Y607" s="160"/>
      <c r="AA607" s="160"/>
      <c r="AB607" s="160"/>
      <c r="AC607" s="160"/>
      <c r="AD607" s="190"/>
    </row>
    <row r="608" spans="14:30" x14ac:dyDescent="0.25">
      <c r="N608" s="170"/>
      <c r="P608" s="189"/>
      <c r="Q608" s="160"/>
      <c r="R608" s="160"/>
      <c r="S608" s="160"/>
      <c r="T608" s="160"/>
      <c r="U608" s="160"/>
      <c r="V608" s="160"/>
      <c r="X608" s="160"/>
      <c r="Y608" s="160"/>
      <c r="AA608" s="160"/>
      <c r="AB608" s="160"/>
      <c r="AC608" s="160"/>
      <c r="AD608" s="190"/>
    </row>
    <row r="609" spans="14:30" x14ac:dyDescent="0.25">
      <c r="N609" s="170"/>
      <c r="P609" s="189"/>
      <c r="Q609" s="160"/>
      <c r="R609" s="160"/>
      <c r="S609" s="160"/>
      <c r="T609" s="160"/>
      <c r="U609" s="160"/>
      <c r="V609" s="160"/>
      <c r="X609" s="160"/>
      <c r="Y609" s="160"/>
      <c r="AA609" s="160"/>
      <c r="AB609" s="160"/>
      <c r="AC609" s="160"/>
      <c r="AD609" s="190"/>
    </row>
    <row r="610" spans="14:30" x14ac:dyDescent="0.25">
      <c r="N610" s="170"/>
      <c r="P610" s="189"/>
      <c r="Q610" s="160"/>
      <c r="R610" s="160"/>
      <c r="S610" s="160"/>
      <c r="T610" s="160"/>
      <c r="U610" s="160"/>
      <c r="V610" s="160"/>
      <c r="X610" s="160"/>
      <c r="Y610" s="160"/>
      <c r="AA610" s="160"/>
      <c r="AB610" s="160"/>
      <c r="AC610" s="160"/>
      <c r="AD610" s="190"/>
    </row>
    <row r="611" spans="14:30" x14ac:dyDescent="0.25">
      <c r="N611" s="170"/>
      <c r="P611" s="189"/>
      <c r="Q611" s="160"/>
      <c r="R611" s="160"/>
      <c r="S611" s="160"/>
      <c r="T611" s="160"/>
      <c r="U611" s="160"/>
      <c r="V611" s="160"/>
      <c r="X611" s="160"/>
      <c r="Y611" s="160"/>
      <c r="AA611" s="160"/>
      <c r="AB611" s="160"/>
      <c r="AC611" s="160"/>
      <c r="AD611" s="190"/>
    </row>
    <row r="612" spans="14:30" x14ac:dyDescent="0.25">
      <c r="N612" s="170"/>
      <c r="P612" s="189"/>
      <c r="Q612" s="160"/>
      <c r="R612" s="160"/>
      <c r="S612" s="160"/>
      <c r="T612" s="160"/>
      <c r="U612" s="160"/>
      <c r="V612" s="160"/>
      <c r="X612" s="160"/>
      <c r="Y612" s="160"/>
      <c r="AA612" s="160"/>
      <c r="AB612" s="160"/>
      <c r="AC612" s="160"/>
      <c r="AD612" s="190"/>
    </row>
    <row r="613" spans="14:30" x14ac:dyDescent="0.25">
      <c r="N613" s="170"/>
      <c r="P613" s="189"/>
      <c r="Q613" s="160"/>
      <c r="R613" s="160"/>
      <c r="S613" s="160"/>
      <c r="T613" s="160"/>
      <c r="U613" s="160"/>
      <c r="V613" s="160"/>
      <c r="X613" s="160"/>
      <c r="Y613" s="160"/>
      <c r="AA613" s="160"/>
      <c r="AB613" s="160"/>
      <c r="AC613" s="160"/>
      <c r="AD613" s="190"/>
    </row>
    <row r="614" spans="14:30" x14ac:dyDescent="0.25">
      <c r="N614" s="170"/>
      <c r="P614" s="189"/>
      <c r="Q614" s="160"/>
      <c r="R614" s="160"/>
      <c r="S614" s="160"/>
      <c r="T614" s="160"/>
      <c r="U614" s="160"/>
      <c r="V614" s="160"/>
      <c r="X614" s="160"/>
      <c r="Y614" s="160"/>
      <c r="AA614" s="160"/>
      <c r="AB614" s="160"/>
      <c r="AC614" s="160"/>
      <c r="AD614" s="190"/>
    </row>
    <row r="615" spans="14:30" x14ac:dyDescent="0.25">
      <c r="N615" s="170"/>
      <c r="P615" s="189"/>
      <c r="Q615" s="160"/>
      <c r="R615" s="160"/>
      <c r="S615" s="160"/>
      <c r="T615" s="160"/>
      <c r="U615" s="160"/>
      <c r="V615" s="160"/>
      <c r="X615" s="160"/>
      <c r="Y615" s="160"/>
      <c r="AA615" s="160"/>
      <c r="AB615" s="160"/>
      <c r="AC615" s="160"/>
      <c r="AD615" s="190"/>
    </row>
    <row r="616" spans="14:30" x14ac:dyDescent="0.25">
      <c r="N616" s="170"/>
      <c r="P616" s="189"/>
      <c r="Q616" s="160"/>
      <c r="R616" s="160"/>
      <c r="S616" s="160"/>
      <c r="T616" s="160"/>
      <c r="U616" s="160"/>
      <c r="V616" s="160"/>
      <c r="X616" s="160"/>
      <c r="Y616" s="160"/>
      <c r="AA616" s="160"/>
      <c r="AB616" s="160"/>
      <c r="AC616" s="160"/>
      <c r="AD616" s="190"/>
    </row>
    <row r="617" spans="14:30" x14ac:dyDescent="0.25">
      <c r="N617" s="170"/>
      <c r="P617" s="189"/>
      <c r="Q617" s="160"/>
      <c r="R617" s="160"/>
      <c r="S617" s="160"/>
      <c r="T617" s="160"/>
      <c r="U617" s="160"/>
      <c r="V617" s="160"/>
      <c r="X617" s="160"/>
      <c r="Y617" s="160"/>
      <c r="AA617" s="160"/>
      <c r="AB617" s="160"/>
      <c r="AC617" s="160"/>
      <c r="AD617" s="190"/>
    </row>
    <row r="618" spans="14:30" x14ac:dyDescent="0.25">
      <c r="N618" s="170"/>
      <c r="P618" s="189"/>
      <c r="Q618" s="160"/>
      <c r="R618" s="160"/>
      <c r="S618" s="160"/>
      <c r="T618" s="160"/>
      <c r="U618" s="160"/>
      <c r="V618" s="160"/>
      <c r="X618" s="160"/>
      <c r="Y618" s="160"/>
      <c r="AA618" s="160"/>
      <c r="AB618" s="160"/>
      <c r="AC618" s="160"/>
      <c r="AD618" s="190"/>
    </row>
    <row r="619" spans="14:30" x14ac:dyDescent="0.25">
      <c r="N619" s="170"/>
      <c r="P619" s="189"/>
      <c r="Q619" s="160"/>
      <c r="R619" s="160"/>
      <c r="S619" s="160"/>
      <c r="T619" s="160"/>
      <c r="U619" s="160"/>
      <c r="V619" s="160"/>
      <c r="X619" s="160"/>
      <c r="Y619" s="160"/>
      <c r="AA619" s="160"/>
      <c r="AB619" s="160"/>
      <c r="AC619" s="160"/>
      <c r="AD619" s="190"/>
    </row>
    <row r="620" spans="14:30" x14ac:dyDescent="0.25">
      <c r="N620" s="170"/>
      <c r="P620" s="189"/>
      <c r="Q620" s="160"/>
      <c r="R620" s="160"/>
      <c r="S620" s="160"/>
      <c r="T620" s="160"/>
      <c r="U620" s="160"/>
      <c r="V620" s="160"/>
      <c r="X620" s="160"/>
      <c r="Y620" s="160"/>
      <c r="AA620" s="160"/>
      <c r="AB620" s="160"/>
      <c r="AC620" s="160"/>
      <c r="AD620" s="190"/>
    </row>
    <row r="621" spans="14:30" x14ac:dyDescent="0.25">
      <c r="N621" s="170"/>
      <c r="P621" s="189"/>
      <c r="Q621" s="160"/>
      <c r="R621" s="160"/>
      <c r="S621" s="160"/>
      <c r="T621" s="160"/>
      <c r="U621" s="160"/>
      <c r="V621" s="160"/>
      <c r="X621" s="160"/>
      <c r="Y621" s="160"/>
      <c r="AA621" s="160"/>
      <c r="AB621" s="160"/>
      <c r="AC621" s="160"/>
      <c r="AD621" s="190"/>
    </row>
    <row r="622" spans="14:30" x14ac:dyDescent="0.25">
      <c r="N622" s="170"/>
      <c r="P622" s="189"/>
      <c r="Q622" s="160"/>
      <c r="R622" s="160"/>
      <c r="S622" s="160"/>
      <c r="T622" s="160"/>
      <c r="U622" s="160"/>
      <c r="V622" s="160"/>
      <c r="X622" s="160"/>
      <c r="Y622" s="160"/>
      <c r="AA622" s="160"/>
      <c r="AB622" s="160"/>
      <c r="AC622" s="160"/>
      <c r="AD622" s="190"/>
    </row>
    <row r="623" spans="14:30" x14ac:dyDescent="0.25">
      <c r="N623" s="170"/>
      <c r="P623" s="189"/>
      <c r="Q623" s="160"/>
      <c r="R623" s="160"/>
      <c r="S623" s="160"/>
      <c r="T623" s="160"/>
      <c r="U623" s="160"/>
      <c r="V623" s="160"/>
      <c r="X623" s="160"/>
      <c r="Y623" s="160"/>
      <c r="AA623" s="160"/>
      <c r="AB623" s="160"/>
      <c r="AC623" s="160"/>
      <c r="AD623" s="190"/>
    </row>
    <row r="624" spans="14:30" x14ac:dyDescent="0.25">
      <c r="N624" s="170"/>
      <c r="P624" s="189"/>
      <c r="Q624" s="160"/>
      <c r="R624" s="160"/>
      <c r="S624" s="160"/>
      <c r="T624" s="160"/>
      <c r="U624" s="160"/>
      <c r="V624" s="160"/>
      <c r="X624" s="160"/>
      <c r="Y624" s="160"/>
      <c r="AA624" s="160"/>
      <c r="AB624" s="160"/>
      <c r="AC624" s="160"/>
      <c r="AD624" s="190"/>
    </row>
    <row r="625" spans="14:30" x14ac:dyDescent="0.25">
      <c r="N625" s="170"/>
      <c r="P625" s="189"/>
      <c r="Q625" s="160"/>
      <c r="R625" s="160"/>
      <c r="S625" s="160"/>
      <c r="T625" s="160"/>
      <c r="U625" s="160"/>
      <c r="V625" s="160"/>
      <c r="X625" s="160"/>
      <c r="Y625" s="160"/>
      <c r="AA625" s="160"/>
      <c r="AB625" s="160"/>
      <c r="AC625" s="160"/>
      <c r="AD625" s="190"/>
    </row>
    <row r="626" spans="14:30" x14ac:dyDescent="0.25">
      <c r="N626" s="170"/>
      <c r="P626" s="189"/>
      <c r="Q626" s="160"/>
      <c r="R626" s="160"/>
      <c r="S626" s="160"/>
      <c r="T626" s="160"/>
      <c r="U626" s="160"/>
      <c r="V626" s="160"/>
      <c r="X626" s="160"/>
      <c r="Y626" s="160"/>
      <c r="AA626" s="160"/>
      <c r="AB626" s="160"/>
      <c r="AC626" s="160"/>
      <c r="AD626" s="190"/>
    </row>
    <row r="627" spans="14:30" x14ac:dyDescent="0.25">
      <c r="N627" s="170"/>
      <c r="P627" s="189"/>
      <c r="Q627" s="160"/>
      <c r="R627" s="160"/>
      <c r="S627" s="160"/>
      <c r="T627" s="160"/>
      <c r="U627" s="160"/>
      <c r="V627" s="160"/>
      <c r="X627" s="160"/>
      <c r="Y627" s="160"/>
      <c r="AA627" s="160"/>
      <c r="AB627" s="160"/>
      <c r="AC627" s="160"/>
      <c r="AD627" s="190"/>
    </row>
    <row r="628" spans="14:30" x14ac:dyDescent="0.25">
      <c r="N628" s="170"/>
      <c r="P628" s="189"/>
      <c r="Q628" s="160"/>
      <c r="R628" s="160"/>
      <c r="S628" s="160"/>
      <c r="T628" s="160"/>
      <c r="U628" s="160"/>
      <c r="V628" s="160"/>
      <c r="X628" s="160"/>
      <c r="Y628" s="160"/>
      <c r="AA628" s="160"/>
      <c r="AB628" s="160"/>
      <c r="AC628" s="160"/>
      <c r="AD628" s="190"/>
    </row>
    <row r="629" spans="14:30" x14ac:dyDescent="0.25">
      <c r="N629" s="170"/>
      <c r="P629" s="189"/>
      <c r="Q629" s="160"/>
      <c r="R629" s="160"/>
      <c r="S629" s="160"/>
      <c r="T629" s="160"/>
      <c r="U629" s="160"/>
      <c r="V629" s="160"/>
      <c r="X629" s="160"/>
      <c r="Y629" s="160"/>
      <c r="AA629" s="160"/>
      <c r="AB629" s="160"/>
      <c r="AC629" s="160"/>
      <c r="AD629" s="190"/>
    </row>
    <row r="630" spans="14:30" x14ac:dyDescent="0.25">
      <c r="N630" s="170"/>
      <c r="P630" s="189"/>
      <c r="Q630" s="160"/>
      <c r="R630" s="160"/>
      <c r="S630" s="160"/>
      <c r="T630" s="160"/>
      <c r="U630" s="160"/>
      <c r="V630" s="160"/>
      <c r="X630" s="160"/>
      <c r="Y630" s="160"/>
      <c r="AA630" s="160"/>
      <c r="AB630" s="160"/>
      <c r="AC630" s="160"/>
      <c r="AD630" s="190"/>
    </row>
    <row r="631" spans="14:30" x14ac:dyDescent="0.25">
      <c r="N631" s="170"/>
      <c r="P631" s="189"/>
      <c r="Q631" s="160"/>
      <c r="R631" s="160"/>
      <c r="S631" s="160"/>
      <c r="T631" s="160"/>
      <c r="U631" s="160"/>
      <c r="V631" s="160"/>
      <c r="X631" s="160"/>
      <c r="Y631" s="160"/>
      <c r="AA631" s="160"/>
      <c r="AB631" s="160"/>
      <c r="AC631" s="160"/>
      <c r="AD631" s="190"/>
    </row>
    <row r="632" spans="14:30" x14ac:dyDescent="0.25">
      <c r="N632" s="170"/>
      <c r="P632" s="189"/>
      <c r="Q632" s="160"/>
      <c r="R632" s="160"/>
      <c r="S632" s="160"/>
      <c r="T632" s="160"/>
      <c r="U632" s="160"/>
      <c r="V632" s="160"/>
      <c r="X632" s="160"/>
      <c r="Y632" s="160"/>
      <c r="AA632" s="160"/>
      <c r="AB632" s="160"/>
      <c r="AC632" s="160"/>
      <c r="AD632" s="190"/>
    </row>
    <row r="633" spans="14:30" x14ac:dyDescent="0.25">
      <c r="N633" s="170"/>
      <c r="P633" s="189"/>
      <c r="Q633" s="160"/>
      <c r="R633" s="160"/>
      <c r="S633" s="160"/>
      <c r="T633" s="160"/>
      <c r="U633" s="160"/>
      <c r="V633" s="160"/>
      <c r="X633" s="160"/>
      <c r="Y633" s="160"/>
      <c r="AA633" s="160"/>
      <c r="AB633" s="160"/>
      <c r="AC633" s="160"/>
      <c r="AD633" s="190"/>
    </row>
    <row r="634" spans="14:30" x14ac:dyDescent="0.25">
      <c r="N634" s="170"/>
      <c r="P634" s="189"/>
      <c r="Q634" s="160"/>
      <c r="R634" s="160"/>
      <c r="S634" s="160"/>
      <c r="T634" s="160"/>
      <c r="U634" s="160"/>
      <c r="V634" s="160"/>
      <c r="X634" s="160"/>
      <c r="Y634" s="160"/>
      <c r="AA634" s="160"/>
      <c r="AB634" s="160"/>
      <c r="AC634" s="160"/>
      <c r="AD634" s="190"/>
    </row>
    <row r="635" spans="14:30" x14ac:dyDescent="0.25">
      <c r="N635" s="170"/>
      <c r="P635" s="189"/>
      <c r="Q635" s="160"/>
      <c r="R635" s="160"/>
      <c r="S635" s="160"/>
      <c r="T635" s="160"/>
      <c r="U635" s="160"/>
      <c r="V635" s="160"/>
      <c r="X635" s="160"/>
      <c r="Y635" s="160"/>
      <c r="AA635" s="160"/>
      <c r="AB635" s="160"/>
      <c r="AC635" s="160"/>
      <c r="AD635" s="190"/>
    </row>
    <row r="636" spans="14:30" x14ac:dyDescent="0.25">
      <c r="N636" s="170"/>
      <c r="P636" s="189"/>
      <c r="Q636" s="160"/>
      <c r="R636" s="160"/>
      <c r="S636" s="160"/>
      <c r="T636" s="160"/>
      <c r="U636" s="160"/>
      <c r="V636" s="160"/>
      <c r="X636" s="160"/>
      <c r="Y636" s="160"/>
      <c r="AA636" s="160"/>
      <c r="AB636" s="160"/>
      <c r="AC636" s="160"/>
      <c r="AD636" s="190"/>
    </row>
    <row r="637" spans="14:30" x14ac:dyDescent="0.25">
      <c r="N637" s="170"/>
      <c r="P637" s="189"/>
      <c r="Q637" s="160"/>
      <c r="R637" s="160"/>
      <c r="S637" s="160"/>
      <c r="T637" s="160"/>
      <c r="U637" s="160"/>
      <c r="V637" s="160"/>
      <c r="X637" s="160"/>
      <c r="Y637" s="160"/>
      <c r="AA637" s="160"/>
      <c r="AB637" s="160"/>
      <c r="AC637" s="160"/>
      <c r="AD637" s="190"/>
    </row>
    <row r="638" spans="14:30" x14ac:dyDescent="0.25">
      <c r="N638" s="170"/>
      <c r="P638" s="189"/>
      <c r="Q638" s="160"/>
      <c r="R638" s="160"/>
      <c r="S638" s="160"/>
      <c r="T638" s="160"/>
      <c r="U638" s="160"/>
      <c r="V638" s="160"/>
      <c r="X638" s="160"/>
      <c r="Y638" s="160"/>
      <c r="AA638" s="160"/>
      <c r="AB638" s="160"/>
      <c r="AC638" s="160"/>
      <c r="AD638" s="190"/>
    </row>
    <row r="639" spans="14:30" x14ac:dyDescent="0.25">
      <c r="N639" s="170"/>
      <c r="P639" s="189"/>
      <c r="Q639" s="160"/>
      <c r="R639" s="160"/>
      <c r="S639" s="160"/>
      <c r="T639" s="160"/>
      <c r="U639" s="160"/>
      <c r="V639" s="160"/>
      <c r="X639" s="160"/>
      <c r="Y639" s="160"/>
      <c r="AA639" s="160"/>
      <c r="AB639" s="160"/>
      <c r="AC639" s="160"/>
      <c r="AD639" s="190"/>
    </row>
    <row r="640" spans="14:30" x14ac:dyDescent="0.25">
      <c r="N640" s="170"/>
      <c r="P640" s="189"/>
      <c r="Q640" s="160"/>
      <c r="R640" s="160"/>
      <c r="S640" s="160"/>
      <c r="T640" s="160"/>
      <c r="U640" s="160"/>
      <c r="V640" s="160"/>
      <c r="X640" s="160"/>
      <c r="Y640" s="160"/>
      <c r="AA640" s="160"/>
      <c r="AB640" s="160"/>
      <c r="AC640" s="160"/>
      <c r="AD640" s="190"/>
    </row>
    <row r="641" spans="14:30" x14ac:dyDescent="0.25">
      <c r="N641" s="170"/>
      <c r="P641" s="189"/>
      <c r="Q641" s="160"/>
      <c r="R641" s="160"/>
      <c r="S641" s="160"/>
      <c r="T641" s="160"/>
      <c r="U641" s="160"/>
      <c r="V641" s="160"/>
      <c r="X641" s="160"/>
      <c r="Y641" s="160"/>
      <c r="AA641" s="160"/>
      <c r="AB641" s="160"/>
      <c r="AC641" s="160"/>
      <c r="AD641" s="190"/>
    </row>
    <row r="642" spans="14:30" x14ac:dyDescent="0.25">
      <c r="N642" s="170"/>
      <c r="P642" s="189"/>
      <c r="Q642" s="160"/>
      <c r="R642" s="160"/>
      <c r="S642" s="160"/>
      <c r="T642" s="160"/>
      <c r="U642" s="160"/>
      <c r="V642" s="160"/>
      <c r="X642" s="160"/>
      <c r="Y642" s="160"/>
      <c r="AA642" s="160"/>
      <c r="AB642" s="160"/>
      <c r="AC642" s="160"/>
      <c r="AD642" s="190"/>
    </row>
    <row r="643" spans="14:30" x14ac:dyDescent="0.25">
      <c r="N643" s="170"/>
      <c r="P643" s="189"/>
      <c r="Q643" s="160"/>
      <c r="R643" s="160"/>
      <c r="S643" s="160"/>
      <c r="T643" s="160"/>
      <c r="U643" s="160"/>
      <c r="V643" s="160"/>
      <c r="X643" s="160"/>
      <c r="Y643" s="160"/>
      <c r="AA643" s="160"/>
      <c r="AB643" s="160"/>
      <c r="AC643" s="160"/>
      <c r="AD643" s="190"/>
    </row>
    <row r="644" spans="14:30" x14ac:dyDescent="0.25">
      <c r="N644" s="170"/>
      <c r="P644" s="189"/>
      <c r="Q644" s="160"/>
      <c r="R644" s="160"/>
      <c r="S644" s="160"/>
      <c r="T644" s="160"/>
      <c r="U644" s="160"/>
      <c r="V644" s="160"/>
      <c r="X644" s="160"/>
      <c r="Y644" s="160"/>
      <c r="AA644" s="160"/>
      <c r="AB644" s="160"/>
      <c r="AC644" s="160"/>
      <c r="AD644" s="190"/>
    </row>
    <row r="645" spans="14:30" x14ac:dyDescent="0.25">
      <c r="N645" s="170"/>
      <c r="P645" s="189"/>
      <c r="Q645" s="160"/>
      <c r="R645" s="160"/>
      <c r="S645" s="160"/>
      <c r="T645" s="160"/>
      <c r="U645" s="160"/>
      <c r="V645" s="160"/>
      <c r="X645" s="160"/>
      <c r="Y645" s="160"/>
      <c r="AA645" s="160"/>
      <c r="AB645" s="160"/>
      <c r="AC645" s="160"/>
      <c r="AD645" s="190"/>
    </row>
    <row r="646" spans="14:30" x14ac:dyDescent="0.25">
      <c r="N646" s="170"/>
      <c r="P646" s="189"/>
      <c r="Q646" s="160"/>
      <c r="R646" s="160"/>
      <c r="S646" s="160"/>
      <c r="T646" s="160"/>
      <c r="U646" s="160"/>
      <c r="V646" s="160"/>
      <c r="X646" s="160"/>
      <c r="Y646" s="160"/>
      <c r="AA646" s="160"/>
      <c r="AB646" s="160"/>
      <c r="AC646" s="160"/>
      <c r="AD646" s="190"/>
    </row>
    <row r="647" spans="14:30" x14ac:dyDescent="0.25">
      <c r="N647" s="170"/>
      <c r="P647" s="189"/>
      <c r="Q647" s="160"/>
      <c r="R647" s="160"/>
      <c r="S647" s="160"/>
      <c r="T647" s="160"/>
      <c r="U647" s="160"/>
      <c r="V647" s="160"/>
      <c r="X647" s="160"/>
      <c r="Y647" s="160"/>
      <c r="AA647" s="160"/>
      <c r="AB647" s="160"/>
      <c r="AC647" s="160"/>
      <c r="AD647" s="190"/>
    </row>
    <row r="648" spans="14:30" x14ac:dyDescent="0.25">
      <c r="N648" s="170"/>
      <c r="P648" s="189"/>
      <c r="Q648" s="160"/>
      <c r="R648" s="160"/>
      <c r="S648" s="160"/>
      <c r="T648" s="160"/>
      <c r="U648" s="160"/>
      <c r="V648" s="160"/>
      <c r="X648" s="160"/>
      <c r="Y648" s="160"/>
      <c r="AA648" s="160"/>
      <c r="AB648" s="160"/>
      <c r="AC648" s="160"/>
      <c r="AD648" s="190"/>
    </row>
    <row r="649" spans="14:30" x14ac:dyDescent="0.25">
      <c r="N649" s="170"/>
      <c r="P649" s="189"/>
      <c r="Q649" s="160"/>
      <c r="R649" s="160"/>
      <c r="S649" s="160"/>
      <c r="T649" s="160"/>
      <c r="U649" s="160"/>
      <c r="V649" s="160"/>
      <c r="X649" s="160"/>
      <c r="Y649" s="160"/>
      <c r="AA649" s="160"/>
      <c r="AB649" s="160"/>
      <c r="AC649" s="160"/>
      <c r="AD649" s="190"/>
    </row>
    <row r="650" spans="14:30" x14ac:dyDescent="0.25">
      <c r="N650" s="170"/>
      <c r="P650" s="189"/>
      <c r="Q650" s="160"/>
      <c r="R650" s="160"/>
      <c r="S650" s="160"/>
      <c r="T650" s="160"/>
      <c r="U650" s="160"/>
      <c r="V650" s="160"/>
      <c r="X650" s="160"/>
      <c r="Y650" s="160"/>
      <c r="AA650" s="160"/>
      <c r="AB650" s="160"/>
      <c r="AC650" s="160"/>
      <c r="AD650" s="190"/>
    </row>
    <row r="651" spans="14:30" x14ac:dyDescent="0.25">
      <c r="N651" s="170"/>
      <c r="P651" s="189"/>
      <c r="Q651" s="160"/>
      <c r="R651" s="160"/>
      <c r="S651" s="160"/>
      <c r="T651" s="160"/>
      <c r="U651" s="160"/>
      <c r="V651" s="160"/>
      <c r="X651" s="160"/>
      <c r="Y651" s="160"/>
      <c r="AA651" s="160"/>
      <c r="AB651" s="160"/>
      <c r="AC651" s="160"/>
      <c r="AD651" s="190"/>
    </row>
    <row r="652" spans="14:30" x14ac:dyDescent="0.25">
      <c r="N652" s="170"/>
      <c r="P652" s="189"/>
      <c r="Q652" s="160"/>
      <c r="R652" s="160"/>
      <c r="S652" s="160"/>
      <c r="T652" s="160"/>
      <c r="U652" s="160"/>
      <c r="V652" s="160"/>
      <c r="X652" s="160"/>
      <c r="Y652" s="160"/>
      <c r="AA652" s="160"/>
      <c r="AB652" s="160"/>
      <c r="AC652" s="160"/>
      <c r="AD652" s="190"/>
    </row>
    <row r="653" spans="14:30" x14ac:dyDescent="0.25">
      <c r="N653" s="170"/>
      <c r="P653" s="189"/>
      <c r="Q653" s="160"/>
      <c r="R653" s="160"/>
      <c r="S653" s="160"/>
      <c r="T653" s="160"/>
      <c r="U653" s="160"/>
      <c r="V653" s="160"/>
      <c r="X653" s="160"/>
      <c r="Y653" s="160"/>
      <c r="AA653" s="160"/>
      <c r="AB653" s="160"/>
      <c r="AC653" s="160"/>
      <c r="AD653" s="190"/>
    </row>
    <row r="654" spans="14:30" x14ac:dyDescent="0.25">
      <c r="N654" s="170"/>
      <c r="P654" s="189"/>
      <c r="Q654" s="160"/>
      <c r="R654" s="160"/>
      <c r="S654" s="160"/>
      <c r="T654" s="160"/>
      <c r="U654" s="160"/>
      <c r="V654" s="160"/>
      <c r="X654" s="160"/>
      <c r="Y654" s="160"/>
      <c r="AA654" s="160"/>
      <c r="AB654" s="160"/>
      <c r="AC654" s="160"/>
      <c r="AD654" s="190"/>
    </row>
    <row r="655" spans="14:30" x14ac:dyDescent="0.25">
      <c r="N655" s="170"/>
      <c r="P655" s="189"/>
      <c r="Q655" s="160"/>
      <c r="R655" s="160"/>
      <c r="S655" s="160"/>
      <c r="T655" s="160"/>
      <c r="U655" s="160"/>
      <c r="V655" s="160"/>
      <c r="X655" s="160"/>
      <c r="Y655" s="160"/>
      <c r="AA655" s="160"/>
      <c r="AB655" s="160"/>
      <c r="AC655" s="160"/>
      <c r="AD655" s="190"/>
    </row>
    <row r="656" spans="14:30" x14ac:dyDescent="0.25">
      <c r="N656" s="170"/>
      <c r="P656" s="189"/>
      <c r="Q656" s="160"/>
      <c r="R656" s="160"/>
      <c r="S656" s="160"/>
      <c r="T656" s="160"/>
      <c r="U656" s="160"/>
      <c r="V656" s="160"/>
      <c r="X656" s="160"/>
      <c r="Y656" s="160"/>
      <c r="AA656" s="160"/>
      <c r="AB656" s="160"/>
      <c r="AC656" s="160"/>
      <c r="AD656" s="190"/>
    </row>
    <row r="657" spans="14:30" x14ac:dyDescent="0.25">
      <c r="N657" s="170"/>
      <c r="P657" s="189"/>
      <c r="Q657" s="160"/>
      <c r="R657" s="160"/>
      <c r="S657" s="160"/>
      <c r="T657" s="160"/>
      <c r="U657" s="160"/>
      <c r="V657" s="160"/>
      <c r="X657" s="160"/>
      <c r="Y657" s="160"/>
      <c r="AA657" s="160"/>
      <c r="AB657" s="160"/>
      <c r="AC657" s="160"/>
      <c r="AD657" s="190"/>
    </row>
    <row r="658" spans="14:30" x14ac:dyDescent="0.25">
      <c r="N658" s="170"/>
      <c r="P658" s="189"/>
      <c r="Q658" s="160"/>
      <c r="R658" s="160"/>
      <c r="S658" s="160"/>
      <c r="T658" s="160"/>
      <c r="U658" s="160"/>
      <c r="V658" s="160"/>
      <c r="X658" s="160"/>
      <c r="Y658" s="160"/>
      <c r="AA658" s="160"/>
      <c r="AB658" s="160"/>
      <c r="AC658" s="160"/>
      <c r="AD658" s="190"/>
    </row>
    <row r="659" spans="14:30" x14ac:dyDescent="0.25">
      <c r="N659" s="170"/>
      <c r="P659" s="189"/>
      <c r="Q659" s="160"/>
      <c r="R659" s="160"/>
      <c r="S659" s="160"/>
      <c r="T659" s="160"/>
      <c r="U659" s="160"/>
      <c r="V659" s="160"/>
      <c r="X659" s="160"/>
      <c r="Y659" s="160"/>
      <c r="AA659" s="160"/>
      <c r="AB659" s="160"/>
      <c r="AC659" s="160"/>
      <c r="AD659" s="190"/>
    </row>
    <row r="660" spans="14:30" x14ac:dyDescent="0.25">
      <c r="N660" s="170"/>
      <c r="P660" s="189"/>
      <c r="Q660" s="160"/>
      <c r="R660" s="160"/>
      <c r="S660" s="160"/>
      <c r="T660" s="160"/>
      <c r="U660" s="160"/>
      <c r="V660" s="160"/>
      <c r="X660" s="160"/>
      <c r="Y660" s="160"/>
      <c r="AA660" s="160"/>
      <c r="AB660" s="160"/>
      <c r="AC660" s="160"/>
      <c r="AD660" s="190"/>
    </row>
    <row r="661" spans="14:30" x14ac:dyDescent="0.25">
      <c r="N661" s="170"/>
      <c r="P661" s="189"/>
      <c r="Q661" s="160"/>
      <c r="R661" s="160"/>
      <c r="S661" s="160"/>
      <c r="T661" s="160"/>
      <c r="U661" s="160"/>
      <c r="V661" s="160"/>
      <c r="X661" s="160"/>
      <c r="Y661" s="160"/>
      <c r="AA661" s="160"/>
      <c r="AB661" s="160"/>
      <c r="AC661" s="160"/>
      <c r="AD661" s="190"/>
    </row>
    <row r="662" spans="14:30" x14ac:dyDescent="0.25">
      <c r="N662" s="170"/>
      <c r="P662" s="189"/>
      <c r="Q662" s="160"/>
      <c r="R662" s="160"/>
      <c r="S662" s="160"/>
      <c r="T662" s="160"/>
      <c r="U662" s="160"/>
      <c r="V662" s="160"/>
      <c r="X662" s="160"/>
      <c r="Y662" s="160"/>
      <c r="AA662" s="160"/>
      <c r="AB662" s="160"/>
      <c r="AC662" s="160"/>
      <c r="AD662" s="190"/>
    </row>
    <row r="663" spans="14:30" x14ac:dyDescent="0.25">
      <c r="N663" s="170"/>
      <c r="P663" s="189"/>
      <c r="Q663" s="160"/>
      <c r="R663" s="160"/>
      <c r="S663" s="160"/>
      <c r="T663" s="160"/>
      <c r="U663" s="160"/>
      <c r="V663" s="160"/>
      <c r="X663" s="160"/>
      <c r="Y663" s="160"/>
      <c r="AA663" s="160"/>
      <c r="AB663" s="160"/>
      <c r="AC663" s="160"/>
      <c r="AD663" s="190"/>
    </row>
    <row r="664" spans="14:30" x14ac:dyDescent="0.25">
      <c r="N664" s="170"/>
      <c r="P664" s="189"/>
      <c r="Q664" s="160"/>
      <c r="R664" s="160"/>
      <c r="S664" s="160"/>
      <c r="T664" s="160"/>
      <c r="U664" s="160"/>
      <c r="V664" s="160"/>
      <c r="X664" s="160"/>
      <c r="Y664" s="160"/>
      <c r="AA664" s="160"/>
      <c r="AB664" s="160"/>
      <c r="AC664" s="160"/>
      <c r="AD664" s="190"/>
    </row>
    <row r="665" spans="14:30" x14ac:dyDescent="0.25">
      <c r="N665" s="170"/>
      <c r="P665" s="189"/>
      <c r="Q665" s="160"/>
      <c r="R665" s="160"/>
      <c r="S665" s="160"/>
      <c r="T665" s="160"/>
      <c r="U665" s="160"/>
      <c r="V665" s="160"/>
      <c r="X665" s="160"/>
      <c r="Y665" s="160"/>
      <c r="AA665" s="160"/>
      <c r="AB665" s="160"/>
      <c r="AC665" s="160"/>
      <c r="AD665" s="190"/>
    </row>
    <row r="666" spans="14:30" x14ac:dyDescent="0.25">
      <c r="N666" s="170"/>
      <c r="P666" s="189"/>
      <c r="Q666" s="160"/>
      <c r="R666" s="160"/>
      <c r="S666" s="160"/>
      <c r="T666" s="160"/>
      <c r="U666" s="160"/>
      <c r="V666" s="160"/>
      <c r="X666" s="160"/>
      <c r="Y666" s="160"/>
      <c r="AA666" s="160"/>
      <c r="AB666" s="160"/>
      <c r="AC666" s="160"/>
      <c r="AD666" s="190"/>
    </row>
    <row r="667" spans="14:30" x14ac:dyDescent="0.25">
      <c r="N667" s="170"/>
      <c r="P667" s="189"/>
      <c r="Q667" s="160"/>
      <c r="R667" s="160"/>
      <c r="S667" s="160"/>
      <c r="T667" s="160"/>
      <c r="U667" s="160"/>
      <c r="V667" s="160"/>
      <c r="X667" s="160"/>
      <c r="Y667" s="160"/>
      <c r="AA667" s="160"/>
      <c r="AB667" s="160"/>
      <c r="AC667" s="160"/>
      <c r="AD667" s="190"/>
    </row>
    <row r="668" spans="14:30" x14ac:dyDescent="0.25">
      <c r="N668" s="170"/>
      <c r="P668" s="189"/>
      <c r="Q668" s="160"/>
      <c r="R668" s="160"/>
      <c r="S668" s="160"/>
      <c r="T668" s="160"/>
      <c r="U668" s="160"/>
      <c r="V668" s="160"/>
      <c r="X668" s="160"/>
      <c r="Y668" s="160"/>
      <c r="AA668" s="160"/>
      <c r="AB668" s="160"/>
      <c r="AC668" s="160"/>
      <c r="AD668" s="190"/>
    </row>
    <row r="669" spans="14:30" x14ac:dyDescent="0.25">
      <c r="N669" s="170"/>
      <c r="P669" s="189"/>
      <c r="Q669" s="160"/>
      <c r="R669" s="160"/>
      <c r="S669" s="160"/>
      <c r="T669" s="160"/>
      <c r="U669" s="160"/>
      <c r="V669" s="160"/>
      <c r="X669" s="160"/>
      <c r="Y669" s="160"/>
      <c r="AA669" s="160"/>
      <c r="AB669" s="160"/>
      <c r="AC669" s="160"/>
      <c r="AD669" s="190"/>
    </row>
    <row r="670" spans="14:30" x14ac:dyDescent="0.25">
      <c r="N670" s="170"/>
      <c r="P670" s="189"/>
      <c r="Q670" s="160"/>
      <c r="R670" s="160"/>
      <c r="S670" s="160"/>
      <c r="T670" s="160"/>
      <c r="U670" s="160"/>
      <c r="V670" s="160"/>
      <c r="X670" s="160"/>
      <c r="Y670" s="160"/>
      <c r="AA670" s="160"/>
      <c r="AB670" s="160"/>
      <c r="AC670" s="160"/>
      <c r="AD670" s="190"/>
    </row>
    <row r="671" spans="14:30" x14ac:dyDescent="0.25">
      <c r="N671" s="170"/>
      <c r="P671" s="189"/>
      <c r="Q671" s="160"/>
      <c r="R671" s="160"/>
      <c r="S671" s="160"/>
      <c r="T671" s="160"/>
      <c r="U671" s="160"/>
      <c r="V671" s="160"/>
      <c r="X671" s="160"/>
      <c r="Y671" s="160"/>
      <c r="AA671" s="160"/>
      <c r="AB671" s="160"/>
      <c r="AC671" s="160"/>
      <c r="AD671" s="190"/>
    </row>
    <row r="672" spans="14:30" x14ac:dyDescent="0.25">
      <c r="N672" s="170"/>
      <c r="P672" s="189"/>
      <c r="Q672" s="160"/>
      <c r="R672" s="160"/>
      <c r="S672" s="160"/>
      <c r="T672" s="160"/>
      <c r="U672" s="160"/>
      <c r="V672" s="160"/>
      <c r="X672" s="160"/>
      <c r="Y672" s="160"/>
      <c r="AA672" s="160"/>
      <c r="AB672" s="160"/>
      <c r="AC672" s="160"/>
      <c r="AD672" s="190"/>
    </row>
    <row r="673" spans="14:30" x14ac:dyDescent="0.25">
      <c r="N673" s="170"/>
      <c r="P673" s="189"/>
      <c r="Q673" s="160"/>
      <c r="R673" s="160"/>
      <c r="S673" s="160"/>
      <c r="T673" s="160"/>
      <c r="U673" s="160"/>
      <c r="V673" s="160"/>
      <c r="X673" s="160"/>
      <c r="Y673" s="160"/>
      <c r="AA673" s="160"/>
      <c r="AB673" s="160"/>
      <c r="AC673" s="160"/>
      <c r="AD673" s="190"/>
    </row>
    <row r="674" spans="14:30" x14ac:dyDescent="0.25">
      <c r="N674" s="170"/>
      <c r="P674" s="189"/>
      <c r="Q674" s="160"/>
      <c r="R674" s="160"/>
      <c r="S674" s="160"/>
      <c r="T674" s="160"/>
      <c r="U674" s="160"/>
      <c r="V674" s="160"/>
      <c r="X674" s="160"/>
      <c r="Y674" s="160"/>
      <c r="AA674" s="160"/>
      <c r="AB674" s="160"/>
      <c r="AC674" s="160"/>
      <c r="AD674" s="190"/>
    </row>
    <row r="675" spans="14:30" x14ac:dyDescent="0.25">
      <c r="N675" s="170"/>
      <c r="P675" s="189"/>
      <c r="Q675" s="160"/>
      <c r="R675" s="160"/>
      <c r="S675" s="160"/>
      <c r="T675" s="160"/>
      <c r="U675" s="160"/>
      <c r="V675" s="160"/>
      <c r="X675" s="160"/>
      <c r="Y675" s="160"/>
      <c r="AA675" s="160"/>
      <c r="AB675" s="160"/>
      <c r="AC675" s="160"/>
      <c r="AD675" s="190"/>
    </row>
    <row r="676" spans="14:30" x14ac:dyDescent="0.25">
      <c r="N676" s="170"/>
      <c r="P676" s="189"/>
      <c r="Q676" s="160"/>
      <c r="R676" s="160"/>
      <c r="S676" s="160"/>
      <c r="T676" s="160"/>
      <c r="U676" s="160"/>
      <c r="V676" s="160"/>
      <c r="X676" s="160"/>
      <c r="Y676" s="160"/>
      <c r="AA676" s="160"/>
      <c r="AB676" s="160"/>
      <c r="AC676" s="160"/>
      <c r="AD676" s="190"/>
    </row>
    <row r="677" spans="14:30" x14ac:dyDescent="0.25">
      <c r="N677" s="170"/>
      <c r="P677" s="189"/>
      <c r="Q677" s="160"/>
      <c r="R677" s="160"/>
      <c r="S677" s="160"/>
      <c r="T677" s="160"/>
      <c r="U677" s="160"/>
      <c r="V677" s="160"/>
      <c r="X677" s="160"/>
      <c r="Y677" s="160"/>
      <c r="AA677" s="160"/>
      <c r="AB677" s="160"/>
      <c r="AC677" s="160"/>
      <c r="AD677" s="190"/>
    </row>
    <row r="678" spans="14:30" x14ac:dyDescent="0.25">
      <c r="N678" s="170"/>
      <c r="P678" s="189"/>
      <c r="Q678" s="160"/>
      <c r="R678" s="160"/>
      <c r="S678" s="160"/>
      <c r="T678" s="160"/>
      <c r="U678" s="160"/>
      <c r="V678" s="160"/>
      <c r="X678" s="160"/>
      <c r="Y678" s="160"/>
      <c r="AA678" s="160"/>
      <c r="AB678" s="160"/>
      <c r="AC678" s="160"/>
      <c r="AD678" s="190"/>
    </row>
    <row r="679" spans="14:30" x14ac:dyDescent="0.25">
      <c r="N679" s="170"/>
      <c r="P679" s="189"/>
      <c r="Q679" s="160"/>
      <c r="R679" s="160"/>
      <c r="S679" s="160"/>
      <c r="T679" s="160"/>
      <c r="U679" s="160"/>
      <c r="V679" s="160"/>
      <c r="X679" s="160"/>
      <c r="Y679" s="160"/>
      <c r="AA679" s="160"/>
      <c r="AB679" s="160"/>
      <c r="AC679" s="160"/>
      <c r="AD679" s="190"/>
    </row>
    <row r="680" spans="14:30" x14ac:dyDescent="0.25">
      <c r="N680" s="170"/>
      <c r="P680" s="189"/>
      <c r="Q680" s="160"/>
      <c r="R680" s="160"/>
      <c r="S680" s="160"/>
      <c r="T680" s="160"/>
      <c r="U680" s="160"/>
      <c r="V680" s="160"/>
      <c r="X680" s="160"/>
      <c r="Y680" s="160"/>
      <c r="AA680" s="160"/>
      <c r="AB680" s="160"/>
      <c r="AC680" s="160"/>
      <c r="AD680" s="190"/>
    </row>
    <row r="681" spans="14:30" x14ac:dyDescent="0.25">
      <c r="N681" s="170"/>
      <c r="P681" s="189"/>
      <c r="Q681" s="160"/>
      <c r="R681" s="160"/>
      <c r="S681" s="160"/>
      <c r="T681" s="160"/>
      <c r="U681" s="160"/>
      <c r="V681" s="160"/>
      <c r="X681" s="160"/>
      <c r="Y681" s="160"/>
      <c r="AA681" s="160"/>
      <c r="AB681" s="160"/>
      <c r="AC681" s="160"/>
      <c r="AD681" s="190"/>
    </row>
    <row r="682" spans="14:30" x14ac:dyDescent="0.25">
      <c r="N682" s="170"/>
      <c r="P682" s="189"/>
      <c r="Q682" s="160"/>
      <c r="R682" s="160"/>
      <c r="S682" s="160"/>
      <c r="T682" s="160"/>
      <c r="U682" s="160"/>
      <c r="V682" s="160"/>
      <c r="X682" s="160"/>
      <c r="Y682" s="160"/>
      <c r="AA682" s="160"/>
      <c r="AB682" s="160"/>
      <c r="AC682" s="160"/>
      <c r="AD682" s="190"/>
    </row>
    <row r="683" spans="14:30" x14ac:dyDescent="0.25">
      <c r="N683" s="170"/>
      <c r="P683" s="189"/>
      <c r="Q683" s="160"/>
      <c r="R683" s="160"/>
      <c r="S683" s="160"/>
      <c r="T683" s="160"/>
      <c r="U683" s="160"/>
      <c r="V683" s="160"/>
      <c r="X683" s="160"/>
      <c r="Y683" s="160"/>
      <c r="AA683" s="160"/>
      <c r="AB683" s="160"/>
      <c r="AC683" s="160"/>
      <c r="AD683" s="190"/>
    </row>
    <row r="684" spans="14:30" x14ac:dyDescent="0.25">
      <c r="N684" s="170"/>
      <c r="P684" s="189"/>
      <c r="Q684" s="160"/>
      <c r="R684" s="160"/>
      <c r="S684" s="160"/>
      <c r="T684" s="160"/>
      <c r="U684" s="160"/>
      <c r="V684" s="160"/>
      <c r="X684" s="160"/>
      <c r="Y684" s="160"/>
      <c r="AA684" s="160"/>
      <c r="AB684" s="160"/>
      <c r="AC684" s="160"/>
      <c r="AD684" s="190"/>
    </row>
    <row r="685" spans="14:30" x14ac:dyDescent="0.25">
      <c r="N685" s="170"/>
      <c r="P685" s="189"/>
      <c r="Q685" s="160"/>
      <c r="R685" s="160"/>
      <c r="S685" s="160"/>
      <c r="T685" s="160"/>
      <c r="U685" s="160"/>
      <c r="V685" s="160"/>
      <c r="X685" s="160"/>
      <c r="Y685" s="160"/>
      <c r="AA685" s="160"/>
      <c r="AB685" s="160"/>
      <c r="AC685" s="160"/>
      <c r="AD685" s="190"/>
    </row>
    <row r="686" spans="14:30" x14ac:dyDescent="0.25">
      <c r="N686" s="170"/>
      <c r="P686" s="189"/>
      <c r="Q686" s="160"/>
      <c r="R686" s="160"/>
      <c r="S686" s="160"/>
      <c r="T686" s="160"/>
      <c r="U686" s="160"/>
      <c r="V686" s="160"/>
      <c r="X686" s="160"/>
      <c r="Y686" s="160"/>
      <c r="AA686" s="160"/>
      <c r="AB686" s="160"/>
      <c r="AC686" s="160"/>
      <c r="AD686" s="190"/>
    </row>
    <row r="687" spans="14:30" x14ac:dyDescent="0.25">
      <c r="N687" s="170"/>
      <c r="P687" s="189"/>
      <c r="Q687" s="160"/>
      <c r="R687" s="160"/>
      <c r="S687" s="160"/>
      <c r="T687" s="160"/>
      <c r="U687" s="160"/>
      <c r="V687" s="160"/>
      <c r="X687" s="160"/>
      <c r="Y687" s="160"/>
      <c r="AA687" s="160"/>
      <c r="AB687" s="160"/>
      <c r="AC687" s="160"/>
      <c r="AD687" s="190"/>
    </row>
    <row r="688" spans="14:30" x14ac:dyDescent="0.25">
      <c r="N688" s="170"/>
      <c r="P688" s="189"/>
      <c r="Q688" s="160"/>
      <c r="R688" s="160"/>
      <c r="S688" s="160"/>
      <c r="T688" s="160"/>
      <c r="U688" s="160"/>
      <c r="V688" s="160"/>
      <c r="X688" s="160"/>
      <c r="Y688" s="160"/>
      <c r="AA688" s="160"/>
      <c r="AB688" s="160"/>
      <c r="AC688" s="160"/>
      <c r="AD688" s="190"/>
    </row>
    <row r="689" spans="14:30" x14ac:dyDescent="0.25">
      <c r="N689" s="170"/>
      <c r="P689" s="189"/>
      <c r="Q689" s="160"/>
      <c r="R689" s="160"/>
      <c r="S689" s="160"/>
      <c r="T689" s="160"/>
      <c r="U689" s="160"/>
      <c r="V689" s="160"/>
      <c r="X689" s="160"/>
      <c r="Y689" s="160"/>
      <c r="AA689" s="160"/>
      <c r="AB689" s="160"/>
      <c r="AC689" s="160"/>
      <c r="AD689" s="190"/>
    </row>
    <row r="690" spans="14:30" x14ac:dyDescent="0.25">
      <c r="N690" s="170"/>
      <c r="P690" s="189"/>
      <c r="Q690" s="160"/>
      <c r="R690" s="160"/>
      <c r="S690" s="160"/>
      <c r="T690" s="160"/>
      <c r="U690" s="160"/>
      <c r="V690" s="160"/>
      <c r="X690" s="160"/>
      <c r="Y690" s="160"/>
      <c r="AA690" s="160"/>
      <c r="AB690" s="160"/>
      <c r="AC690" s="160"/>
      <c r="AD690" s="190"/>
    </row>
    <row r="691" spans="14:30" x14ac:dyDescent="0.25">
      <c r="N691" s="170"/>
      <c r="P691" s="189"/>
      <c r="Q691" s="160"/>
      <c r="R691" s="160"/>
      <c r="S691" s="160"/>
      <c r="T691" s="160"/>
      <c r="U691" s="160"/>
      <c r="V691" s="160"/>
      <c r="X691" s="160"/>
      <c r="Y691" s="160"/>
      <c r="AA691" s="160"/>
      <c r="AB691" s="160"/>
      <c r="AC691" s="160"/>
      <c r="AD691" s="190"/>
    </row>
    <row r="692" spans="14:30" x14ac:dyDescent="0.25">
      <c r="N692" s="170"/>
      <c r="P692" s="189"/>
      <c r="Q692" s="160"/>
      <c r="R692" s="160"/>
      <c r="S692" s="160"/>
      <c r="T692" s="160"/>
      <c r="U692" s="160"/>
      <c r="V692" s="160"/>
      <c r="X692" s="160"/>
      <c r="Y692" s="160"/>
      <c r="AA692" s="160"/>
      <c r="AB692" s="160"/>
      <c r="AC692" s="160"/>
      <c r="AD692" s="190"/>
    </row>
    <row r="693" spans="14:30" x14ac:dyDescent="0.25">
      <c r="N693" s="170"/>
      <c r="P693" s="189"/>
      <c r="Q693" s="160"/>
      <c r="R693" s="160"/>
      <c r="S693" s="160"/>
      <c r="T693" s="160"/>
      <c r="U693" s="160"/>
      <c r="V693" s="160"/>
      <c r="X693" s="160"/>
      <c r="Y693" s="160"/>
      <c r="AA693" s="160"/>
      <c r="AB693" s="160"/>
      <c r="AC693" s="160"/>
      <c r="AD693" s="190"/>
    </row>
    <row r="694" spans="14:30" x14ac:dyDescent="0.25">
      <c r="N694" s="170"/>
      <c r="P694" s="189"/>
      <c r="Q694" s="160"/>
      <c r="R694" s="160"/>
      <c r="S694" s="160"/>
      <c r="T694" s="160"/>
      <c r="U694" s="160"/>
      <c r="V694" s="160"/>
      <c r="X694" s="160"/>
      <c r="Y694" s="160"/>
      <c r="AA694" s="160"/>
      <c r="AB694" s="160"/>
      <c r="AC694" s="160"/>
      <c r="AD694" s="190"/>
    </row>
    <row r="695" spans="14:30" x14ac:dyDescent="0.25">
      <c r="N695" s="170"/>
      <c r="P695" s="189"/>
      <c r="Q695" s="160"/>
      <c r="R695" s="160"/>
      <c r="S695" s="160"/>
      <c r="T695" s="160"/>
      <c r="U695" s="160"/>
      <c r="V695" s="160"/>
      <c r="X695" s="160"/>
      <c r="Y695" s="160"/>
      <c r="AA695" s="160"/>
      <c r="AB695" s="160"/>
      <c r="AC695" s="160"/>
      <c r="AD695" s="190"/>
    </row>
    <row r="696" spans="14:30" x14ac:dyDescent="0.25">
      <c r="N696" s="170"/>
      <c r="P696" s="189"/>
      <c r="Q696" s="160"/>
      <c r="R696" s="160"/>
      <c r="S696" s="160"/>
      <c r="T696" s="160"/>
      <c r="U696" s="160"/>
      <c r="V696" s="160"/>
      <c r="X696" s="160"/>
      <c r="Y696" s="160"/>
      <c r="AA696" s="160"/>
      <c r="AB696" s="160"/>
      <c r="AC696" s="160"/>
      <c r="AD696" s="190"/>
    </row>
    <row r="697" spans="14:30" x14ac:dyDescent="0.25">
      <c r="N697" s="170"/>
      <c r="P697" s="189"/>
      <c r="Q697" s="160"/>
      <c r="R697" s="160"/>
      <c r="S697" s="160"/>
      <c r="T697" s="160"/>
      <c r="U697" s="160"/>
      <c r="V697" s="160"/>
      <c r="X697" s="160"/>
      <c r="Y697" s="160"/>
      <c r="AA697" s="160"/>
      <c r="AB697" s="160"/>
      <c r="AC697" s="160"/>
      <c r="AD697" s="190"/>
    </row>
    <row r="698" spans="14:30" x14ac:dyDescent="0.25">
      <c r="N698" s="170"/>
      <c r="P698" s="189"/>
      <c r="Q698" s="160"/>
      <c r="R698" s="160"/>
      <c r="S698" s="160"/>
      <c r="T698" s="160"/>
      <c r="U698" s="160"/>
      <c r="V698" s="160"/>
      <c r="X698" s="160"/>
      <c r="Y698" s="160"/>
      <c r="AA698" s="160"/>
      <c r="AB698" s="160"/>
      <c r="AC698" s="160"/>
      <c r="AD698" s="190"/>
    </row>
    <row r="699" spans="14:30" x14ac:dyDescent="0.25">
      <c r="N699" s="170"/>
      <c r="P699" s="189"/>
      <c r="Q699" s="160"/>
      <c r="R699" s="160"/>
      <c r="S699" s="160"/>
      <c r="T699" s="160"/>
      <c r="U699" s="160"/>
      <c r="V699" s="160"/>
      <c r="X699" s="160"/>
      <c r="Y699" s="160"/>
      <c r="AA699" s="160"/>
      <c r="AB699" s="160"/>
      <c r="AC699" s="160"/>
      <c r="AD699" s="190"/>
    </row>
    <row r="700" spans="14:30" x14ac:dyDescent="0.25">
      <c r="N700" s="170"/>
      <c r="P700" s="189"/>
      <c r="Q700" s="160"/>
      <c r="R700" s="160"/>
      <c r="S700" s="160"/>
      <c r="T700" s="160"/>
      <c r="U700" s="160"/>
      <c r="V700" s="160"/>
      <c r="X700" s="160"/>
      <c r="Y700" s="160"/>
      <c r="AA700" s="160"/>
      <c r="AB700" s="160"/>
      <c r="AC700" s="160"/>
      <c r="AD700" s="190"/>
    </row>
    <row r="701" spans="14:30" x14ac:dyDescent="0.25">
      <c r="N701" s="170"/>
      <c r="P701" s="189"/>
      <c r="Q701" s="160"/>
      <c r="R701" s="160"/>
      <c r="S701" s="160"/>
      <c r="T701" s="160"/>
      <c r="U701" s="160"/>
      <c r="V701" s="160"/>
      <c r="X701" s="160"/>
      <c r="Y701" s="160"/>
      <c r="AA701" s="160"/>
      <c r="AB701" s="160"/>
      <c r="AC701" s="160"/>
      <c r="AD701" s="190"/>
    </row>
    <row r="702" spans="14:30" x14ac:dyDescent="0.25">
      <c r="N702" s="170"/>
      <c r="P702" s="189"/>
      <c r="Q702" s="160"/>
      <c r="R702" s="160"/>
      <c r="S702" s="160"/>
      <c r="T702" s="160"/>
      <c r="U702" s="160"/>
      <c r="V702" s="160"/>
      <c r="X702" s="160"/>
      <c r="Y702" s="160"/>
      <c r="AA702" s="160"/>
      <c r="AB702" s="160"/>
      <c r="AC702" s="160"/>
      <c r="AD702" s="190"/>
    </row>
    <row r="703" spans="14:30" x14ac:dyDescent="0.25">
      <c r="N703" s="170"/>
      <c r="P703" s="189"/>
      <c r="Q703" s="160"/>
      <c r="R703" s="160"/>
      <c r="S703" s="160"/>
      <c r="T703" s="160"/>
      <c r="U703" s="160"/>
      <c r="V703" s="160"/>
      <c r="X703" s="160"/>
      <c r="Y703" s="160"/>
      <c r="AA703" s="160"/>
      <c r="AB703" s="160"/>
      <c r="AC703" s="160"/>
      <c r="AD703" s="190"/>
    </row>
    <row r="704" spans="14:30" x14ac:dyDescent="0.25">
      <c r="N704" s="170"/>
      <c r="P704" s="189"/>
      <c r="Q704" s="160"/>
      <c r="R704" s="160"/>
      <c r="S704" s="160"/>
      <c r="T704" s="160"/>
      <c r="U704" s="160"/>
      <c r="V704" s="160"/>
      <c r="X704" s="160"/>
      <c r="Y704" s="160"/>
      <c r="AA704" s="160"/>
      <c r="AB704" s="160"/>
      <c r="AC704" s="160"/>
      <c r="AD704" s="190"/>
    </row>
    <row r="705" spans="14:30" x14ac:dyDescent="0.25">
      <c r="N705" s="170"/>
      <c r="P705" s="189"/>
      <c r="Q705" s="160"/>
      <c r="R705" s="160"/>
      <c r="S705" s="160"/>
      <c r="T705" s="160"/>
      <c r="U705" s="160"/>
      <c r="V705" s="160"/>
      <c r="X705" s="160"/>
      <c r="Y705" s="160"/>
      <c r="AA705" s="160"/>
      <c r="AB705" s="160"/>
      <c r="AC705" s="160"/>
      <c r="AD705" s="190"/>
    </row>
    <row r="706" spans="14:30" x14ac:dyDescent="0.25">
      <c r="N706" s="170"/>
      <c r="P706" s="189"/>
      <c r="Q706" s="160"/>
      <c r="R706" s="160"/>
      <c r="S706" s="160"/>
      <c r="T706" s="160"/>
      <c r="U706" s="160"/>
      <c r="V706" s="160"/>
      <c r="X706" s="160"/>
      <c r="Y706" s="160"/>
      <c r="AA706" s="160"/>
      <c r="AB706" s="160"/>
      <c r="AC706" s="160"/>
      <c r="AD706" s="190"/>
    </row>
    <row r="707" spans="14:30" x14ac:dyDescent="0.25">
      <c r="N707" s="170"/>
      <c r="P707" s="189"/>
      <c r="Q707" s="160"/>
      <c r="R707" s="160"/>
      <c r="S707" s="160"/>
      <c r="T707" s="160"/>
      <c r="U707" s="160"/>
      <c r="V707" s="160"/>
      <c r="X707" s="160"/>
      <c r="Y707" s="160"/>
      <c r="AA707" s="160"/>
      <c r="AB707" s="160"/>
      <c r="AC707" s="160"/>
      <c r="AD707" s="190"/>
    </row>
    <row r="708" spans="14:30" x14ac:dyDescent="0.25">
      <c r="N708" s="170"/>
      <c r="P708" s="189"/>
      <c r="Q708" s="160"/>
      <c r="R708" s="160"/>
      <c r="S708" s="160"/>
      <c r="T708" s="160"/>
      <c r="U708" s="160"/>
      <c r="V708" s="160"/>
      <c r="X708" s="160"/>
      <c r="Y708" s="160"/>
      <c r="AA708" s="160"/>
      <c r="AB708" s="160"/>
      <c r="AC708" s="160"/>
      <c r="AD708" s="190"/>
    </row>
  </sheetData>
  <mergeCells count="29">
    <mergeCell ref="A1:M1"/>
    <mergeCell ref="E6:K6"/>
    <mergeCell ref="Q17:S17"/>
    <mergeCell ref="T17:V17"/>
    <mergeCell ref="W17:Y17"/>
    <mergeCell ref="P16:AE16"/>
    <mergeCell ref="Z17:AB17"/>
    <mergeCell ref="N1:X1"/>
    <mergeCell ref="P4:AE4"/>
    <mergeCell ref="AF4:AR4"/>
    <mergeCell ref="AS4:AU4"/>
    <mergeCell ref="Q5:S5"/>
    <mergeCell ref="T5:V5"/>
    <mergeCell ref="W5:Y5"/>
    <mergeCell ref="Z5:AB5"/>
    <mergeCell ref="AC5:AE5"/>
    <mergeCell ref="AG5:AI5"/>
    <mergeCell ref="AJ5:AL5"/>
    <mergeCell ref="AM5:AO5"/>
    <mergeCell ref="AP5:AR5"/>
    <mergeCell ref="AS5:AU5"/>
    <mergeCell ref="AP17:AR17"/>
    <mergeCell ref="AC17:AE17"/>
    <mergeCell ref="AS16:AU16"/>
    <mergeCell ref="AS17:AU17"/>
    <mergeCell ref="AG17:AI17"/>
    <mergeCell ref="AJ17:AL17"/>
    <mergeCell ref="AM17:AO17"/>
    <mergeCell ref="AF16:AR16"/>
  </mergeCells>
  <pageMargins left="0.7" right="0.7" top="0.75" bottom="0.75" header="0.3" footer="0.3"/>
  <pageSetup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I53"/>
  <sheetViews>
    <sheetView zoomScale="70" zoomScaleNormal="70" workbookViewId="0">
      <selection activeCell="B51" sqref="B51"/>
    </sheetView>
  </sheetViews>
  <sheetFormatPr defaultRowHeight="15" x14ac:dyDescent="0.25"/>
  <cols>
    <col min="1" max="1" width="26.7109375" customWidth="1"/>
    <col min="2" max="2" width="25.5703125" customWidth="1"/>
    <col min="3" max="3" width="10.140625" customWidth="1"/>
  </cols>
  <sheetData>
    <row r="1" spans="1:9" ht="27.75" x14ac:dyDescent="0.4">
      <c r="A1" s="229" t="s">
        <v>80</v>
      </c>
      <c r="B1" s="229"/>
      <c r="C1" s="229"/>
      <c r="D1" s="229"/>
      <c r="E1" s="229"/>
      <c r="F1" s="229"/>
      <c r="G1" s="229"/>
      <c r="H1" s="229"/>
      <c r="I1" s="229"/>
    </row>
    <row r="2" spans="1:9" x14ac:dyDescent="0.25">
      <c r="A2" s="5"/>
      <c r="B2" s="5" t="s">
        <v>16</v>
      </c>
      <c r="C2" s="6"/>
      <c r="D2" s="4"/>
      <c r="E2" s="5"/>
      <c r="F2" s="5"/>
      <c r="G2" s="5"/>
      <c r="H2" s="5"/>
      <c r="I2" s="5"/>
    </row>
    <row r="3" spans="1:9" x14ac:dyDescent="0.25">
      <c r="A3" s="5"/>
      <c r="B3" s="5" t="s">
        <v>17</v>
      </c>
      <c r="C3" s="7"/>
      <c r="D3" s="4"/>
      <c r="E3" s="5"/>
      <c r="F3" s="5"/>
      <c r="G3" s="5"/>
      <c r="H3" s="5"/>
      <c r="I3" s="5"/>
    </row>
    <row r="4" spans="1:9" x14ac:dyDescent="0.25">
      <c r="A4" s="5"/>
      <c r="B4" s="5" t="s">
        <v>18</v>
      </c>
      <c r="C4" s="8"/>
      <c r="D4" s="4"/>
      <c r="E4" s="5"/>
      <c r="F4" s="5"/>
      <c r="G4" s="5"/>
      <c r="H4" s="5"/>
      <c r="I4" s="5"/>
    </row>
    <row r="5" spans="1:9" x14ac:dyDescent="0.25">
      <c r="A5" s="9" t="s">
        <v>19</v>
      </c>
      <c r="B5" s="9" t="s">
        <v>20</v>
      </c>
      <c r="C5" s="9" t="s">
        <v>21</v>
      </c>
      <c r="D5" s="4"/>
      <c r="E5" s="230" t="s">
        <v>22</v>
      </c>
      <c r="F5" s="230"/>
      <c r="G5" s="230"/>
      <c r="H5" s="230"/>
      <c r="I5" s="9"/>
    </row>
    <row r="6" spans="1:9" x14ac:dyDescent="0.25">
      <c r="A6" s="9"/>
      <c r="B6" s="9"/>
      <c r="C6" s="9"/>
      <c r="D6" s="4"/>
      <c r="E6" s="5"/>
      <c r="F6" s="5"/>
      <c r="G6" s="5"/>
      <c r="H6" s="5"/>
      <c r="I6" s="9"/>
    </row>
    <row r="7" spans="1:9" x14ac:dyDescent="0.25">
      <c r="A7" s="9" t="s">
        <v>58</v>
      </c>
      <c r="B7" s="9"/>
      <c r="C7" s="9"/>
      <c r="D7" s="4"/>
      <c r="E7" s="5"/>
      <c r="F7" s="5"/>
      <c r="G7" s="5"/>
      <c r="H7" s="5"/>
      <c r="I7" s="9"/>
    </row>
    <row r="8" spans="1:9" x14ac:dyDescent="0.25">
      <c r="A8" s="9"/>
      <c r="B8" s="9"/>
      <c r="C8" s="9"/>
      <c r="D8" s="4"/>
      <c r="E8" s="5"/>
      <c r="F8" s="5"/>
      <c r="G8" s="5"/>
      <c r="H8" s="5"/>
      <c r="I8" s="9"/>
    </row>
    <row r="9" spans="1:9" x14ac:dyDescent="0.25">
      <c r="A9" t="s">
        <v>47</v>
      </c>
      <c r="B9" s="12">
        <v>0.8</v>
      </c>
      <c r="D9" t="s">
        <v>50</v>
      </c>
    </row>
    <row r="10" spans="1:9" x14ac:dyDescent="0.25">
      <c r="A10" t="s">
        <v>51</v>
      </c>
      <c r="B10" s="13">
        <f>(1-B9)/(2.2*10^6)</f>
        <v>9.0909090909090888E-8</v>
      </c>
      <c r="C10" t="s">
        <v>54</v>
      </c>
      <c r="D10" t="s">
        <v>57</v>
      </c>
    </row>
    <row r="11" spans="1:9" x14ac:dyDescent="0.25">
      <c r="A11" t="s">
        <v>48</v>
      </c>
      <c r="B11" s="12">
        <v>0.85</v>
      </c>
      <c r="D11" t="s">
        <v>50</v>
      </c>
    </row>
    <row r="12" spans="1:9" x14ac:dyDescent="0.25">
      <c r="A12" t="s">
        <v>52</v>
      </c>
      <c r="B12" s="13">
        <f>(1-B11)/(2.2*10^6)</f>
        <v>6.8181818181818186E-8</v>
      </c>
      <c r="C12" t="s">
        <v>54</v>
      </c>
      <c r="D12" t="s">
        <v>56</v>
      </c>
    </row>
    <row r="13" spans="1:9" x14ac:dyDescent="0.25">
      <c r="A13" t="s">
        <v>49</v>
      </c>
      <c r="B13" s="12">
        <v>0.9</v>
      </c>
      <c r="D13" t="s">
        <v>50</v>
      </c>
    </row>
    <row r="14" spans="1:9" x14ac:dyDescent="0.25">
      <c r="A14" t="s">
        <v>53</v>
      </c>
      <c r="B14" s="13">
        <f>(1-B13)/(2.2*10^6)</f>
        <v>4.5454545454545444E-8</v>
      </c>
      <c r="C14" t="s">
        <v>54</v>
      </c>
      <c r="D14" t="s">
        <v>55</v>
      </c>
    </row>
    <row r="16" spans="1:9" x14ac:dyDescent="0.25">
      <c r="A16" t="s">
        <v>59</v>
      </c>
      <c r="B16" s="12">
        <v>0.9</v>
      </c>
      <c r="D16" t="s">
        <v>65</v>
      </c>
    </row>
    <row r="17" spans="1:4" x14ac:dyDescent="0.25">
      <c r="A17" t="s">
        <v>60</v>
      </c>
      <c r="B17" s="12">
        <v>0.93</v>
      </c>
      <c r="D17" t="s">
        <v>62</v>
      </c>
    </row>
    <row r="18" spans="1:4" x14ac:dyDescent="0.25">
      <c r="A18" t="s">
        <v>61</v>
      </c>
      <c r="B18" s="12">
        <v>0.96</v>
      </c>
      <c r="D18" t="s">
        <v>66</v>
      </c>
    </row>
    <row r="19" spans="1:4" x14ac:dyDescent="0.25">
      <c r="B19">
        <f>IF(((1-D_limit_nom)/Constants!B12)&lt;Fsw,2,1)</f>
        <v>1</v>
      </c>
      <c r="D19" t="s">
        <v>72</v>
      </c>
    </row>
    <row r="20" spans="1:4" x14ac:dyDescent="0.25">
      <c r="A20" t="s">
        <v>78</v>
      </c>
      <c r="B20" s="1">
        <f>CHOOSE(B19,D_limit_nom,(1-Constants!B12*Fsw))</f>
        <v>0.93</v>
      </c>
      <c r="D20" t="s">
        <v>79</v>
      </c>
    </row>
    <row r="22" spans="1:4" x14ac:dyDescent="0.25">
      <c r="A22" t="s">
        <v>88</v>
      </c>
      <c r="B22" s="12">
        <f>50*10^-9</f>
        <v>5.0000000000000004E-8</v>
      </c>
      <c r="C22" t="s">
        <v>54</v>
      </c>
      <c r="D22" t="s">
        <v>89</v>
      </c>
    </row>
    <row r="23" spans="1:4" x14ac:dyDescent="0.25">
      <c r="B23" s="12"/>
    </row>
    <row r="24" spans="1:4" ht="15.75" x14ac:dyDescent="0.25">
      <c r="A24" s="29" t="s">
        <v>171</v>
      </c>
    </row>
    <row r="25" spans="1:4" x14ac:dyDescent="0.25">
      <c r="A25" t="s">
        <v>144</v>
      </c>
      <c r="B25" s="12">
        <f>30*10^-6</f>
        <v>2.9999999999999997E-5</v>
      </c>
      <c r="C25" t="s">
        <v>11</v>
      </c>
      <c r="D25" t="s">
        <v>145</v>
      </c>
    </row>
    <row r="26" spans="1:4" x14ac:dyDescent="0.25">
      <c r="A26" t="s">
        <v>146</v>
      </c>
      <c r="B26" s="12">
        <v>1333</v>
      </c>
      <c r="C26" s="2" t="s">
        <v>36</v>
      </c>
      <c r="D26" t="s">
        <v>147</v>
      </c>
    </row>
    <row r="27" spans="1:4" x14ac:dyDescent="0.25">
      <c r="A27" t="s">
        <v>150</v>
      </c>
      <c r="B27" s="12">
        <f>0.1</f>
        <v>0.1</v>
      </c>
      <c r="C27" s="2" t="s">
        <v>10</v>
      </c>
      <c r="D27" t="s">
        <v>151</v>
      </c>
    </row>
    <row r="28" spans="1:4" x14ac:dyDescent="0.25">
      <c r="A28" t="s">
        <v>520</v>
      </c>
      <c r="B28" s="12">
        <v>2000</v>
      </c>
      <c r="C28" s="2" t="s">
        <v>36</v>
      </c>
      <c r="D28" t="s">
        <v>521</v>
      </c>
    </row>
    <row r="29" spans="1:4" x14ac:dyDescent="0.25">
      <c r="A29" t="s">
        <v>236</v>
      </c>
      <c r="B29" s="12">
        <f>0.145</f>
        <v>0.14499999999999999</v>
      </c>
      <c r="C29" t="s">
        <v>180</v>
      </c>
      <c r="D29" t="s">
        <v>238</v>
      </c>
    </row>
    <row r="30" spans="1:4" x14ac:dyDescent="0.25">
      <c r="A30" t="s">
        <v>240</v>
      </c>
      <c r="B30" s="12">
        <v>1</v>
      </c>
      <c r="C30" t="s">
        <v>180</v>
      </c>
      <c r="D30" t="s">
        <v>241</v>
      </c>
    </row>
    <row r="32" spans="1:4" x14ac:dyDescent="0.25">
      <c r="A32" s="33" t="s">
        <v>261</v>
      </c>
    </row>
    <row r="33" spans="1:4" x14ac:dyDescent="0.25">
      <c r="A33" t="s">
        <v>282</v>
      </c>
      <c r="B33">
        <v>1</v>
      </c>
      <c r="C33" t="s">
        <v>10</v>
      </c>
      <c r="D33" t="s">
        <v>283</v>
      </c>
    </row>
    <row r="34" spans="1:4" x14ac:dyDescent="0.25">
      <c r="A34" t="s">
        <v>265</v>
      </c>
      <c r="B34">
        <f>(2*10^-3)/1</f>
        <v>2E-3</v>
      </c>
      <c r="C34" t="s">
        <v>267</v>
      </c>
      <c r="D34" t="s">
        <v>266</v>
      </c>
    </row>
    <row r="36" spans="1:4" x14ac:dyDescent="0.25">
      <c r="A36" s="33" t="s">
        <v>334</v>
      </c>
    </row>
    <row r="37" spans="1:4" x14ac:dyDescent="0.25">
      <c r="A37" t="s">
        <v>335</v>
      </c>
      <c r="B37">
        <f>10*10^-6</f>
        <v>9.9999999999999991E-6</v>
      </c>
      <c r="C37" t="s">
        <v>11</v>
      </c>
      <c r="D37" t="s">
        <v>336</v>
      </c>
    </row>
    <row r="39" spans="1:4" x14ac:dyDescent="0.25">
      <c r="A39" s="33" t="s">
        <v>355</v>
      </c>
    </row>
    <row r="40" spans="1:4" x14ac:dyDescent="0.25">
      <c r="A40" t="s">
        <v>356</v>
      </c>
      <c r="B40">
        <v>1.5</v>
      </c>
      <c r="C40" t="s">
        <v>10</v>
      </c>
      <c r="D40" t="s">
        <v>359</v>
      </c>
    </row>
    <row r="41" spans="1:4" x14ac:dyDescent="0.25">
      <c r="A41" t="s">
        <v>357</v>
      </c>
      <c r="B41">
        <v>1.45</v>
      </c>
      <c r="C41" t="s">
        <v>10</v>
      </c>
      <c r="D41" t="s">
        <v>358</v>
      </c>
    </row>
    <row r="42" spans="1:4" x14ac:dyDescent="0.25">
      <c r="A42" t="s">
        <v>362</v>
      </c>
      <c r="B42">
        <f>5*10^-6</f>
        <v>4.9999999999999996E-6</v>
      </c>
      <c r="C42" t="s">
        <v>11</v>
      </c>
      <c r="D42" t="s">
        <v>363</v>
      </c>
    </row>
    <row r="44" spans="1:4" x14ac:dyDescent="0.25">
      <c r="A44" s="33" t="s">
        <v>420</v>
      </c>
    </row>
    <row r="45" spans="1:4" x14ac:dyDescent="0.25">
      <c r="A45" t="s">
        <v>421</v>
      </c>
      <c r="B45">
        <v>6.75</v>
      </c>
      <c r="C45" t="s">
        <v>10</v>
      </c>
      <c r="D45" t="s">
        <v>422</v>
      </c>
    </row>
    <row r="47" spans="1:4" x14ac:dyDescent="0.25">
      <c r="A47" s="33" t="s">
        <v>439</v>
      </c>
    </row>
    <row r="48" spans="1:4" x14ac:dyDescent="0.25">
      <c r="A48" t="s">
        <v>440</v>
      </c>
      <c r="B48">
        <f>450*(10^-6)</f>
        <v>4.4999999999999999E-4</v>
      </c>
      <c r="C48" t="s">
        <v>11</v>
      </c>
      <c r="D48" t="s">
        <v>441</v>
      </c>
    </row>
    <row r="50" spans="1:4" x14ac:dyDescent="0.25">
      <c r="A50" t="s">
        <v>481</v>
      </c>
    </row>
    <row r="51" spans="1:4" x14ac:dyDescent="0.25">
      <c r="A51" t="s">
        <v>482</v>
      </c>
      <c r="B51">
        <v>1.5</v>
      </c>
      <c r="C51" t="s">
        <v>10</v>
      </c>
      <c r="D51" t="s">
        <v>483</v>
      </c>
    </row>
    <row r="52" spans="1:4" x14ac:dyDescent="0.25">
      <c r="A52" t="s">
        <v>485</v>
      </c>
      <c r="B52">
        <v>45</v>
      </c>
      <c r="C52" t="s">
        <v>10</v>
      </c>
      <c r="D52" t="s">
        <v>484</v>
      </c>
    </row>
    <row r="53" spans="1:4" x14ac:dyDescent="0.25">
      <c r="A53" t="s">
        <v>580</v>
      </c>
      <c r="B53">
        <v>60</v>
      </c>
      <c r="C53" t="s">
        <v>10</v>
      </c>
      <c r="D53" t="s">
        <v>581</v>
      </c>
    </row>
  </sheetData>
  <mergeCells count="2">
    <mergeCell ref="A1:I1"/>
    <mergeCell ref="E5:H5"/>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B2:B3"/>
  <sheetViews>
    <sheetView topLeftCell="B1" zoomScale="70" zoomScaleNormal="70" workbookViewId="0">
      <selection activeCell="E3" sqref="E3"/>
    </sheetView>
  </sheetViews>
  <sheetFormatPr defaultRowHeight="15" x14ac:dyDescent="0.25"/>
  <cols>
    <col min="3" max="3" width="144.7109375" customWidth="1"/>
  </cols>
  <sheetData>
    <row r="2" spans="2:2" x14ac:dyDescent="0.25">
      <c r="B2" t="str">
        <f>"Eff_vs_IOUT"</f>
        <v>Eff_vs_IOUT</v>
      </c>
    </row>
    <row r="3" spans="2:2" ht="379.9" customHeight="1" x14ac:dyDescent="0.2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4"/>
  <sheetViews>
    <sheetView workbookViewId="0">
      <selection activeCell="A2" sqref="A2"/>
    </sheetView>
  </sheetViews>
  <sheetFormatPr defaultRowHeight="15" x14ac:dyDescent="0.25"/>
  <cols>
    <col min="2" max="2" width="76.140625" customWidth="1"/>
  </cols>
  <sheetData>
    <row r="1" spans="1:1" x14ac:dyDescent="0.25">
      <c r="A1" t="str">
        <f>IF('Design Converter'!H7&gt;=3,"SCH_1","SCH_2")</f>
        <v>SCH_1</v>
      </c>
    </row>
    <row r="2" spans="1:1" ht="267.60000000000002" customHeight="1" x14ac:dyDescent="0.25"/>
    <row r="4" spans="1:1" ht="267.60000000000002" customHeight="1" x14ac:dyDescent="0.25"/>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2:D11"/>
  <sheetViews>
    <sheetView workbookViewId="0">
      <selection activeCell="D20" sqref="D20"/>
    </sheetView>
  </sheetViews>
  <sheetFormatPr defaultRowHeight="15" x14ac:dyDescent="0.25"/>
  <sheetData>
    <row r="2" spans="1:4" x14ac:dyDescent="0.25">
      <c r="A2" t="s">
        <v>458</v>
      </c>
    </row>
    <row r="3" spans="1:4" x14ac:dyDescent="0.25">
      <c r="B3" s="47">
        <f>VIN_min</f>
        <v>3.5</v>
      </c>
    </row>
    <row r="4" spans="1:4" x14ac:dyDescent="0.25">
      <c r="B4" s="221">
        <f>VIN_nom</f>
        <v>3.8</v>
      </c>
      <c r="D4">
        <v>2.5</v>
      </c>
    </row>
    <row r="5" spans="1:4" x14ac:dyDescent="0.25">
      <c r="B5" s="222">
        <f>VIN_max</f>
        <v>4.2</v>
      </c>
    </row>
    <row r="8" spans="1:4" x14ac:dyDescent="0.25">
      <c r="A8" t="s">
        <v>552</v>
      </c>
    </row>
    <row r="9" spans="1:4" x14ac:dyDescent="0.25">
      <c r="B9" s="47" t="s">
        <v>495</v>
      </c>
    </row>
    <row r="10" spans="1:4" x14ac:dyDescent="0.25">
      <c r="B10" s="221" t="s">
        <v>496</v>
      </c>
    </row>
    <row r="11" spans="1:4" x14ac:dyDescent="0.25">
      <c r="B11" s="222"/>
    </row>
  </sheetData>
  <dataValidations count="3">
    <dataValidation type="list" allowBlank="1" showInputMessage="1" showErrorMessage="1" sqref="D4" xr:uid="{00000000-0002-0000-0700-000000000000}">
      <formula1>$B$3:$B$5</formula1>
    </dataValidation>
    <dataValidation type="decimal" allowBlank="1" showInputMessage="1" showErrorMessage="1" sqref="F4" xr:uid="{00000000-0002-0000-0700-000001000000}">
      <formula1>B3</formula1>
      <formula2>B5</formula2>
    </dataValidation>
    <dataValidation type="list" showDropDown="1" showInputMessage="1" showErrorMessage="1" sqref="I15" xr:uid="{00000000-0002-0000-0700-000002000000}">
      <formula1>$B$3:$B$5</formula1>
    </dataValidation>
  </dataValidation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55DCCB-1154-4E1B-AC0A-91A88D9D073F}">
  <sheetPr codeName="Sheet9"/>
  <dimension ref="A1:AM47"/>
  <sheetViews>
    <sheetView showGridLines="0" showRowColHeaders="0" zoomScaleNormal="100" workbookViewId="0">
      <selection activeCell="B5" sqref="B5"/>
    </sheetView>
  </sheetViews>
  <sheetFormatPr defaultColWidth="9.140625" defaultRowHeight="14.25" x14ac:dyDescent="0.2"/>
  <cols>
    <col min="1" max="1" width="25.7109375" style="150" bestFit="1" customWidth="1"/>
    <col min="2" max="2" width="56.5703125" style="151" customWidth="1"/>
    <col min="3" max="11" width="9.140625" style="144"/>
    <col min="12" max="12" width="20.42578125" style="144" customWidth="1"/>
    <col min="13" max="16384" width="9.140625" style="144"/>
  </cols>
  <sheetData>
    <row r="1" spans="1:12" x14ac:dyDescent="0.2">
      <c r="A1" s="246"/>
      <c r="B1" s="246"/>
      <c r="C1" s="246"/>
      <c r="D1" s="246"/>
      <c r="E1" s="246"/>
      <c r="F1" s="246"/>
      <c r="G1" s="246"/>
      <c r="H1" s="246"/>
      <c r="I1" s="246"/>
      <c r="J1" s="246"/>
      <c r="K1" s="246"/>
      <c r="L1" s="246"/>
    </row>
    <row r="2" spans="1:12" x14ac:dyDescent="0.2">
      <c r="A2" s="246"/>
      <c r="B2" s="246"/>
      <c r="C2" s="246"/>
      <c r="D2" s="246"/>
      <c r="E2" s="246"/>
      <c r="F2" s="246"/>
      <c r="G2" s="246"/>
      <c r="H2" s="246"/>
      <c r="I2" s="246"/>
      <c r="J2" s="246"/>
      <c r="K2" s="246"/>
      <c r="L2" s="246"/>
    </row>
    <row r="3" spans="1:12" x14ac:dyDescent="0.2">
      <c r="A3" s="246"/>
      <c r="B3" s="246"/>
      <c r="C3" s="246"/>
      <c r="D3" s="246"/>
      <c r="E3" s="246"/>
      <c r="F3" s="246"/>
      <c r="G3" s="246"/>
      <c r="H3" s="246"/>
      <c r="I3" s="246"/>
      <c r="J3" s="246"/>
      <c r="K3" s="246"/>
      <c r="L3" s="246"/>
    </row>
    <row r="4" spans="1:12" ht="12.75" customHeight="1" x14ac:dyDescent="0.2">
      <c r="A4" s="247"/>
      <c r="B4" s="247"/>
      <c r="C4" s="247"/>
      <c r="D4" s="247"/>
      <c r="E4" s="247"/>
      <c r="F4" s="247"/>
      <c r="G4" s="247"/>
      <c r="H4" s="247"/>
      <c r="I4" s="247"/>
      <c r="J4" s="247"/>
      <c r="K4" s="247"/>
      <c r="L4" s="247"/>
    </row>
    <row r="5" spans="1:12" x14ac:dyDescent="0.2">
      <c r="A5" s="145" t="s">
        <v>523</v>
      </c>
      <c r="B5" s="157" t="s">
        <v>575</v>
      </c>
      <c r="C5" s="147"/>
      <c r="D5" s="147"/>
      <c r="E5" s="147"/>
      <c r="F5" s="147"/>
      <c r="G5" s="147"/>
      <c r="H5" s="147"/>
      <c r="I5" s="147"/>
      <c r="J5" s="147"/>
      <c r="K5" s="148"/>
      <c r="L5" s="149"/>
    </row>
    <row r="6" spans="1:12" x14ac:dyDescent="0.2">
      <c r="A6" s="145"/>
      <c r="B6" s="146"/>
      <c r="C6" s="147"/>
      <c r="D6" s="147"/>
      <c r="E6" s="147"/>
      <c r="F6" s="147"/>
      <c r="G6" s="147"/>
      <c r="H6" s="147"/>
      <c r="I6" s="147"/>
      <c r="J6" s="149"/>
      <c r="K6" s="149"/>
      <c r="L6" s="149"/>
    </row>
    <row r="35" spans="1:39" x14ac:dyDescent="0.2">
      <c r="A35" s="152" t="s">
        <v>525</v>
      </c>
      <c r="B35" s="153"/>
      <c r="C35" s="147"/>
      <c r="D35" s="147"/>
      <c r="E35" s="147"/>
      <c r="F35" s="147"/>
      <c r="G35" s="147"/>
      <c r="H35" s="147"/>
      <c r="I35" s="147"/>
      <c r="J35" s="147"/>
      <c r="K35" s="147"/>
    </row>
    <row r="36" spans="1:39" x14ac:dyDescent="0.2">
      <c r="A36" s="154" t="s">
        <v>526</v>
      </c>
      <c r="B36" s="248" t="s">
        <v>527</v>
      </c>
      <c r="C36" s="248"/>
      <c r="D36" s="248"/>
      <c r="E36" s="248"/>
      <c r="F36" s="248"/>
      <c r="G36" s="248"/>
      <c r="H36" s="248"/>
      <c r="I36" s="248"/>
      <c r="J36" s="248"/>
      <c r="K36" s="248"/>
    </row>
    <row r="37" spans="1:39" x14ac:dyDescent="0.2">
      <c r="A37" s="152" t="s">
        <v>524</v>
      </c>
      <c r="B37" s="249" t="s">
        <v>528</v>
      </c>
      <c r="C37" s="249"/>
      <c r="D37" s="249"/>
      <c r="E37" s="249"/>
      <c r="F37" s="249"/>
      <c r="G37" s="249"/>
      <c r="H37" s="249"/>
      <c r="I37" s="249"/>
      <c r="J37" s="249"/>
      <c r="K37" s="249"/>
    </row>
    <row r="38" spans="1:39" ht="14.25" customHeight="1" x14ac:dyDescent="0.2">
      <c r="A38" s="156" t="s">
        <v>531</v>
      </c>
      <c r="B38" s="250" t="s">
        <v>532</v>
      </c>
      <c r="C38" s="250"/>
      <c r="D38" s="250"/>
      <c r="E38" s="250"/>
      <c r="F38" s="250"/>
      <c r="G38" s="250"/>
      <c r="H38" s="250"/>
      <c r="I38" s="250"/>
      <c r="J38" s="250"/>
      <c r="K38" s="250"/>
    </row>
    <row r="39" spans="1:39" ht="14.25" customHeight="1" x14ac:dyDescent="0.2">
      <c r="A39" s="156" t="s">
        <v>575</v>
      </c>
      <c r="B39" s="226" t="s">
        <v>576</v>
      </c>
      <c r="C39" s="226"/>
      <c r="D39" s="226"/>
      <c r="E39" s="226"/>
      <c r="F39" s="226"/>
      <c r="G39" s="226"/>
      <c r="H39" s="226"/>
      <c r="I39" s="226"/>
      <c r="J39" s="226"/>
      <c r="K39" s="226"/>
    </row>
    <row r="40" spans="1:39" ht="14.25" customHeight="1" x14ac:dyDescent="0.2">
      <c r="A40" s="156"/>
      <c r="B40" s="226"/>
      <c r="C40" s="226"/>
      <c r="D40" s="226"/>
      <c r="E40" s="226"/>
      <c r="F40" s="226"/>
      <c r="G40" s="226"/>
      <c r="H40" s="226"/>
      <c r="I40" s="226"/>
      <c r="J40" s="226"/>
      <c r="K40" s="226"/>
    </row>
    <row r="41" spans="1:39" ht="14.25" customHeight="1" x14ac:dyDescent="0.2">
      <c r="A41" s="156"/>
      <c r="B41" s="226"/>
      <c r="C41" s="226"/>
      <c r="D41" s="226"/>
      <c r="E41" s="226"/>
      <c r="F41" s="226"/>
      <c r="G41" s="226"/>
      <c r="H41" s="226"/>
      <c r="I41" s="226"/>
      <c r="J41" s="226"/>
      <c r="K41" s="226"/>
    </row>
    <row r="42" spans="1:39" x14ac:dyDescent="0.2">
      <c r="A42" s="156"/>
      <c r="B42" s="226"/>
      <c r="C42" s="226"/>
      <c r="D42" s="226"/>
      <c r="E42" s="226"/>
      <c r="F42" s="226"/>
      <c r="G42" s="226"/>
      <c r="H42" s="226"/>
      <c r="I42" s="226"/>
      <c r="J42" s="226"/>
      <c r="K42" s="226"/>
    </row>
    <row r="43" spans="1:39" x14ac:dyDescent="0.2">
      <c r="A43" s="156"/>
      <c r="B43" s="226"/>
      <c r="C43" s="226"/>
      <c r="D43" s="226"/>
      <c r="E43" s="226"/>
      <c r="F43" s="226"/>
      <c r="G43" s="226"/>
      <c r="H43" s="226"/>
      <c r="I43" s="226"/>
      <c r="J43" s="226"/>
      <c r="K43" s="226"/>
    </row>
    <row r="44" spans="1:39" ht="15" x14ac:dyDescent="0.2">
      <c r="A44" s="156"/>
      <c r="B44" s="226"/>
      <c r="C44" s="226"/>
      <c r="D44" s="226"/>
      <c r="E44" s="226"/>
      <c r="F44" s="226"/>
      <c r="G44" s="226"/>
      <c r="H44" s="226"/>
      <c r="I44" s="226"/>
      <c r="J44" s="226"/>
      <c r="K44" s="226"/>
      <c r="L44" s="155"/>
      <c r="M44" s="155"/>
      <c r="N44" s="155"/>
      <c r="O44" s="155"/>
      <c r="P44" s="155"/>
      <c r="Q44" s="155"/>
      <c r="R44" s="155"/>
      <c r="S44" s="155"/>
      <c r="T44" s="155"/>
      <c r="U44" s="155"/>
      <c r="V44" s="155"/>
      <c r="W44" s="155"/>
      <c r="X44" s="155"/>
      <c r="Y44" s="155"/>
      <c r="Z44" s="155"/>
      <c r="AA44" s="155"/>
      <c r="AB44" s="155"/>
      <c r="AC44" s="155"/>
      <c r="AD44" s="155"/>
      <c r="AE44" s="155"/>
      <c r="AF44" s="155"/>
      <c r="AG44" s="155"/>
      <c r="AH44" s="155"/>
      <c r="AI44" s="155"/>
      <c r="AJ44" s="155"/>
      <c r="AK44" s="155"/>
      <c r="AL44" s="155"/>
      <c r="AM44" s="155"/>
    </row>
    <row r="45" spans="1:39" x14ac:dyDescent="0.2">
      <c r="A45" s="156"/>
      <c r="B45" s="226"/>
      <c r="C45" s="226"/>
      <c r="D45" s="226"/>
      <c r="E45" s="226"/>
      <c r="F45" s="226"/>
      <c r="G45" s="226"/>
      <c r="H45" s="226"/>
      <c r="I45" s="226"/>
      <c r="J45" s="226"/>
      <c r="K45" s="226"/>
    </row>
    <row r="46" spans="1:39" x14ac:dyDescent="0.2">
      <c r="A46" s="156"/>
      <c r="B46" s="226"/>
      <c r="C46" s="226"/>
      <c r="D46" s="226"/>
      <c r="E46" s="226"/>
      <c r="F46" s="226"/>
      <c r="G46" s="226"/>
      <c r="H46" s="226"/>
      <c r="I46" s="226"/>
      <c r="J46" s="226"/>
      <c r="K46" s="226"/>
    </row>
    <row r="47" spans="1:39" x14ac:dyDescent="0.2">
      <c r="A47" s="156"/>
      <c r="B47" s="226"/>
    </row>
  </sheetData>
  <sheetProtection algorithmName="SHA-512" hashValue="w01gbvbP5UAcO48uUSPEcM42DLQN7csQvCqJuiQNlT2ekF2fq5jE6wMXzUF2sGQQxMvVP9g7SkV1wWRVLYe5KQ==" saltValue="LTIZtgTeeFd21Qi1VHycQA==" spinCount="100000" sheet="1" objects="1" scenarios="1" selectLockedCells="1" selectUnlockedCells="1"/>
  <mergeCells count="5">
    <mergeCell ref="A1:L3"/>
    <mergeCell ref="A4:L4"/>
    <mergeCell ref="B36:K36"/>
    <mergeCell ref="B37:K37"/>
    <mergeCell ref="B38:K38"/>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131</vt:i4>
      </vt:variant>
    </vt:vector>
  </HeadingPairs>
  <TitlesOfParts>
    <vt:vector size="141" baseType="lpstr">
      <vt:lpstr>Design Converter</vt:lpstr>
      <vt:lpstr>Variable_Management</vt:lpstr>
      <vt:lpstr>Eff_vs_IOUT</vt:lpstr>
      <vt:lpstr>Loop_Modeling</vt:lpstr>
      <vt:lpstr>Constants</vt:lpstr>
      <vt:lpstr>Plot_Management_Eff</vt:lpstr>
      <vt:lpstr>Plot_Management_Sch</vt:lpstr>
      <vt:lpstr>Lists</vt:lpstr>
      <vt:lpstr>Licenses</vt:lpstr>
      <vt:lpstr>Sheet1</vt:lpstr>
      <vt:lpstr>Acs</vt:lpstr>
      <vt:lpstr>Adc</vt:lpstr>
      <vt:lpstr>Adc_ea</vt:lpstr>
      <vt:lpstr>ADC_VINmin</vt:lpstr>
      <vt:lpstr>CCOMP</vt:lpstr>
      <vt:lpstr>CComp_calc</vt:lpstr>
      <vt:lpstr>CHF</vt:lpstr>
      <vt:lpstr>Comp_calc</vt:lpstr>
      <vt:lpstr>Cout</vt:lpstr>
      <vt:lpstr>Cout_min</vt:lpstr>
      <vt:lpstr>D_limit_max</vt:lpstr>
      <vt:lpstr>D_limit_min</vt:lpstr>
      <vt:lpstr>D_limit_nom</vt:lpstr>
      <vt:lpstr>Dc_CCM_VIN_max</vt:lpstr>
      <vt:lpstr>Dc_CCM_VIN_min</vt:lpstr>
      <vt:lpstr>Dc_CCM_VIN_nom</vt:lpstr>
      <vt:lpstr>Dc_DCM_VIN_nom</vt:lpstr>
      <vt:lpstr>Dc_max_IC</vt:lpstr>
      <vt:lpstr>Dc_max_ideal</vt:lpstr>
      <vt:lpstr>Dc_Mode</vt:lpstr>
      <vt:lpstr>Dc_Mode_Loop</vt:lpstr>
      <vt:lpstr>Dc_rip_max</vt:lpstr>
      <vt:lpstr>Dc_VIN_max</vt:lpstr>
      <vt:lpstr>Dc_VIN_min</vt:lpstr>
      <vt:lpstr>Dc_VIN_nom</vt:lpstr>
      <vt:lpstr>EFF_est</vt:lpstr>
      <vt:lpstr>Eff_vs_IOUT</vt:lpstr>
      <vt:lpstr>fcross</vt:lpstr>
      <vt:lpstr>fcross_est</vt:lpstr>
      <vt:lpstr>fp_ea_est</vt:lpstr>
      <vt:lpstr>Fsw</vt:lpstr>
      <vt:lpstr>fz_ea_est</vt:lpstr>
      <vt:lpstr>fz_rhp</vt:lpstr>
      <vt:lpstr>Gcomp</vt:lpstr>
      <vt:lpstr>Gea_mid_calc</vt:lpstr>
      <vt:lpstr>gfs</vt:lpstr>
      <vt:lpstr>gm_ea</vt:lpstr>
      <vt:lpstr>Gplant_fc_dB</vt:lpstr>
      <vt:lpstr>IIN_33</vt:lpstr>
      <vt:lpstr>IL_avg_VIN_max</vt:lpstr>
      <vt:lpstr>IL_avg_VIN_min</vt:lpstr>
      <vt:lpstr>IL_avg_VIN_nom</vt:lpstr>
      <vt:lpstr>IL_pk</vt:lpstr>
      <vt:lpstr>IL_pk_max</vt:lpstr>
      <vt:lpstr>ILp_VINmax</vt:lpstr>
      <vt:lpstr>ILp_VINmin</vt:lpstr>
      <vt:lpstr>ILp_VINnom</vt:lpstr>
      <vt:lpstr>ILrip</vt:lpstr>
      <vt:lpstr>ILrip_VINmax</vt:lpstr>
      <vt:lpstr>ILrip_VINmin</vt:lpstr>
      <vt:lpstr>ILrip_VINnom</vt:lpstr>
      <vt:lpstr>IOUT</vt:lpstr>
      <vt:lpstr>Ipk_margin</vt:lpstr>
      <vt:lpstr>Ipk_selected</vt:lpstr>
      <vt:lpstr>IQ</vt:lpstr>
      <vt:lpstr>IRMS_COUT</vt:lpstr>
      <vt:lpstr>Isl</vt:lpstr>
      <vt:lpstr>Iss</vt:lpstr>
      <vt:lpstr>Kslope</vt:lpstr>
      <vt:lpstr>L_DCM</vt:lpstr>
      <vt:lpstr>Lm</vt:lpstr>
      <vt:lpstr>Lopt</vt:lpstr>
      <vt:lpstr>Lopt_2</vt:lpstr>
      <vt:lpstr>POUT</vt:lpstr>
      <vt:lpstr>'Design Converter'!Print_Area</vt:lpstr>
      <vt:lpstr>Q</vt:lpstr>
      <vt:lpstr>Q_VINmin</vt:lpstr>
      <vt:lpstr>Qg_tot</vt:lpstr>
      <vt:lpstr>Qgd</vt:lpstr>
      <vt:lpstr>Qgs</vt:lpstr>
      <vt:lpstr>Qrr</vt:lpstr>
      <vt:lpstr>R_cs</vt:lpstr>
      <vt:lpstr>R_sl</vt:lpstr>
      <vt:lpstr>RCOMP</vt:lpstr>
      <vt:lpstr>Rcomp_calc</vt:lpstr>
      <vt:lpstr>Rcs_max</vt:lpstr>
      <vt:lpstr>Rcs_w_sl</vt:lpstr>
      <vt:lpstr>Rcs_wo_sl</vt:lpstr>
      <vt:lpstr>Rdcr</vt:lpstr>
      <vt:lpstr>RDS_on</vt:lpstr>
      <vt:lpstr>Resr</vt:lpstr>
      <vt:lpstr>RFBB</vt:lpstr>
      <vt:lpstr>RFBB_calc</vt:lpstr>
      <vt:lpstr>RFBT</vt:lpstr>
      <vt:lpstr>Rgate</vt:lpstr>
      <vt:lpstr>ROUT</vt:lpstr>
      <vt:lpstr>Rsl_int</vt:lpstr>
      <vt:lpstr>Rsl_max</vt:lpstr>
      <vt:lpstr>RT</vt:lpstr>
      <vt:lpstr>Ruvlo_bottom_calc</vt:lpstr>
      <vt:lpstr>Ruvlo_top</vt:lpstr>
      <vt:lpstr>Ruvlo_top_calc</vt:lpstr>
      <vt:lpstr>SCH_1</vt:lpstr>
      <vt:lpstr>SCH_2</vt:lpstr>
      <vt:lpstr>Se_VINmin</vt:lpstr>
      <vt:lpstr>Sn_VINmin</vt:lpstr>
      <vt:lpstr>tf_sw</vt:lpstr>
      <vt:lpstr>tr_sw</vt:lpstr>
      <vt:lpstr>tss</vt:lpstr>
      <vt:lpstr>UV_fall</vt:lpstr>
      <vt:lpstr>UV_I_hyst</vt:lpstr>
      <vt:lpstr>UV_rise</vt:lpstr>
      <vt:lpstr>Vcc</vt:lpstr>
      <vt:lpstr>Vcl</vt:lpstr>
      <vt:lpstr>Vd_rect</vt:lpstr>
      <vt:lpstr>VIN_33</vt:lpstr>
      <vt:lpstr>VIN_max</vt:lpstr>
      <vt:lpstr>VIN_min</vt:lpstr>
      <vt:lpstr>VIN_nom</vt:lpstr>
      <vt:lpstr>VIN_op_max</vt:lpstr>
      <vt:lpstr>VIN_op_max_56</vt:lpstr>
      <vt:lpstr>VIN_op_min</vt:lpstr>
      <vt:lpstr>VIN_var</vt:lpstr>
      <vt:lpstr>VOUT</vt:lpstr>
      <vt:lpstr>Vout_rip_sel</vt:lpstr>
      <vt:lpstr>Vref</vt:lpstr>
      <vt:lpstr>Vth</vt:lpstr>
      <vt:lpstr>Vuvlo_off</vt:lpstr>
      <vt:lpstr>Vuvlo_on</vt:lpstr>
      <vt:lpstr>wp_hf</vt:lpstr>
      <vt:lpstr>wp_lf</vt:lpstr>
      <vt:lpstr>wp_lf_VINmin</vt:lpstr>
      <vt:lpstr>wp0_ea</vt:lpstr>
      <vt:lpstr>wp1_ea</vt:lpstr>
      <vt:lpstr>wsl</vt:lpstr>
      <vt:lpstr>wsl_VINmin</vt:lpstr>
      <vt:lpstr>wz_ea</vt:lpstr>
      <vt:lpstr>wz_esr</vt:lpstr>
      <vt:lpstr>wz_esr_VINmin</vt:lpstr>
      <vt:lpstr>wz_rhp</vt:lpstr>
      <vt:lpstr>wz_RHP_VINmin</vt:lpstr>
    </vt:vector>
  </TitlesOfParts>
  <Company>Texas Instruments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BMC-BCS</dc:creator>
  <cp:lastModifiedBy>b</cp:lastModifiedBy>
  <cp:lastPrinted>2018-08-09T07:13:51Z</cp:lastPrinted>
  <dcterms:created xsi:type="dcterms:W3CDTF">2018-06-26T09:13:29Z</dcterms:created>
  <dcterms:modified xsi:type="dcterms:W3CDTF">2023-09-05T02:21:09Z</dcterms:modified>
</cp:coreProperties>
</file>