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karim\Downloads\LM5171-Buck-or-Boost-Quickstart-Tool-1.0.1\"/>
    </mc:Choice>
  </mc:AlternateContent>
  <xr:revisionPtr revIDLastSave="0" documentId="13_ncr:1_{863A4316-D527-4CE5-B761-F829A221B9F5}" xr6:coauthVersionLast="47" xr6:coauthVersionMax="47" xr10:uidLastSave="{00000000-0000-0000-0000-000000000000}"/>
  <workbookProtection workbookAlgorithmName="SHA-512" workbookHashValue="Crcn326BOlWB2knP//NKoZQtJ+eD3RkjYaF9uCNhjjoib30wSTUBMVgFBC/uZ4IcOLegMrKVcDuXj+4q4yKiPw==" workbookSaltValue="rEQA6cCzrSOg9K+4bCFOsQ==" workbookSpinCount="100000" lockStructure="1"/>
  <bookViews>
    <workbookView xWindow="-108" yWindow="-108" windowWidth="23256" windowHeight="12456" xr2:uid="{00000000-000D-0000-FFFF-FFFF00000000}"/>
  </bookViews>
  <sheets>
    <sheet name="Design_Converter" sheetId="1" r:id="rId1"/>
    <sheet name="Calculations" sheetId="2" state="hidden" r:id="rId2"/>
    <sheet name="Compensation" sheetId="6" state="hidden" r:id="rId3"/>
    <sheet name="Constants" sheetId="4" state="hidden" r:id="rId4"/>
    <sheet name="Lists" sheetId="7" state="hidden" r:id="rId5"/>
    <sheet name="Licenses" sheetId="8" r:id="rId6"/>
  </sheets>
  <definedNames>
    <definedName name="_xlnm._FilterDatabase" localSheetId="3" hidden="1">Constants!$A$1:$E$33</definedName>
    <definedName name="Acs">Constants!$C$5</definedName>
    <definedName name="fco">Calculations!$B$173</definedName>
    <definedName name="Fsw">Calculations!$B$15</definedName>
    <definedName name="gm">Constants!$C$4</definedName>
    <definedName name="I_Channel">Calculations!$B$32</definedName>
    <definedName name="I_Channel_Design">Calculations!$B$25</definedName>
    <definedName name="I_Channel_Peak_No_Ilimit">Calculations!$B$75</definedName>
    <definedName name="I_Channel_Peak_Select">Calculations!$B$77</definedName>
    <definedName name="IL_Comp_Ccomp">Calculations!$B$179*(10^(-9))</definedName>
    <definedName name="IL_Comp_Chf">Calculations!$B$181*(10^-9)</definedName>
    <definedName name="IL_Comp_Rcomp">Calculations!$B$177*1000</definedName>
    <definedName name="ISETA_Max">Constants!$C$46</definedName>
    <definedName name="Kff">Constants!$C$8</definedName>
    <definedName name="Lm">Calculations!$B$43*(10^-6)</definedName>
    <definedName name="Lm_DCR">Design_Converter!$B$39/(1000)</definedName>
    <definedName name="np">Calculations!$B$24</definedName>
    <definedName name="Rcs">Calculations!$B$31/1000</definedName>
    <definedName name="Rs">Calculations!$B$168/1000</definedName>
    <definedName name="V12_Max">Calculations!$B$13</definedName>
    <definedName name="V12_Min">Calculations!$B$11</definedName>
    <definedName name="V12_Nom">Calculations!$B$12</definedName>
    <definedName name="V48_Max">Calculations!$B$9</definedName>
    <definedName name="V48_Min">Calculations!$B$7</definedName>
    <definedName name="V48_Nom">Calculations!$B$8</definedName>
    <definedName name="VCS_Max">50*(10^-3)</definedName>
    <definedName name="Zo_Boost_Cout">Design_Converter!$B$63*(10^(-6))</definedName>
    <definedName name="Zo_Boost_Resr">Design_Converter!$B$64/1000</definedName>
    <definedName name="Zo_Buck_Cout">Design_Converter!$B$60/(10^6)</definedName>
    <definedName name="Zo_Buck_Resr">Design_Converter!$B$61/1000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1" i="2" l="1"/>
  <c r="B160" i="2"/>
  <c r="B162" i="2" s="1"/>
  <c r="B143" i="1" s="1"/>
  <c r="B9" i="6" l="1"/>
  <c r="B8" i="6"/>
  <c r="A18" i="6"/>
  <c r="B18" i="6" s="1"/>
  <c r="A20" i="6"/>
  <c r="A29" i="6" s="1"/>
  <c r="A21" i="6"/>
  <c r="B21" i="6" s="1"/>
  <c r="A17" i="6"/>
  <c r="A26" i="6" s="1"/>
  <c r="A16" i="6"/>
  <c r="B16" i="6" s="1"/>
  <c r="A15" i="6"/>
  <c r="B15" i="6" s="1"/>
  <c r="A14" i="6"/>
  <c r="B14" i="6" s="1"/>
  <c r="A13" i="6"/>
  <c r="A22" i="6" s="1"/>
  <c r="A9" i="6"/>
  <c r="A12" i="6"/>
  <c r="B12" i="6" s="1"/>
  <c r="A11" i="6"/>
  <c r="B11" i="6" s="1"/>
  <c r="A10" i="6"/>
  <c r="A19" i="6" s="1"/>
  <c r="B26" i="6" l="1"/>
  <c r="A35" i="6"/>
  <c r="B19" i="6"/>
  <c r="A28" i="6"/>
  <c r="B29" i="6"/>
  <c r="A38" i="6"/>
  <c r="B22" i="6"/>
  <c r="A31" i="6"/>
  <c r="B10" i="6"/>
  <c r="A25" i="6"/>
  <c r="A30" i="6"/>
  <c r="B17" i="6"/>
  <c r="A24" i="6"/>
  <c r="A27" i="6"/>
  <c r="B20" i="6"/>
  <c r="A23" i="6"/>
  <c r="B13" i="6"/>
  <c r="B218" i="2"/>
  <c r="A32" i="6" l="1"/>
  <c r="B23" i="6"/>
  <c r="B31" i="6"/>
  <c r="A40" i="6"/>
  <c r="A36" i="6"/>
  <c r="B27" i="6"/>
  <c r="B38" i="6"/>
  <c r="A47" i="6"/>
  <c r="A33" i="6"/>
  <c r="B24" i="6"/>
  <c r="B28" i="6"/>
  <c r="A37" i="6"/>
  <c r="B30" i="6"/>
  <c r="A39" i="6"/>
  <c r="B25" i="6"/>
  <c r="A34" i="6"/>
  <c r="A44" i="6"/>
  <c r="B35" i="6"/>
  <c r="B132" i="2"/>
  <c r="B130" i="2"/>
  <c r="A48" i="6" l="1"/>
  <c r="B39" i="6"/>
  <c r="B36" i="6"/>
  <c r="A45" i="6"/>
  <c r="B34" i="6"/>
  <c r="A43" i="6"/>
  <c r="A56" i="6"/>
  <c r="B56" i="6" s="1"/>
  <c r="B47" i="6"/>
  <c r="A46" i="6"/>
  <c r="B37" i="6"/>
  <c r="A49" i="6"/>
  <c r="B40" i="6"/>
  <c r="A53" i="6"/>
  <c r="B44" i="6"/>
  <c r="B33" i="6"/>
  <c r="A42" i="6"/>
  <c r="A41" i="6"/>
  <c r="B32" i="6"/>
  <c r="B133" i="2"/>
  <c r="B110" i="1" s="1"/>
  <c r="B134" i="2"/>
  <c r="B131" i="2"/>
  <c r="B108" i="1" s="1"/>
  <c r="B42" i="6" l="1"/>
  <c r="A51" i="6"/>
  <c r="A52" i="6"/>
  <c r="B43" i="6"/>
  <c r="B53" i="6"/>
  <c r="A62" i="6"/>
  <c r="B62" i="6" s="1"/>
  <c r="A54" i="6"/>
  <c r="B54" i="6" s="1"/>
  <c r="B45" i="6"/>
  <c r="B49" i="6"/>
  <c r="A58" i="6"/>
  <c r="B58" i="6" s="1"/>
  <c r="A50" i="6"/>
  <c r="B41" i="6"/>
  <c r="B46" i="6"/>
  <c r="A55" i="6"/>
  <c r="B55" i="6" s="1"/>
  <c r="A57" i="6"/>
  <c r="B57" i="6" s="1"/>
  <c r="B48" i="6"/>
  <c r="B135" i="2"/>
  <c r="B112" i="1" s="1"/>
  <c r="B88" i="2"/>
  <c r="B100" i="2"/>
  <c r="B97" i="2"/>
  <c r="B95" i="2"/>
  <c r="B92" i="2"/>
  <c r="B94" i="2" s="1"/>
  <c r="B73" i="1" s="1"/>
  <c r="B93" i="2"/>
  <c r="B91" i="2"/>
  <c r="A59" i="6" l="1"/>
  <c r="B59" i="6" s="1"/>
  <c r="B50" i="6"/>
  <c r="A61" i="6"/>
  <c r="B61" i="6" s="1"/>
  <c r="B52" i="6"/>
  <c r="A60" i="6"/>
  <c r="B60" i="6" s="1"/>
  <c r="B51" i="6"/>
  <c r="B98" i="2"/>
  <c r="B77" i="1" s="1"/>
  <c r="B96" i="2"/>
  <c r="B75" i="1" s="1"/>
  <c r="B99" i="2"/>
  <c r="B78" i="1" s="1"/>
  <c r="B101" i="2"/>
  <c r="B80" i="1" s="1"/>
  <c r="B107" i="2"/>
  <c r="B104" i="2"/>
  <c r="B84" i="2" l="1"/>
  <c r="B82" i="2"/>
  <c r="B80" i="2"/>
  <c r="B85" i="2" l="1"/>
  <c r="B54" i="1" s="1"/>
  <c r="B5" i="8"/>
  <c r="C33" i="4"/>
  <c r="C32" i="4"/>
  <c r="C31" i="4"/>
  <c r="C30" i="4"/>
  <c r="C29" i="4"/>
  <c r="C27" i="4"/>
  <c r="C26" i="4"/>
  <c r="C17" i="4"/>
  <c r="C15" i="4"/>
  <c r="C13" i="4"/>
  <c r="C7" i="4"/>
  <c r="C4" i="4"/>
  <c r="C3" i="4"/>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B269" i="2"/>
  <c r="B267" i="2"/>
  <c r="B265" i="2"/>
  <c r="B258" i="2"/>
  <c r="B252" i="2"/>
  <c r="B250" i="2"/>
  <c r="B248" i="2"/>
  <c r="B242" i="2"/>
  <c r="B224" i="6" s="1"/>
  <c r="C224" i="6" s="1"/>
  <c r="B237" i="2"/>
  <c r="B235" i="2"/>
  <c r="B234" i="2"/>
  <c r="B229" i="2"/>
  <c r="B227" i="2"/>
  <c r="B225" i="2"/>
  <c r="B216" i="2"/>
  <c r="B208" i="2"/>
  <c r="B206" i="2"/>
  <c r="B204" i="2"/>
  <c r="B198" i="2"/>
  <c r="B196" i="2"/>
  <c r="B193" i="2"/>
  <c r="B191" i="2"/>
  <c r="B190" i="2"/>
  <c r="B181" i="2"/>
  <c r="B179" i="2"/>
  <c r="B177" i="2"/>
  <c r="B173" i="2"/>
  <c r="B168" i="2"/>
  <c r="B154" i="2"/>
  <c r="B152" i="2"/>
  <c r="B153" i="2" s="1"/>
  <c r="B133" i="1" s="1"/>
  <c r="B151" i="2"/>
  <c r="B145" i="2"/>
  <c r="B141" i="2"/>
  <c r="B139" i="2"/>
  <c r="B123" i="2"/>
  <c r="B121" i="2"/>
  <c r="B120" i="2"/>
  <c r="B119" i="2"/>
  <c r="B117" i="2"/>
  <c r="B116" i="2"/>
  <c r="B115" i="2"/>
  <c r="B78" i="2"/>
  <c r="B213" i="2" s="1"/>
  <c r="B76" i="2"/>
  <c r="B44" i="2"/>
  <c r="B43" i="2"/>
  <c r="B39" i="2"/>
  <c r="B31" i="2"/>
  <c r="B26" i="2"/>
  <c r="B27" i="2" s="1"/>
  <c r="B24" i="2"/>
  <c r="B164" i="2" s="1"/>
  <c r="B22" i="2"/>
  <c r="B15" i="2"/>
  <c r="D15" i="2" s="1"/>
  <c r="B13" i="2"/>
  <c r="D13" i="2" s="1"/>
  <c r="B12" i="2"/>
  <c r="D12" i="2" s="1"/>
  <c r="B11" i="2"/>
  <c r="D11" i="2" s="1"/>
  <c r="B9" i="2"/>
  <c r="D9" i="2" s="1"/>
  <c r="B8" i="2"/>
  <c r="D8" i="2" s="1"/>
  <c r="B7" i="2"/>
  <c r="B165" i="2" l="1"/>
  <c r="B146" i="1" s="1"/>
  <c r="B145" i="1"/>
  <c r="B214" i="2"/>
  <c r="B215" i="2" s="1"/>
  <c r="B140" i="2"/>
  <c r="B119" i="1" s="1"/>
  <c r="D139" i="2"/>
  <c r="O61" i="2"/>
  <c r="D7" i="2"/>
  <c r="B228" i="2"/>
  <c r="B184" i="1" s="1"/>
  <c r="D8" i="6"/>
  <c r="B178" i="2"/>
  <c r="B156" i="1" s="1"/>
  <c r="B134" i="6"/>
  <c r="C134" i="6" s="1"/>
  <c r="U134" i="6" s="1"/>
  <c r="B170" i="2"/>
  <c r="O53" i="2"/>
  <c r="T53" i="2" s="1"/>
  <c r="V53" i="2" s="1"/>
  <c r="W53" i="2" s="1"/>
  <c r="B86" i="2"/>
  <c r="B55" i="1" s="1"/>
  <c r="B79" i="2"/>
  <c r="B83" i="2" s="1"/>
  <c r="B52" i="1" s="1"/>
  <c r="B231" i="2"/>
  <c r="B136" i="6" s="1"/>
  <c r="C136" i="6" s="1"/>
  <c r="O136" i="6" s="1"/>
  <c r="B127" i="2"/>
  <c r="B102" i="1" s="1"/>
  <c r="B230" i="2"/>
  <c r="B135" i="6" s="1"/>
  <c r="C135" i="6" s="1"/>
  <c r="O6" i="2"/>
  <c r="AC6" i="2" s="1"/>
  <c r="B180" i="2"/>
  <c r="B158" i="1" s="1"/>
  <c r="O7" i="2"/>
  <c r="P7" i="2" s="1"/>
  <c r="B118" i="2"/>
  <c r="B93" i="1" s="1"/>
  <c r="O13" i="2"/>
  <c r="AC13" i="2" s="1"/>
  <c r="O43" i="2"/>
  <c r="T43" i="2" s="1"/>
  <c r="V43" i="2" s="1"/>
  <c r="W43" i="2" s="1"/>
  <c r="O17" i="2"/>
  <c r="T17" i="2" s="1"/>
  <c r="V17" i="2" s="1"/>
  <c r="W17" i="2" s="1"/>
  <c r="O8" i="2"/>
  <c r="Y8" i="2" s="1"/>
  <c r="O20" i="2"/>
  <c r="AK20" i="2" s="1"/>
  <c r="O76" i="2"/>
  <c r="O9" i="2"/>
  <c r="AB9" i="2" s="1"/>
  <c r="AD9" i="2" s="1"/>
  <c r="O14" i="2"/>
  <c r="T14" i="2" s="1"/>
  <c r="O21" i="2"/>
  <c r="AK21" i="2" s="1"/>
  <c r="O26" i="2"/>
  <c r="U26" i="2" s="1"/>
  <c r="O10" i="2"/>
  <c r="T10" i="2" s="1"/>
  <c r="V10" i="2" s="1"/>
  <c r="B25" i="2"/>
  <c r="O27" i="2"/>
  <c r="AJ27" i="2" s="1"/>
  <c r="AL27" i="2" s="1"/>
  <c r="AM27" i="2" s="1"/>
  <c r="O55" i="2"/>
  <c r="P55" i="2" s="1"/>
  <c r="B18" i="2"/>
  <c r="D18" i="2" s="1"/>
  <c r="O15" i="2"/>
  <c r="Q15" i="2" s="1"/>
  <c r="O22" i="2"/>
  <c r="T22" i="2" s="1"/>
  <c r="V22" i="2" s="1"/>
  <c r="W22" i="2" s="1"/>
  <c r="O29" i="2"/>
  <c r="AG29" i="2" s="1"/>
  <c r="O11" i="2"/>
  <c r="Y11" i="2" s="1"/>
  <c r="O16" i="2"/>
  <c r="AK16" i="2" s="1"/>
  <c r="O23" i="2"/>
  <c r="U23" i="2" s="1"/>
  <c r="O30" i="2"/>
  <c r="AJ30" i="2" s="1"/>
  <c r="AL30" i="2" s="1"/>
  <c r="AM30" i="2" s="1"/>
  <c r="O12" i="2"/>
  <c r="U12" i="2" s="1"/>
  <c r="O18" i="2"/>
  <c r="Y18" i="2" s="1"/>
  <c r="O24" i="2"/>
  <c r="Y24" i="2" s="1"/>
  <c r="O19" i="2"/>
  <c r="Q19" i="2" s="1"/>
  <c r="O25" i="2"/>
  <c r="Y25" i="2" s="1"/>
  <c r="B182" i="2"/>
  <c r="AB10" i="6" s="1"/>
  <c r="AC10" i="6" s="1"/>
  <c r="AD10" i="6" s="1"/>
  <c r="AE10" i="6" s="1"/>
  <c r="D152" i="2"/>
  <c r="B183" i="2"/>
  <c r="AB11" i="6" s="1"/>
  <c r="AC11" i="6" s="1"/>
  <c r="AD11" i="6" s="1"/>
  <c r="AE11" i="6" s="1"/>
  <c r="AD66" i="2"/>
  <c r="U101" i="6"/>
  <c r="W101" i="6" s="1"/>
  <c r="B52" i="2"/>
  <c r="B53" i="2" s="1"/>
  <c r="O102" i="2"/>
  <c r="B125" i="2"/>
  <c r="B100" i="1" s="1"/>
  <c r="O33" i="2"/>
  <c r="Y33" i="2" s="1"/>
  <c r="B209" i="2"/>
  <c r="O89" i="6"/>
  <c r="P89" i="6" s="1"/>
  <c r="B51" i="2"/>
  <c r="M226" i="6"/>
  <c r="M221" i="6"/>
  <c r="M213" i="6"/>
  <c r="M205" i="6"/>
  <c r="M220" i="6"/>
  <c r="M212" i="6"/>
  <c r="M204" i="6"/>
  <c r="M225" i="6"/>
  <c r="M219" i="6"/>
  <c r="M211" i="6"/>
  <c r="M203" i="6"/>
  <c r="M218" i="6"/>
  <c r="M210" i="6"/>
  <c r="M202" i="6"/>
  <c r="M228" i="6"/>
  <c r="M224" i="6"/>
  <c r="M217" i="6"/>
  <c r="M209" i="6"/>
  <c r="M216" i="6"/>
  <c r="M208" i="6"/>
  <c r="M227" i="6"/>
  <c r="M223" i="6"/>
  <c r="M215" i="6"/>
  <c r="M207" i="6"/>
  <c r="M201" i="6"/>
  <c r="M200" i="6"/>
  <c r="M192" i="6"/>
  <c r="M184" i="6"/>
  <c r="M199" i="6"/>
  <c r="M191" i="6"/>
  <c r="M183" i="6"/>
  <c r="M198" i="6"/>
  <c r="M190" i="6"/>
  <c r="M182" i="6"/>
  <c r="M197" i="6"/>
  <c r="M189" i="6"/>
  <c r="M181" i="6"/>
  <c r="M194" i="6"/>
  <c r="M186" i="6"/>
  <c r="M172" i="6"/>
  <c r="M171" i="6"/>
  <c r="M170" i="6"/>
  <c r="M222" i="6"/>
  <c r="M214" i="6"/>
  <c r="M206" i="6"/>
  <c r="M193" i="6"/>
  <c r="M185" i="6"/>
  <c r="M177" i="6"/>
  <c r="M169" i="6"/>
  <c r="M196" i="6"/>
  <c r="M188" i="6"/>
  <c r="M180" i="6"/>
  <c r="M176" i="6"/>
  <c r="M178" i="6"/>
  <c r="M174" i="6"/>
  <c r="M173" i="6"/>
  <c r="M175" i="6"/>
  <c r="M195" i="6"/>
  <c r="M187" i="6"/>
  <c r="M179" i="6"/>
  <c r="B260" i="2"/>
  <c r="B262" i="2" s="1"/>
  <c r="B266" i="2" s="1"/>
  <c r="B200" i="1" s="1"/>
  <c r="B238" i="2"/>
  <c r="B245" i="2" s="1"/>
  <c r="B259" i="2"/>
  <c r="B49" i="2"/>
  <c r="B50" i="2" s="1"/>
  <c r="B58" i="2"/>
  <c r="B59" i="2" s="1"/>
  <c r="B55" i="2"/>
  <c r="B56" i="2" s="1"/>
  <c r="B61" i="2"/>
  <c r="B62" i="2" s="1"/>
  <c r="AD106" i="2"/>
  <c r="AD102" i="2"/>
  <c r="AD98" i="2"/>
  <c r="AD109" i="2"/>
  <c r="AD105" i="2"/>
  <c r="AD101" i="2"/>
  <c r="AD108" i="2"/>
  <c r="AD104" i="2"/>
  <c r="AD100" i="2"/>
  <c r="AD96" i="2"/>
  <c r="AD99" i="2"/>
  <c r="AD111" i="2"/>
  <c r="AD90" i="2"/>
  <c r="AD74" i="2"/>
  <c r="AD65" i="2"/>
  <c r="AD76" i="2"/>
  <c r="AD68" i="2"/>
  <c r="AD64" i="2"/>
  <c r="B63" i="2"/>
  <c r="AD95" i="2"/>
  <c r="AD94" i="2"/>
  <c r="AD91" i="2"/>
  <c r="AD89" i="2"/>
  <c r="AD85" i="2"/>
  <c r="AD81" i="2"/>
  <c r="AD75" i="2"/>
  <c r="AD103" i="2"/>
  <c r="AD88" i="2"/>
  <c r="AD87" i="2"/>
  <c r="AD86" i="2"/>
  <c r="AD63" i="2"/>
  <c r="AD84" i="2"/>
  <c r="AD83" i="2"/>
  <c r="AD82" i="2"/>
  <c r="AD73" i="2"/>
  <c r="AD92" i="2"/>
  <c r="AD80" i="2"/>
  <c r="AD79" i="2"/>
  <c r="AD72" i="2"/>
  <c r="AD107" i="2"/>
  <c r="AD70" i="2"/>
  <c r="AD77" i="2"/>
  <c r="AD69" i="2"/>
  <c r="B17" i="2"/>
  <c r="D17" i="2" s="1"/>
  <c r="O39" i="2"/>
  <c r="B46" i="2"/>
  <c r="B47" i="2" s="1"/>
  <c r="B48" i="2"/>
  <c r="O52" i="2"/>
  <c r="AD97" i="2"/>
  <c r="D26" i="6"/>
  <c r="M135" i="6"/>
  <c r="M134" i="6"/>
  <c r="M137" i="6"/>
  <c r="M133" i="6"/>
  <c r="M136" i="6"/>
  <c r="M131" i="6"/>
  <c r="M124" i="6"/>
  <c r="M116" i="6"/>
  <c r="M123" i="6"/>
  <c r="M115" i="6"/>
  <c r="M122" i="6"/>
  <c r="M114" i="6"/>
  <c r="M129" i="6"/>
  <c r="M121" i="6"/>
  <c r="M113" i="6"/>
  <c r="M132" i="6"/>
  <c r="M128" i="6"/>
  <c r="M120" i="6"/>
  <c r="M112" i="6"/>
  <c r="M126" i="6"/>
  <c r="M118" i="6"/>
  <c r="M110" i="6"/>
  <c r="M106" i="6"/>
  <c r="M98" i="6"/>
  <c r="M90" i="6"/>
  <c r="M127" i="6"/>
  <c r="M119" i="6"/>
  <c r="M111" i="6"/>
  <c r="M105" i="6"/>
  <c r="M97" i="6"/>
  <c r="M89" i="6"/>
  <c r="M104" i="6"/>
  <c r="M96" i="6"/>
  <c r="M88" i="6"/>
  <c r="M103" i="6"/>
  <c r="M95" i="6"/>
  <c r="M109" i="6"/>
  <c r="M102" i="6"/>
  <c r="M94" i="6"/>
  <c r="M130" i="6"/>
  <c r="M108" i="6"/>
  <c r="M100" i="6"/>
  <c r="M92" i="6"/>
  <c r="M80" i="6"/>
  <c r="M87" i="6"/>
  <c r="M79" i="6"/>
  <c r="M86" i="6"/>
  <c r="M117" i="6"/>
  <c r="M85" i="6"/>
  <c r="M84" i="6"/>
  <c r="M82" i="6"/>
  <c r="M107" i="6"/>
  <c r="M91" i="6"/>
  <c r="O105" i="2"/>
  <c r="O101" i="2"/>
  <c r="M125" i="6"/>
  <c r="O111" i="2"/>
  <c r="M93" i="6"/>
  <c r="M81" i="6"/>
  <c r="O108" i="2"/>
  <c r="O104" i="2"/>
  <c r="O100" i="2"/>
  <c r="O96" i="2"/>
  <c r="M99" i="6"/>
  <c r="O95" i="2"/>
  <c r="O103" i="2"/>
  <c r="O110" i="2"/>
  <c r="O107" i="2"/>
  <c r="O86" i="2"/>
  <c r="O82" i="2"/>
  <c r="O73" i="2"/>
  <c r="O106" i="2"/>
  <c r="O92" i="2"/>
  <c r="O90" i="2"/>
  <c r="O89" i="2"/>
  <c r="O85" i="2"/>
  <c r="O81" i="2"/>
  <c r="O75" i="2"/>
  <c r="B70" i="2"/>
  <c r="O99" i="2"/>
  <c r="O74" i="2"/>
  <c r="B69" i="2"/>
  <c r="O65" i="2"/>
  <c r="O98" i="2"/>
  <c r="O64" i="2"/>
  <c r="O97" i="2"/>
  <c r="O88" i="2"/>
  <c r="O87" i="2"/>
  <c r="O84" i="2"/>
  <c r="O83" i="2"/>
  <c r="O94" i="2"/>
  <c r="O80" i="2"/>
  <c r="O79" i="2"/>
  <c r="O72" i="2"/>
  <c r="O63" i="2"/>
  <c r="O70" i="2"/>
  <c r="M83" i="6"/>
  <c r="O91" i="2"/>
  <c r="O77" i="2"/>
  <c r="O69" i="2"/>
  <c r="O34" i="2"/>
  <c r="O46" i="2"/>
  <c r="O48" i="2"/>
  <c r="O67" i="2"/>
  <c r="O109" i="2"/>
  <c r="M101" i="6"/>
  <c r="D60" i="6"/>
  <c r="D56" i="6"/>
  <c r="D52" i="6"/>
  <c r="D48" i="6"/>
  <c r="D44" i="6"/>
  <c r="D40" i="6"/>
  <c r="D36" i="6"/>
  <c r="G62" i="6"/>
  <c r="G58" i="6"/>
  <c r="G54" i="6"/>
  <c r="G50" i="6"/>
  <c r="G46" i="6"/>
  <c r="G42" i="6"/>
  <c r="G38" i="6"/>
  <c r="G34" i="6"/>
  <c r="D59" i="6"/>
  <c r="D55" i="6"/>
  <c r="D51" i="6"/>
  <c r="D47" i="6"/>
  <c r="D43" i="6"/>
  <c r="D39" i="6"/>
  <c r="D35" i="6"/>
  <c r="G61" i="6"/>
  <c r="G57" i="6"/>
  <c r="G53" i="6"/>
  <c r="G49" i="6"/>
  <c r="G45" i="6"/>
  <c r="G41" i="6"/>
  <c r="G37" i="6"/>
  <c r="D62" i="6"/>
  <c r="D58" i="6"/>
  <c r="D54" i="6"/>
  <c r="D50" i="6"/>
  <c r="D46" i="6"/>
  <c r="D42" i="6"/>
  <c r="D38" i="6"/>
  <c r="D61" i="6"/>
  <c r="D57" i="6"/>
  <c r="D53" i="6"/>
  <c r="D49" i="6"/>
  <c r="D45" i="6"/>
  <c r="D41" i="6"/>
  <c r="D37" i="6"/>
  <c r="G35" i="6"/>
  <c r="G32" i="6"/>
  <c r="G28" i="6"/>
  <c r="G24" i="6"/>
  <c r="G20" i="6"/>
  <c r="G16" i="6"/>
  <c r="G12" i="6"/>
  <c r="D33" i="6"/>
  <c r="D29" i="6"/>
  <c r="D25" i="6"/>
  <c r="D21" i="6"/>
  <c r="D17" i="6"/>
  <c r="D13" i="6"/>
  <c r="D11" i="6"/>
  <c r="G31" i="6"/>
  <c r="G27" i="6"/>
  <c r="G23" i="6"/>
  <c r="G19" i="6"/>
  <c r="G15" i="6"/>
  <c r="G9" i="6"/>
  <c r="G60" i="6"/>
  <c r="G55" i="6"/>
  <c r="G52" i="6"/>
  <c r="G47" i="6"/>
  <c r="G44" i="6"/>
  <c r="G39" i="6"/>
  <c r="G36" i="6"/>
  <c r="D32" i="6"/>
  <c r="D28" i="6"/>
  <c r="D24" i="6"/>
  <c r="D20" i="6"/>
  <c r="D16" i="6"/>
  <c r="D12" i="6"/>
  <c r="G30" i="6"/>
  <c r="G26" i="6"/>
  <c r="G22" i="6"/>
  <c r="G18" i="6"/>
  <c r="G14" i="6"/>
  <c r="G10" i="6"/>
  <c r="G8" i="6"/>
  <c r="G33" i="6"/>
  <c r="G29" i="6"/>
  <c r="G25" i="6"/>
  <c r="G21" i="6"/>
  <c r="G17" i="6"/>
  <c r="G13" i="6"/>
  <c r="G11" i="6"/>
  <c r="B171" i="2"/>
  <c r="G51" i="6"/>
  <c r="G56" i="6"/>
  <c r="G40" i="6"/>
  <c r="D30" i="6"/>
  <c r="D23" i="6"/>
  <c r="D14" i="6"/>
  <c r="D10" i="6"/>
  <c r="D34" i="6"/>
  <c r="D27" i="6"/>
  <c r="D18" i="6"/>
  <c r="O56" i="2"/>
  <c r="G59" i="6"/>
  <c r="D22" i="6"/>
  <c r="O50" i="2"/>
  <c r="O54" i="2"/>
  <c r="D9" i="6"/>
  <c r="O49" i="2"/>
  <c r="O44" i="2"/>
  <c r="G43" i="6"/>
  <c r="D31" i="6"/>
  <c r="D15" i="6"/>
  <c r="G48" i="6"/>
  <c r="D19" i="6"/>
  <c r="O51" i="2"/>
  <c r="O47" i="2"/>
  <c r="O40" i="2"/>
  <c r="AD62" i="2"/>
  <c r="O71" i="2"/>
  <c r="O78" i="2"/>
  <c r="B246" i="2"/>
  <c r="B172" i="2"/>
  <c r="O31" i="2"/>
  <c r="O35" i="2"/>
  <c r="O41" i="2"/>
  <c r="O42" i="2"/>
  <c r="AD67" i="2"/>
  <c r="AD61" i="2"/>
  <c r="N220" i="6"/>
  <c r="N212" i="6"/>
  <c r="N204" i="6"/>
  <c r="N225" i="6"/>
  <c r="N219" i="6"/>
  <c r="N211" i="6"/>
  <c r="N203" i="6"/>
  <c r="N218" i="6"/>
  <c r="N210" i="6"/>
  <c r="N202" i="6"/>
  <c r="N228" i="6"/>
  <c r="N224" i="6"/>
  <c r="N217" i="6"/>
  <c r="N209" i="6"/>
  <c r="N216" i="6"/>
  <c r="N208" i="6"/>
  <c r="N227" i="6"/>
  <c r="N223" i="6"/>
  <c r="N215" i="6"/>
  <c r="N207" i="6"/>
  <c r="N222" i="6"/>
  <c r="N214" i="6"/>
  <c r="N206" i="6"/>
  <c r="N221" i="6"/>
  <c r="N213" i="6"/>
  <c r="N205" i="6"/>
  <c r="N199" i="6"/>
  <c r="N191" i="6"/>
  <c r="N183" i="6"/>
  <c r="N198" i="6"/>
  <c r="N190" i="6"/>
  <c r="N182" i="6"/>
  <c r="N197" i="6"/>
  <c r="N189" i="6"/>
  <c r="N181" i="6"/>
  <c r="N196" i="6"/>
  <c r="N188" i="6"/>
  <c r="N180" i="6"/>
  <c r="N226" i="6"/>
  <c r="N193" i="6"/>
  <c r="N185" i="6"/>
  <c r="N201" i="6"/>
  <c r="N200" i="6"/>
  <c r="N194" i="6"/>
  <c r="N186" i="6"/>
  <c r="N171" i="6"/>
  <c r="N170" i="6"/>
  <c r="N134" i="6"/>
  <c r="N177" i="6"/>
  <c r="N169" i="6"/>
  <c r="N176" i="6"/>
  <c r="N137" i="6"/>
  <c r="N133" i="6"/>
  <c r="N175" i="6"/>
  <c r="N132" i="6"/>
  <c r="N195" i="6"/>
  <c r="N187" i="6"/>
  <c r="N179" i="6"/>
  <c r="N173" i="6"/>
  <c r="N130" i="6"/>
  <c r="N174" i="6"/>
  <c r="N135" i="6"/>
  <c r="N123" i="6"/>
  <c r="N115" i="6"/>
  <c r="N136" i="6"/>
  <c r="N122" i="6"/>
  <c r="N114" i="6"/>
  <c r="N129" i="6"/>
  <c r="N121" i="6"/>
  <c r="N113" i="6"/>
  <c r="N128" i="6"/>
  <c r="N120" i="6"/>
  <c r="N112" i="6"/>
  <c r="N192" i="6"/>
  <c r="N184" i="6"/>
  <c r="N131" i="6"/>
  <c r="N127" i="6"/>
  <c r="N119" i="6"/>
  <c r="N111" i="6"/>
  <c r="N125" i="6"/>
  <c r="N117" i="6"/>
  <c r="N109" i="6"/>
  <c r="N105" i="6"/>
  <c r="N97" i="6"/>
  <c r="N89" i="6"/>
  <c r="N110" i="6"/>
  <c r="N104" i="6"/>
  <c r="N96" i="6"/>
  <c r="N88" i="6"/>
  <c r="N103" i="6"/>
  <c r="N95" i="6"/>
  <c r="N102" i="6"/>
  <c r="N94" i="6"/>
  <c r="N101" i="6"/>
  <c r="N93" i="6"/>
  <c r="N124" i="6"/>
  <c r="N116" i="6"/>
  <c r="N107" i="6"/>
  <c r="N99" i="6"/>
  <c r="N91" i="6"/>
  <c r="N118" i="6"/>
  <c r="N87" i="6"/>
  <c r="N79" i="6"/>
  <c r="N86" i="6"/>
  <c r="N85" i="6"/>
  <c r="N84" i="6"/>
  <c r="N126" i="6"/>
  <c r="N106" i="6"/>
  <c r="N98" i="6"/>
  <c r="N83" i="6"/>
  <c r="N178" i="6"/>
  <c r="N81" i="6"/>
  <c r="N100" i="6"/>
  <c r="N172" i="6"/>
  <c r="N80" i="6"/>
  <c r="N90" i="6"/>
  <c r="N82" i="6"/>
  <c r="N108" i="6"/>
  <c r="N92" i="6"/>
  <c r="B32" i="2"/>
  <c r="B33" i="2" s="1"/>
  <c r="B35" i="2" s="1"/>
  <c r="O36" i="2"/>
  <c r="AD71" i="2"/>
  <c r="AD78" i="2"/>
  <c r="AD110" i="2"/>
  <c r="O28" i="2"/>
  <c r="O32" i="2"/>
  <c r="O37" i="2"/>
  <c r="O45" i="2"/>
  <c r="B57" i="2"/>
  <c r="O66" i="2"/>
  <c r="O68" i="2"/>
  <c r="O93" i="2"/>
  <c r="B192" i="2"/>
  <c r="B176" i="1" s="1"/>
  <c r="B54" i="2"/>
  <c r="B16" i="2"/>
  <c r="B22" i="1" s="1"/>
  <c r="O38" i="2"/>
  <c r="B60" i="2"/>
  <c r="O62" i="2"/>
  <c r="AD93" i="2"/>
  <c r="B176" i="2"/>
  <c r="B154" i="1" s="1"/>
  <c r="B156" i="2"/>
  <c r="D156" i="2" s="1"/>
  <c r="B155" i="2"/>
  <c r="B122" i="2"/>
  <c r="B97" i="1" s="1"/>
  <c r="B146" i="2"/>
  <c r="B126" i="1" s="1"/>
  <c r="B144" i="2"/>
  <c r="B123" i="1" s="1"/>
  <c r="B143" i="2"/>
  <c r="B122" i="1" s="1"/>
  <c r="B142" i="2"/>
  <c r="D142" i="2" s="1"/>
  <c r="B271" i="2"/>
  <c r="B270" i="2"/>
  <c r="B202" i="2"/>
  <c r="B219" i="2"/>
  <c r="B236" i="2"/>
  <c r="B194" i="1" s="1"/>
  <c r="B124" i="2"/>
  <c r="B99" i="1" s="1"/>
  <c r="O219" i="6"/>
  <c r="O211" i="6"/>
  <c r="O218" i="6"/>
  <c r="O210" i="6"/>
  <c r="O202" i="6"/>
  <c r="O217" i="6"/>
  <c r="O209" i="6"/>
  <c r="O201" i="6"/>
  <c r="O216" i="6"/>
  <c r="O208" i="6"/>
  <c r="O223" i="6"/>
  <c r="O215" i="6"/>
  <c r="O207" i="6"/>
  <c r="O222" i="6"/>
  <c r="O214" i="6"/>
  <c r="O206" i="6"/>
  <c r="O221" i="6"/>
  <c r="O213" i="6"/>
  <c r="O205" i="6"/>
  <c r="O198" i="6"/>
  <c r="O190" i="6"/>
  <c r="O182" i="6"/>
  <c r="O197" i="6"/>
  <c r="O189" i="6"/>
  <c r="O181" i="6"/>
  <c r="O196" i="6"/>
  <c r="O188" i="6"/>
  <c r="O180" i="6"/>
  <c r="O203" i="6"/>
  <c r="O195" i="6"/>
  <c r="O187" i="6"/>
  <c r="O179" i="6"/>
  <c r="O200" i="6"/>
  <c r="O192" i="6"/>
  <c r="O184" i="6"/>
  <c r="O199" i="6"/>
  <c r="O170" i="6"/>
  <c r="O177" i="6"/>
  <c r="O169" i="6"/>
  <c r="O193" i="6"/>
  <c r="O185" i="6"/>
  <c r="O176" i="6"/>
  <c r="O133" i="6"/>
  <c r="O175" i="6"/>
  <c r="O132" i="6"/>
  <c r="O178" i="6"/>
  <c r="O174" i="6"/>
  <c r="O172" i="6"/>
  <c r="O191" i="6"/>
  <c r="O183" i="6"/>
  <c r="O122" i="6"/>
  <c r="O114" i="6"/>
  <c r="O129" i="6"/>
  <c r="O121" i="6"/>
  <c r="O113" i="6"/>
  <c r="O220" i="6"/>
  <c r="O128" i="6"/>
  <c r="O120" i="6"/>
  <c r="O112" i="6"/>
  <c r="O131" i="6"/>
  <c r="O127" i="6"/>
  <c r="O119" i="6"/>
  <c r="O111" i="6"/>
  <c r="O212" i="6"/>
  <c r="O126" i="6"/>
  <c r="O118" i="6"/>
  <c r="O204" i="6"/>
  <c r="O171" i="6"/>
  <c r="O130" i="6"/>
  <c r="O124" i="6"/>
  <c r="O116" i="6"/>
  <c r="O110" i="6"/>
  <c r="O104" i="6"/>
  <c r="O96" i="6"/>
  <c r="O88" i="6"/>
  <c r="O103" i="6"/>
  <c r="O95" i="6"/>
  <c r="O173" i="6"/>
  <c r="O102" i="6"/>
  <c r="O94" i="6"/>
  <c r="O186" i="6"/>
  <c r="O109" i="6"/>
  <c r="O101" i="6"/>
  <c r="O93" i="6"/>
  <c r="O108" i="6"/>
  <c r="O100" i="6"/>
  <c r="O92" i="6"/>
  <c r="O125" i="6"/>
  <c r="O117" i="6"/>
  <c r="O106" i="6"/>
  <c r="O98" i="6"/>
  <c r="O90" i="6"/>
  <c r="O115" i="6"/>
  <c r="O86" i="6"/>
  <c r="O85" i="6"/>
  <c r="O84" i="6"/>
  <c r="O105" i="6"/>
  <c r="O97" i="6"/>
  <c r="O83" i="6"/>
  <c r="O194" i="6"/>
  <c r="O123" i="6"/>
  <c r="O107" i="6"/>
  <c r="O99" i="6"/>
  <c r="O91" i="6"/>
  <c r="O82" i="6"/>
  <c r="O80" i="6"/>
  <c r="B210" i="2"/>
  <c r="U221" i="6"/>
  <c r="U213" i="6"/>
  <c r="U205" i="6"/>
  <c r="U220" i="6"/>
  <c r="U212" i="6"/>
  <c r="U204" i="6"/>
  <c r="U219" i="6"/>
  <c r="U211" i="6"/>
  <c r="U203" i="6"/>
  <c r="U218" i="6"/>
  <c r="U210" i="6"/>
  <c r="U202" i="6"/>
  <c r="U217" i="6"/>
  <c r="U209" i="6"/>
  <c r="U216" i="6"/>
  <c r="U208" i="6"/>
  <c r="U223" i="6"/>
  <c r="U215" i="6"/>
  <c r="U207" i="6"/>
  <c r="U200" i="6"/>
  <c r="U192" i="6"/>
  <c r="U184" i="6"/>
  <c r="U199" i="6"/>
  <c r="U191" i="6"/>
  <c r="U183" i="6"/>
  <c r="U198" i="6"/>
  <c r="U190" i="6"/>
  <c r="U182" i="6"/>
  <c r="U222" i="6"/>
  <c r="U214" i="6"/>
  <c r="U206" i="6"/>
  <c r="U201" i="6"/>
  <c r="U197" i="6"/>
  <c r="U189" i="6"/>
  <c r="U181" i="6"/>
  <c r="U194" i="6"/>
  <c r="U186" i="6"/>
  <c r="U193" i="6"/>
  <c r="U185" i="6"/>
  <c r="U172" i="6"/>
  <c r="U196" i="6"/>
  <c r="U188" i="6"/>
  <c r="U180" i="6"/>
  <c r="U178" i="6"/>
  <c r="U171" i="6"/>
  <c r="U170" i="6"/>
  <c r="U177" i="6"/>
  <c r="U169" i="6"/>
  <c r="U195" i="6"/>
  <c r="U187" i="6"/>
  <c r="U179" i="6"/>
  <c r="U176" i="6"/>
  <c r="U174" i="6"/>
  <c r="U175" i="6"/>
  <c r="U173" i="6"/>
  <c r="U133" i="6"/>
  <c r="U131" i="6"/>
  <c r="U124" i="6"/>
  <c r="U116" i="6"/>
  <c r="U108" i="6"/>
  <c r="U123" i="6"/>
  <c r="U115" i="6"/>
  <c r="U132" i="6"/>
  <c r="U122" i="6"/>
  <c r="U114" i="6"/>
  <c r="U129" i="6"/>
  <c r="U121" i="6"/>
  <c r="U113" i="6"/>
  <c r="U130" i="6"/>
  <c r="U128" i="6"/>
  <c r="U120" i="6"/>
  <c r="U112" i="6"/>
  <c r="U126" i="6"/>
  <c r="U118" i="6"/>
  <c r="U110" i="6"/>
  <c r="U106" i="6"/>
  <c r="U98" i="6"/>
  <c r="U90" i="6"/>
  <c r="U109" i="6"/>
  <c r="U105" i="6"/>
  <c r="U97" i="6"/>
  <c r="U89" i="6"/>
  <c r="U104" i="6"/>
  <c r="U96" i="6"/>
  <c r="U88" i="6"/>
  <c r="U103" i="6"/>
  <c r="U95" i="6"/>
  <c r="U102" i="6"/>
  <c r="U94" i="6"/>
  <c r="U100" i="6"/>
  <c r="U92" i="6"/>
  <c r="U80" i="6"/>
  <c r="U127" i="6"/>
  <c r="U111" i="6"/>
  <c r="U87" i="6"/>
  <c r="U79" i="6"/>
  <c r="U117" i="6"/>
  <c r="U86" i="6"/>
  <c r="U107" i="6"/>
  <c r="U99" i="6"/>
  <c r="U91" i="6"/>
  <c r="U85" i="6"/>
  <c r="U84" i="6"/>
  <c r="U125" i="6"/>
  <c r="U82" i="6"/>
  <c r="O224" i="6"/>
  <c r="U224" i="6"/>
  <c r="U83" i="6"/>
  <c r="U119" i="6"/>
  <c r="B175" i="2"/>
  <c r="B197" i="2"/>
  <c r="B178" i="1" s="1"/>
  <c r="O81" i="6"/>
  <c r="U93" i="6"/>
  <c r="B253" i="2"/>
  <c r="O79" i="6"/>
  <c r="U81" i="6"/>
  <c r="O87" i="6"/>
  <c r="B254" i="2"/>
  <c r="AK15" i="2" l="1"/>
  <c r="O134" i="6"/>
  <c r="P134" i="6" s="1"/>
  <c r="B135" i="1"/>
  <c r="D155" i="2"/>
  <c r="B136" i="1"/>
  <c r="U136" i="6"/>
  <c r="W136" i="6" s="1"/>
  <c r="B40" i="2"/>
  <c r="B42" i="2" s="1"/>
  <c r="B37" i="1" s="1"/>
  <c r="B166" i="1"/>
  <c r="B220" i="2"/>
  <c r="X23" i="2"/>
  <c r="Z23" i="2" s="1"/>
  <c r="AA23" i="2" s="1"/>
  <c r="U15" i="2"/>
  <c r="B152" i="1"/>
  <c r="Y27" i="2"/>
  <c r="Q27" i="2"/>
  <c r="P23" i="2"/>
  <c r="R23" i="2" s="1"/>
  <c r="S23" i="2" s="1"/>
  <c r="AG23" i="2"/>
  <c r="AG27" i="2"/>
  <c r="Y23" i="2"/>
  <c r="AF27" i="2"/>
  <c r="AH27" i="2" s="1"/>
  <c r="AI27" i="2" s="1"/>
  <c r="Q23" i="2"/>
  <c r="X27" i="2"/>
  <c r="Z27" i="2" s="1"/>
  <c r="AA27" i="2" s="1"/>
  <c r="P27" i="2"/>
  <c r="R27" i="2" s="1"/>
  <c r="S27" i="2" s="1"/>
  <c r="AF23" i="2"/>
  <c r="AH23" i="2" s="1"/>
  <c r="AI23" i="2" s="1"/>
  <c r="P15" i="2"/>
  <c r="R15" i="2" s="1"/>
  <c r="S15" i="2" s="1"/>
  <c r="AB18" i="2"/>
  <c r="AD18" i="2" s="1"/>
  <c r="AE18" i="2" s="1"/>
  <c r="AK18" i="2"/>
  <c r="AC18" i="2"/>
  <c r="U53" i="2"/>
  <c r="AC53" i="2"/>
  <c r="U27" i="2"/>
  <c r="AB27" i="2"/>
  <c r="AD27" i="2" s="1"/>
  <c r="AE27" i="2" s="1"/>
  <c r="T27" i="2"/>
  <c r="V27" i="2" s="1"/>
  <c r="W27" i="2" s="1"/>
  <c r="AF18" i="2"/>
  <c r="AH18" i="2" s="1"/>
  <c r="AI18" i="2" s="1"/>
  <c r="AF6" i="2"/>
  <c r="X6" i="2"/>
  <c r="Z6" i="2" s="1"/>
  <c r="P6" i="2"/>
  <c r="R6" i="2" s="1"/>
  <c r="Y17" i="2"/>
  <c r="Q17" i="2"/>
  <c r="T6" i="2"/>
  <c r="AB20" i="2"/>
  <c r="AD20" i="2" s="1"/>
  <c r="AE20" i="2" s="1"/>
  <c r="AC20" i="2"/>
  <c r="AJ17" i="2"/>
  <c r="AL17" i="2" s="1"/>
  <c r="AC17" i="2"/>
  <c r="U17" i="2"/>
  <c r="AJ20" i="2"/>
  <c r="AL20" i="2" s="1"/>
  <c r="AM20" i="2" s="1"/>
  <c r="P20" i="2"/>
  <c r="R20" i="2" s="1"/>
  <c r="S20" i="2" s="1"/>
  <c r="AF20" i="2"/>
  <c r="AH20" i="2" s="1"/>
  <c r="AI20" i="2" s="1"/>
  <c r="AB6" i="2"/>
  <c r="T26" i="2"/>
  <c r="V26" i="2" s="1"/>
  <c r="W26" i="2" s="1"/>
  <c r="Y20" i="2"/>
  <c r="Y6" i="2"/>
  <c r="AG20" i="2"/>
  <c r="U6" i="2"/>
  <c r="T20" i="2"/>
  <c r="V20" i="2" s="1"/>
  <c r="W20" i="2" s="1"/>
  <c r="AK6" i="2"/>
  <c r="AG26" i="2"/>
  <c r="Y26" i="2"/>
  <c r="Q26" i="2"/>
  <c r="AF26" i="2"/>
  <c r="AH26" i="2" s="1"/>
  <c r="AI26" i="2" s="1"/>
  <c r="AB26" i="2"/>
  <c r="AD26" i="2" s="1"/>
  <c r="AE26" i="2" s="1"/>
  <c r="P26" i="2"/>
  <c r="R26" i="2" s="1"/>
  <c r="S26" i="2" s="1"/>
  <c r="X26" i="2"/>
  <c r="Z26" i="2" s="1"/>
  <c r="AA26" i="2" s="1"/>
  <c r="P29" i="2"/>
  <c r="R29" i="2" s="1"/>
  <c r="S29" i="2" s="1"/>
  <c r="Q29" i="2"/>
  <c r="Y29" i="2"/>
  <c r="AB29" i="2"/>
  <c r="AD29" i="2" s="1"/>
  <c r="AE29" i="2" s="1"/>
  <c r="U29" i="2"/>
  <c r="AJ29" i="2"/>
  <c r="AL29" i="2" s="1"/>
  <c r="AM29" i="2" s="1"/>
  <c r="X20" i="2"/>
  <c r="Z20" i="2" s="1"/>
  <c r="AA20" i="2" s="1"/>
  <c r="U20" i="2"/>
  <c r="AK29" i="2"/>
  <c r="Q6" i="2"/>
  <c r="AG6" i="2"/>
  <c r="Q20" i="2"/>
  <c r="AJ6" i="2"/>
  <c r="AL6" i="2" s="1"/>
  <c r="AF29" i="2"/>
  <c r="AH29" i="2" s="1"/>
  <c r="AI29" i="2" s="1"/>
  <c r="AC26" i="2"/>
  <c r="AJ53" i="2"/>
  <c r="AL53" i="2" s="1"/>
  <c r="AM53" i="2" s="1"/>
  <c r="AK53" i="2"/>
  <c r="Y53" i="2"/>
  <c r="P53" i="2"/>
  <c r="R53" i="2" s="1"/>
  <c r="S53" i="2" s="1"/>
  <c r="AG53" i="2"/>
  <c r="X53" i="2"/>
  <c r="Z53" i="2" s="1"/>
  <c r="AA53" i="2" s="1"/>
  <c r="Q53" i="2"/>
  <c r="AF53" i="2"/>
  <c r="AH53" i="2" s="1"/>
  <c r="AI53" i="2" s="1"/>
  <c r="AB53" i="2"/>
  <c r="AD53" i="2" s="1"/>
  <c r="AE53" i="2" s="1"/>
  <c r="X15" i="2"/>
  <c r="Z15" i="2" s="1"/>
  <c r="AG17" i="2"/>
  <c r="AC15" i="2"/>
  <c r="AK17" i="2"/>
  <c r="U18" i="2"/>
  <c r="AG15" i="2"/>
  <c r="AG14" i="2"/>
  <c r="AF17" i="2"/>
  <c r="AH17" i="2" s="1"/>
  <c r="AI17" i="2" s="1"/>
  <c r="AF14" i="2"/>
  <c r="AK14" i="2"/>
  <c r="T15" i="2"/>
  <c r="V15" i="2" s="1"/>
  <c r="AB17" i="2"/>
  <c r="AD17" i="2" s="1"/>
  <c r="AE17" i="2" s="1"/>
  <c r="X18" i="2"/>
  <c r="Z18" i="2" s="1"/>
  <c r="AA18" i="2" s="1"/>
  <c r="Y14" i="2"/>
  <c r="X17" i="2"/>
  <c r="Z17" i="2" s="1"/>
  <c r="X14" i="2"/>
  <c r="Z14" i="2" s="1"/>
  <c r="AC14" i="2"/>
  <c r="AB15" i="2"/>
  <c r="AD15" i="2" s="1"/>
  <c r="AE15" i="2" s="1"/>
  <c r="P18" i="2"/>
  <c r="R18" i="2" s="1"/>
  <c r="S18" i="2" s="1"/>
  <c r="Q14" i="2"/>
  <c r="P17" i="2"/>
  <c r="R17" i="2" s="1"/>
  <c r="S17" i="2" s="1"/>
  <c r="P14" i="2"/>
  <c r="R14" i="2" s="1"/>
  <c r="S14" i="2" s="1"/>
  <c r="U14" i="2"/>
  <c r="AJ15" i="2"/>
  <c r="AL15" i="2" s="1"/>
  <c r="Q18" i="2"/>
  <c r="AF15" i="2"/>
  <c r="U21" i="2"/>
  <c r="B186" i="1"/>
  <c r="AB8" i="2"/>
  <c r="AD8" i="2" s="1"/>
  <c r="Y15" i="2"/>
  <c r="B48" i="1"/>
  <c r="B81" i="2"/>
  <c r="B50" i="1" s="1"/>
  <c r="T18" i="2"/>
  <c r="V18" i="2" s="1"/>
  <c r="W18" i="2" s="1"/>
  <c r="AG18" i="2"/>
  <c r="B187" i="1"/>
  <c r="AJ14" i="2"/>
  <c r="AL14" i="2" s="1"/>
  <c r="AB14" i="2"/>
  <c r="AD14" i="2" s="1"/>
  <c r="AE14" i="2" s="1"/>
  <c r="AC27" i="2"/>
  <c r="U135" i="6"/>
  <c r="W135" i="6" s="1"/>
  <c r="O135" i="6"/>
  <c r="Q135" i="6" s="1"/>
  <c r="D113" i="6"/>
  <c r="G113" i="6" s="1"/>
  <c r="H113" i="6" s="1"/>
  <c r="D129" i="6"/>
  <c r="J129" i="6" s="1"/>
  <c r="L129" i="6" s="1"/>
  <c r="D110" i="6"/>
  <c r="G110" i="6" s="1"/>
  <c r="D101" i="6"/>
  <c r="G101" i="6" s="1"/>
  <c r="I101" i="6" s="1"/>
  <c r="D96" i="6"/>
  <c r="G96" i="6" s="1"/>
  <c r="H96" i="6" s="1"/>
  <c r="AJ23" i="2"/>
  <c r="AL23" i="2" s="1"/>
  <c r="AM23" i="2" s="1"/>
  <c r="AK27" i="2"/>
  <c r="AB23" i="2"/>
  <c r="AD23" i="2" s="1"/>
  <c r="AE23" i="2" s="1"/>
  <c r="T23" i="2"/>
  <c r="V23" i="2" s="1"/>
  <c r="W23" i="2" s="1"/>
  <c r="AC23" i="2"/>
  <c r="AK23" i="2"/>
  <c r="D82" i="6"/>
  <c r="J82" i="6" s="1"/>
  <c r="D133" i="6"/>
  <c r="J133" i="6" s="1"/>
  <c r="L133" i="6" s="1"/>
  <c r="D121" i="6"/>
  <c r="J121" i="6" s="1"/>
  <c r="D84" i="6"/>
  <c r="G84" i="6" s="1"/>
  <c r="I84" i="6" s="1"/>
  <c r="D104" i="6"/>
  <c r="J104" i="6" s="1"/>
  <c r="K104" i="6" s="1"/>
  <c r="D123" i="6"/>
  <c r="G123" i="6" s="1"/>
  <c r="H123" i="6" s="1"/>
  <c r="D94" i="6"/>
  <c r="J94" i="6" s="1"/>
  <c r="L94" i="6" s="1"/>
  <c r="D89" i="6"/>
  <c r="J89" i="6" s="1"/>
  <c r="D116" i="6"/>
  <c r="G116" i="6" s="1"/>
  <c r="I116" i="6" s="1"/>
  <c r="D102" i="6"/>
  <c r="J102" i="6" s="1"/>
  <c r="K102" i="6" s="1"/>
  <c r="D98" i="6"/>
  <c r="J98" i="6" s="1"/>
  <c r="L98" i="6" s="1"/>
  <c r="D124" i="6"/>
  <c r="J124" i="6" s="1"/>
  <c r="L124" i="6" s="1"/>
  <c r="D80" i="6"/>
  <c r="J80" i="6" s="1"/>
  <c r="L80" i="6" s="1"/>
  <c r="D106" i="6"/>
  <c r="J106" i="6" s="1"/>
  <c r="L106" i="6" s="1"/>
  <c r="D134" i="6"/>
  <c r="J134" i="6" s="1"/>
  <c r="L134" i="6" s="1"/>
  <c r="AK7" i="2"/>
  <c r="AJ7" i="2"/>
  <c r="D93" i="6"/>
  <c r="J93" i="6" s="1"/>
  <c r="L93" i="6" s="1"/>
  <c r="D91" i="6"/>
  <c r="G91" i="6" s="1"/>
  <c r="H91" i="6" s="1"/>
  <c r="U7" i="2"/>
  <c r="AC7" i="2"/>
  <c r="D83" i="6"/>
  <c r="E83" i="6" s="1"/>
  <c r="D88" i="6"/>
  <c r="G88" i="6" s="1"/>
  <c r="H88" i="6" s="1"/>
  <c r="D95" i="6"/>
  <c r="J95" i="6" s="1"/>
  <c r="L95" i="6" s="1"/>
  <c r="D97" i="6"/>
  <c r="G97" i="6" s="1"/>
  <c r="H97" i="6" s="1"/>
  <c r="D99" i="6"/>
  <c r="J99" i="6" s="1"/>
  <c r="K99" i="6" s="1"/>
  <c r="D136" i="6"/>
  <c r="J136" i="6" s="1"/>
  <c r="K136" i="6" s="1"/>
  <c r="D109" i="6"/>
  <c r="G109" i="6" s="1"/>
  <c r="H109" i="6" s="1"/>
  <c r="AB7" i="2"/>
  <c r="V101" i="6"/>
  <c r="B194" i="2"/>
  <c r="B195" i="2" s="1"/>
  <c r="B137" i="6" s="1"/>
  <c r="C137" i="6" s="1"/>
  <c r="D85" i="6"/>
  <c r="F85" i="6" s="1"/>
  <c r="D81" i="6"/>
  <c r="G81" i="6" s="1"/>
  <c r="I81" i="6" s="1"/>
  <c r="D103" i="6"/>
  <c r="G103" i="6" s="1"/>
  <c r="H103" i="6" s="1"/>
  <c r="D105" i="6"/>
  <c r="J105" i="6" s="1"/>
  <c r="L105" i="6" s="1"/>
  <c r="D107" i="6"/>
  <c r="J107" i="6" s="1"/>
  <c r="L107" i="6" s="1"/>
  <c r="D114" i="6"/>
  <c r="G114" i="6" s="1"/>
  <c r="I114" i="6" s="1"/>
  <c r="D117" i="6"/>
  <c r="F117" i="6" s="1"/>
  <c r="T7" i="2"/>
  <c r="V7" i="2" s="1"/>
  <c r="X7" i="2"/>
  <c r="Z7" i="2" s="1"/>
  <c r="D86" i="6"/>
  <c r="G86" i="6" s="1"/>
  <c r="I86" i="6" s="1"/>
  <c r="D92" i="6"/>
  <c r="G92" i="6" s="1"/>
  <c r="H92" i="6" s="1"/>
  <c r="D112" i="6"/>
  <c r="G112" i="6" s="1"/>
  <c r="I112" i="6" s="1"/>
  <c r="D118" i="6"/>
  <c r="G118" i="6" s="1"/>
  <c r="I118" i="6" s="1"/>
  <c r="D111" i="6"/>
  <c r="G111" i="6" s="1"/>
  <c r="H111" i="6" s="1"/>
  <c r="D122" i="6"/>
  <c r="J122" i="6" s="1"/>
  <c r="L122" i="6" s="1"/>
  <c r="D125" i="6"/>
  <c r="J125" i="6" s="1"/>
  <c r="L125" i="6" s="1"/>
  <c r="B222" i="2"/>
  <c r="D79" i="6"/>
  <c r="J79" i="6" s="1"/>
  <c r="K79" i="6" s="1"/>
  <c r="D100" i="6"/>
  <c r="J100" i="6" s="1"/>
  <c r="K100" i="6" s="1"/>
  <c r="D120" i="6"/>
  <c r="J120" i="6" s="1"/>
  <c r="K120" i="6" s="1"/>
  <c r="D126" i="6"/>
  <c r="J126" i="6" s="1"/>
  <c r="K126" i="6" s="1"/>
  <c r="D119" i="6"/>
  <c r="J119" i="6" s="1"/>
  <c r="L119" i="6" s="1"/>
  <c r="D130" i="6"/>
  <c r="E130" i="6" s="1"/>
  <c r="D131" i="6"/>
  <c r="J131" i="6" s="1"/>
  <c r="K131" i="6" s="1"/>
  <c r="D87" i="6"/>
  <c r="F87" i="6" s="1"/>
  <c r="D108" i="6"/>
  <c r="G108" i="6" s="1"/>
  <c r="D128" i="6"/>
  <c r="G128" i="6" s="1"/>
  <c r="I128" i="6" s="1"/>
  <c r="D90" i="6"/>
  <c r="G90" i="6" s="1"/>
  <c r="D127" i="6"/>
  <c r="G127" i="6" s="1"/>
  <c r="H127" i="6" s="1"/>
  <c r="D115" i="6"/>
  <c r="J115" i="6" s="1"/>
  <c r="L115" i="6" s="1"/>
  <c r="D132" i="6"/>
  <c r="J132" i="6" s="1"/>
  <c r="L132" i="6" s="1"/>
  <c r="Y13" i="2"/>
  <c r="Q13" i="2"/>
  <c r="AF30" i="2"/>
  <c r="AH30" i="2" s="1"/>
  <c r="AI30" i="2" s="1"/>
  <c r="X29" i="2"/>
  <c r="Z29" i="2" s="1"/>
  <c r="AA29" i="2" s="1"/>
  <c r="AC29" i="2"/>
  <c r="AF7" i="2"/>
  <c r="AG7" i="2"/>
  <c r="Y16" i="2"/>
  <c r="Y7" i="2"/>
  <c r="AG16" i="2"/>
  <c r="U13" i="2"/>
  <c r="X13" i="2"/>
  <c r="Q7" i="2"/>
  <c r="AJ18" i="2"/>
  <c r="AL18" i="2" s="1"/>
  <c r="AM18" i="2" s="1"/>
  <c r="T29" i="2"/>
  <c r="V29" i="2" s="1"/>
  <c r="W29" i="2" s="1"/>
  <c r="AK26" i="2"/>
  <c r="AJ26" i="2"/>
  <c r="AL26" i="2" s="1"/>
  <c r="AM26" i="2" s="1"/>
  <c r="AB13" i="2"/>
  <c r="Q55" i="2"/>
  <c r="P13" i="2"/>
  <c r="R13" i="2" s="1"/>
  <c r="AG25" i="2"/>
  <c r="T13" i="2"/>
  <c r="AG13" i="2"/>
  <c r="AF13" i="2"/>
  <c r="B160" i="1"/>
  <c r="Y9" i="2"/>
  <c r="AB43" i="2"/>
  <c r="AD43" i="2" s="1"/>
  <c r="AE43" i="2" s="1"/>
  <c r="X9" i="2"/>
  <c r="Q9" i="2"/>
  <c r="P9" i="2"/>
  <c r="R9" i="2" s="1"/>
  <c r="AF12" i="2"/>
  <c r="AH12" i="2" s="1"/>
  <c r="U43" i="2"/>
  <c r="Y12" i="2"/>
  <c r="X43" i="2"/>
  <c r="Z43" i="2" s="1"/>
  <c r="AA43" i="2" s="1"/>
  <c r="T12" i="2"/>
  <c r="V12" i="2" s="1"/>
  <c r="Q43" i="2"/>
  <c r="AC12" i="2"/>
  <c r="Y43" i="2"/>
  <c r="AK9" i="2"/>
  <c r="AK12" i="2"/>
  <c r="U9" i="2"/>
  <c r="P43" i="2"/>
  <c r="R43" i="2" s="1"/>
  <c r="S43" i="2" s="1"/>
  <c r="AG9" i="2"/>
  <c r="AF9" i="2"/>
  <c r="AK43" i="2"/>
  <c r="T9" i="2"/>
  <c r="T8" i="2"/>
  <c r="V8" i="2" s="1"/>
  <c r="Q8" i="2"/>
  <c r="AK8" i="2"/>
  <c r="X8" i="2"/>
  <c r="U8" i="2"/>
  <c r="AB21" i="2"/>
  <c r="AD21" i="2" s="1"/>
  <c r="AE21" i="2" s="1"/>
  <c r="AC8" i="2"/>
  <c r="Q12" i="2"/>
  <c r="U24" i="2"/>
  <c r="AF8" i="2"/>
  <c r="AH8" i="2" s="1"/>
  <c r="AJ8" i="2"/>
  <c r="AL8" i="2" s="1"/>
  <c r="Y21" i="2"/>
  <c r="AG8" i="2"/>
  <c r="AJ24" i="2"/>
  <c r="AL24" i="2" s="1"/>
  <c r="AM24" i="2" s="1"/>
  <c r="AG12" i="2"/>
  <c r="AF43" i="2"/>
  <c r="AH43" i="2" s="1"/>
  <c r="AI43" i="2" s="1"/>
  <c r="P8" i="2"/>
  <c r="R7" i="2"/>
  <c r="S7" i="2" s="1"/>
  <c r="AK13" i="2"/>
  <c r="AB12" i="2"/>
  <c r="AD12" i="2" s="1"/>
  <c r="AC43" i="2"/>
  <c r="AG43" i="2"/>
  <c r="AJ13" i="2"/>
  <c r="AL13" i="2" s="1"/>
  <c r="AJ9" i="2"/>
  <c r="P12" i="2"/>
  <c r="AJ12" i="2"/>
  <c r="AJ43" i="2"/>
  <c r="AL43" i="2" s="1"/>
  <c r="AM43" i="2" s="1"/>
  <c r="AB33" i="2"/>
  <c r="AD33" i="2" s="1"/>
  <c r="AE33" i="2" s="1"/>
  <c r="B240" i="2"/>
  <c r="AC9" i="2"/>
  <c r="X12" i="2"/>
  <c r="Z12" i="2" s="1"/>
  <c r="AK30" i="2"/>
  <c r="B161" i="1"/>
  <c r="AJ19" i="2"/>
  <c r="AL19" i="2" s="1"/>
  <c r="AM19" i="2" s="1"/>
  <c r="AK24" i="2"/>
  <c r="U22" i="2"/>
  <c r="T24" i="2"/>
  <c r="V24" i="2" s="1"/>
  <c r="W24" i="2" s="1"/>
  <c r="Q89" i="6"/>
  <c r="AC21" i="2"/>
  <c r="D135" i="6"/>
  <c r="J135" i="6" s="1"/>
  <c r="L135" i="6" s="1"/>
  <c r="AJ21" i="2"/>
  <c r="AL21" i="2" s="1"/>
  <c r="AM21" i="2" s="1"/>
  <c r="AC24" i="2"/>
  <c r="AB24" i="2"/>
  <c r="AD24" i="2" s="1"/>
  <c r="AE24" i="2" s="1"/>
  <c r="AG24" i="2"/>
  <c r="T21" i="2"/>
  <c r="V21" i="2" s="1"/>
  <c r="W21" i="2" s="1"/>
  <c r="AF22" i="2"/>
  <c r="AH22" i="2" s="1"/>
  <c r="AI22" i="2" s="1"/>
  <c r="Q21" i="2"/>
  <c r="AB22" i="2"/>
  <c r="AD22" i="2" s="1"/>
  <c r="AE22" i="2" s="1"/>
  <c r="X22" i="2"/>
  <c r="Z22" i="2" s="1"/>
  <c r="AA22" i="2" s="1"/>
  <c r="Q24" i="2"/>
  <c r="AG22" i="2"/>
  <c r="P22" i="2"/>
  <c r="R22" i="2" s="1"/>
  <c r="S22" i="2" s="1"/>
  <c r="X21" i="2"/>
  <c r="Z21" i="2" s="1"/>
  <c r="AA21" i="2" s="1"/>
  <c r="AF21" i="2"/>
  <c r="AH21" i="2" s="1"/>
  <c r="AI21" i="2" s="1"/>
  <c r="X24" i="2"/>
  <c r="Z24" i="2" s="1"/>
  <c r="AA24" i="2" s="1"/>
  <c r="Y22" i="2"/>
  <c r="AE9" i="2"/>
  <c r="P21" i="2"/>
  <c r="R21" i="2" s="1"/>
  <c r="S21" i="2" s="1"/>
  <c r="AK22" i="2"/>
  <c r="AJ22" i="2"/>
  <c r="AL22" i="2" s="1"/>
  <c r="AM22" i="2" s="1"/>
  <c r="AF24" i="2"/>
  <c r="AH24" i="2" s="1"/>
  <c r="AI24" i="2" s="1"/>
  <c r="P24" i="2"/>
  <c r="R24" i="2" s="1"/>
  <c r="S24" i="2" s="1"/>
  <c r="Q22" i="2"/>
  <c r="AC22" i="2"/>
  <c r="AG21" i="2"/>
  <c r="X11" i="2"/>
  <c r="Z11" i="2" s="1"/>
  <c r="AB19" i="2"/>
  <c r="AD19" i="2" s="1"/>
  <c r="AE19" i="2" s="1"/>
  <c r="P11" i="2"/>
  <c r="R11" i="2" s="1"/>
  <c r="T19" i="2"/>
  <c r="V19" i="2" s="1"/>
  <c r="W19" i="2" s="1"/>
  <c r="AK19" i="2"/>
  <c r="AC19" i="2"/>
  <c r="AF10" i="2"/>
  <c r="AH10" i="2" s="1"/>
  <c r="AK11" i="2"/>
  <c r="AG10" i="2"/>
  <c r="U19" i="2"/>
  <c r="X10" i="2"/>
  <c r="AC11" i="2"/>
  <c r="Y10" i="2"/>
  <c r="P10" i="2"/>
  <c r="U11" i="2"/>
  <c r="Q10" i="2"/>
  <c r="V14" i="2"/>
  <c r="W14" i="2" s="1"/>
  <c r="T25" i="2"/>
  <c r="V25" i="2" s="1"/>
  <c r="W25" i="2" s="1"/>
  <c r="T16" i="2"/>
  <c r="T11" i="2"/>
  <c r="AF19" i="2"/>
  <c r="AH19" i="2" s="1"/>
  <c r="AI19" i="2" s="1"/>
  <c r="AB25" i="2"/>
  <c r="AD25" i="2" s="1"/>
  <c r="AE25" i="2" s="1"/>
  <c r="X19" i="2"/>
  <c r="Z19" i="2" s="1"/>
  <c r="AA19" i="2" s="1"/>
  <c r="AK10" i="2"/>
  <c r="AB16" i="2"/>
  <c r="AD16" i="2" s="1"/>
  <c r="AE16" i="2" s="1"/>
  <c r="AB11" i="2"/>
  <c r="P25" i="2"/>
  <c r="R25" i="2" s="1"/>
  <c r="S25" i="2" s="1"/>
  <c r="AJ25" i="2"/>
  <c r="AL25" i="2" s="1"/>
  <c r="AM25" i="2" s="1"/>
  <c r="Q11" i="2"/>
  <c r="AG19" i="2"/>
  <c r="AJ10" i="2"/>
  <c r="AL10" i="2" s="1"/>
  <c r="P16" i="2"/>
  <c r="R16" i="2" s="1"/>
  <c r="S16" i="2" s="1"/>
  <c r="AJ16" i="2"/>
  <c r="U10" i="2"/>
  <c r="AJ11" i="2"/>
  <c r="AL11" i="2" s="1"/>
  <c r="X25" i="2"/>
  <c r="Z25" i="2" s="1"/>
  <c r="AA25" i="2" s="1"/>
  <c r="U25" i="2"/>
  <c r="AG11" i="2"/>
  <c r="Y19" i="2"/>
  <c r="AB10" i="2"/>
  <c r="AD10" i="2" s="1"/>
  <c r="B28" i="2"/>
  <c r="D219" i="6" s="1"/>
  <c r="F219" i="6" s="1"/>
  <c r="X16" i="2"/>
  <c r="U16" i="2"/>
  <c r="AC10" i="2"/>
  <c r="AF25" i="2"/>
  <c r="AH25" i="2" s="1"/>
  <c r="AI25" i="2" s="1"/>
  <c r="AC25" i="2"/>
  <c r="AF11" i="2"/>
  <c r="AH11" i="2" s="1"/>
  <c r="P19" i="2"/>
  <c r="R19" i="2" s="1"/>
  <c r="S19" i="2" s="1"/>
  <c r="B73" i="2"/>
  <c r="B29" i="2"/>
  <c r="AF16" i="2"/>
  <c r="AC16" i="2"/>
  <c r="Q25" i="2"/>
  <c r="AK25" i="2"/>
  <c r="Q16" i="2"/>
  <c r="AG33" i="2"/>
  <c r="Y55" i="2"/>
  <c r="X30" i="2"/>
  <c r="Z30" i="2" s="1"/>
  <c r="AA30" i="2" s="1"/>
  <c r="AC30" i="2"/>
  <c r="AG30" i="2"/>
  <c r="AG55" i="2"/>
  <c r="P30" i="2"/>
  <c r="R30" i="2" s="1"/>
  <c r="S30" i="2" s="1"/>
  <c r="AB30" i="2"/>
  <c r="AD30" i="2" s="1"/>
  <c r="AE30" i="2" s="1"/>
  <c r="Y30" i="2"/>
  <c r="X55" i="2"/>
  <c r="Z55" i="2" s="1"/>
  <c r="AA55" i="2" s="1"/>
  <c r="T55" i="2"/>
  <c r="V55" i="2" s="1"/>
  <c r="W55" i="2" s="1"/>
  <c r="T30" i="2"/>
  <c r="V30" i="2" s="1"/>
  <c r="W30" i="2" s="1"/>
  <c r="Q30" i="2"/>
  <c r="R55" i="2"/>
  <c r="S55" i="2" s="1"/>
  <c r="AB55" i="2"/>
  <c r="AD55" i="2" s="1"/>
  <c r="AE55" i="2" s="1"/>
  <c r="AC55" i="2"/>
  <c r="AJ55" i="2"/>
  <c r="AL55" i="2" s="1"/>
  <c r="AM55" i="2" s="1"/>
  <c r="U55" i="2"/>
  <c r="AK55" i="2"/>
  <c r="AF55" i="2"/>
  <c r="AH55" i="2" s="1"/>
  <c r="AI55" i="2" s="1"/>
  <c r="U30" i="2"/>
  <c r="T33" i="2"/>
  <c r="V33" i="2" s="1"/>
  <c r="W33" i="2" s="1"/>
  <c r="P33" i="2"/>
  <c r="R33" i="2" s="1"/>
  <c r="S33" i="2" s="1"/>
  <c r="AJ33" i="2"/>
  <c r="AL33" i="2" s="1"/>
  <c r="AM33" i="2" s="1"/>
  <c r="X33" i="2"/>
  <c r="Z33" i="2" s="1"/>
  <c r="AA33" i="2" s="1"/>
  <c r="U33" i="2"/>
  <c r="AF33" i="2"/>
  <c r="AH33" i="2" s="1"/>
  <c r="AI33" i="2" s="1"/>
  <c r="AC33" i="2"/>
  <c r="Q33" i="2"/>
  <c r="AK33" i="2"/>
  <c r="B261" i="2"/>
  <c r="B263" i="2" s="1"/>
  <c r="W10" i="2"/>
  <c r="W116" i="6"/>
  <c r="V116" i="6"/>
  <c r="Q91" i="6"/>
  <c r="P91" i="6"/>
  <c r="Q193" i="6"/>
  <c r="P193" i="6"/>
  <c r="W114" i="6"/>
  <c r="V114" i="6"/>
  <c r="W207" i="6"/>
  <c r="V207" i="6"/>
  <c r="Q173" i="6"/>
  <c r="P173" i="6"/>
  <c r="Q195" i="6"/>
  <c r="P195" i="6"/>
  <c r="J34" i="6"/>
  <c r="E34" i="6"/>
  <c r="F34" i="6"/>
  <c r="F12" i="6"/>
  <c r="E12" i="6"/>
  <c r="J12" i="6"/>
  <c r="I41" i="6"/>
  <c r="H41" i="6"/>
  <c r="V110" i="6"/>
  <c r="W110" i="6"/>
  <c r="W192" i="6"/>
  <c r="V192" i="6"/>
  <c r="Q212" i="6"/>
  <c r="P212" i="6"/>
  <c r="V117" i="6"/>
  <c r="W117" i="6"/>
  <c r="W131" i="6"/>
  <c r="V131" i="6"/>
  <c r="W205" i="6"/>
  <c r="V205" i="6"/>
  <c r="Q119" i="6"/>
  <c r="P119" i="6"/>
  <c r="Q222" i="6"/>
  <c r="P222" i="6"/>
  <c r="AK45" i="2"/>
  <c r="P45" i="2"/>
  <c r="R45" i="2" s="1"/>
  <c r="S45" i="2" s="1"/>
  <c r="AB45" i="2"/>
  <c r="AD45" i="2" s="1"/>
  <c r="AE45" i="2" s="1"/>
  <c r="AJ45" i="2"/>
  <c r="AL45" i="2" s="1"/>
  <c r="AM45" i="2" s="1"/>
  <c r="Y45" i="2"/>
  <c r="X45" i="2"/>
  <c r="Z45" i="2" s="1"/>
  <c r="AA45" i="2" s="1"/>
  <c r="AG45" i="2"/>
  <c r="Q45" i="2"/>
  <c r="AF45" i="2"/>
  <c r="AH45" i="2" s="1"/>
  <c r="AI45" i="2" s="1"/>
  <c r="U45" i="2"/>
  <c r="T45" i="2"/>
  <c r="V45" i="2" s="1"/>
  <c r="W45" i="2" s="1"/>
  <c r="AC45" i="2"/>
  <c r="AK51" i="2"/>
  <c r="AC51" i="2"/>
  <c r="U51" i="2"/>
  <c r="AJ51" i="2"/>
  <c r="AL51" i="2" s="1"/>
  <c r="AM51" i="2" s="1"/>
  <c r="AB51" i="2"/>
  <c r="AD51" i="2" s="1"/>
  <c r="AE51" i="2" s="1"/>
  <c r="T51" i="2"/>
  <c r="V51" i="2" s="1"/>
  <c r="W51" i="2" s="1"/>
  <c r="P51" i="2"/>
  <c r="R51" i="2" s="1"/>
  <c r="S51" i="2" s="1"/>
  <c r="AG51" i="2"/>
  <c r="AF51" i="2"/>
  <c r="AH51" i="2" s="1"/>
  <c r="AI51" i="2" s="1"/>
  <c r="Q51" i="2"/>
  <c r="Y51" i="2"/>
  <c r="X51" i="2"/>
  <c r="Z51" i="2" s="1"/>
  <c r="AA51" i="2" s="1"/>
  <c r="I44" i="6"/>
  <c r="H44" i="6"/>
  <c r="E29" i="6"/>
  <c r="J29" i="6"/>
  <c r="F29" i="6"/>
  <c r="F38" i="6"/>
  <c r="E38" i="6"/>
  <c r="J38" i="6"/>
  <c r="F43" i="6"/>
  <c r="E43" i="6"/>
  <c r="J43" i="6"/>
  <c r="J48" i="6"/>
  <c r="F48" i="6"/>
  <c r="E48" i="6"/>
  <c r="AG48" i="2"/>
  <c r="Y48" i="2"/>
  <c r="Q48" i="2"/>
  <c r="AF48" i="2"/>
  <c r="AH48" i="2" s="1"/>
  <c r="AI48" i="2" s="1"/>
  <c r="X48" i="2"/>
  <c r="Z48" i="2" s="1"/>
  <c r="AA48" i="2" s="1"/>
  <c r="P48" i="2"/>
  <c r="R48" i="2" s="1"/>
  <c r="S48" i="2" s="1"/>
  <c r="AK48" i="2"/>
  <c r="AC48" i="2"/>
  <c r="U48" i="2"/>
  <c r="AB48" i="2"/>
  <c r="AD48" i="2" s="1"/>
  <c r="AE48" i="2" s="1"/>
  <c r="T48" i="2"/>
  <c r="V48" i="2" s="1"/>
  <c r="W48" i="2" s="1"/>
  <c r="AJ48" i="2"/>
  <c r="AL48" i="2" s="1"/>
  <c r="AM48" i="2" s="1"/>
  <c r="AJ52" i="2"/>
  <c r="AL52" i="2" s="1"/>
  <c r="AM52" i="2" s="1"/>
  <c r="AG52" i="2"/>
  <c r="Y52" i="2"/>
  <c r="Q52" i="2"/>
  <c r="AF52" i="2"/>
  <c r="AH52" i="2" s="1"/>
  <c r="AI52" i="2" s="1"/>
  <c r="X52" i="2"/>
  <c r="Z52" i="2" s="1"/>
  <c r="AA52" i="2" s="1"/>
  <c r="P52" i="2"/>
  <c r="R52" i="2" s="1"/>
  <c r="S52" i="2" s="1"/>
  <c r="AC52" i="2"/>
  <c r="U52" i="2"/>
  <c r="AK52" i="2"/>
  <c r="AB52" i="2"/>
  <c r="AD52" i="2" s="1"/>
  <c r="AE52" i="2" s="1"/>
  <c r="T52" i="2"/>
  <c r="V52" i="2" s="1"/>
  <c r="W52" i="2" s="1"/>
  <c r="W119" i="6"/>
  <c r="V119" i="6"/>
  <c r="V125" i="6"/>
  <c r="W125" i="6"/>
  <c r="V79" i="6"/>
  <c r="W79" i="6"/>
  <c r="W102" i="6"/>
  <c r="V102" i="6"/>
  <c r="V105" i="6"/>
  <c r="W105" i="6"/>
  <c r="W112" i="6"/>
  <c r="V112" i="6"/>
  <c r="W122" i="6"/>
  <c r="V122" i="6"/>
  <c r="W133" i="6"/>
  <c r="V133" i="6"/>
  <c r="W187" i="6"/>
  <c r="V187" i="6"/>
  <c r="W188" i="6"/>
  <c r="V188" i="6"/>
  <c r="W189" i="6"/>
  <c r="V189" i="6"/>
  <c r="W198" i="6"/>
  <c r="V198" i="6"/>
  <c r="W215" i="6"/>
  <c r="V215" i="6"/>
  <c r="W218" i="6"/>
  <c r="V218" i="6"/>
  <c r="W213" i="6"/>
  <c r="V213" i="6"/>
  <c r="P123" i="6"/>
  <c r="Q123" i="6"/>
  <c r="P115" i="6"/>
  <c r="Q115" i="6"/>
  <c r="Q108" i="6"/>
  <c r="P108" i="6"/>
  <c r="P95" i="6"/>
  <c r="Q95" i="6"/>
  <c r="Q130" i="6"/>
  <c r="P130" i="6"/>
  <c r="Q127" i="6"/>
  <c r="P127" i="6"/>
  <c r="P129" i="6"/>
  <c r="Q129" i="6"/>
  <c r="Q132" i="6"/>
  <c r="P132" i="6"/>
  <c r="Q170" i="6"/>
  <c r="P170" i="6"/>
  <c r="Q203" i="6"/>
  <c r="P203" i="6"/>
  <c r="Q190" i="6"/>
  <c r="P190" i="6"/>
  <c r="Q207" i="6"/>
  <c r="P207" i="6"/>
  <c r="Q202" i="6"/>
  <c r="P202" i="6"/>
  <c r="B226" i="6"/>
  <c r="C226" i="6" s="1"/>
  <c r="B205" i="1"/>
  <c r="AF37" i="2"/>
  <c r="AH37" i="2" s="1"/>
  <c r="AI37" i="2" s="1"/>
  <c r="X37" i="2"/>
  <c r="Z37" i="2" s="1"/>
  <c r="AA37" i="2" s="1"/>
  <c r="P37" i="2"/>
  <c r="R37" i="2" s="1"/>
  <c r="S37" i="2" s="1"/>
  <c r="AK37" i="2"/>
  <c r="AC37" i="2"/>
  <c r="U37" i="2"/>
  <c r="AJ37" i="2"/>
  <c r="AL37" i="2" s="1"/>
  <c r="AM37" i="2" s="1"/>
  <c r="AB37" i="2"/>
  <c r="AD37" i="2" s="1"/>
  <c r="AE37" i="2" s="1"/>
  <c r="T37" i="2"/>
  <c r="V37" i="2" s="1"/>
  <c r="W37" i="2" s="1"/>
  <c r="AG37" i="2"/>
  <c r="Y37" i="2"/>
  <c r="Q37" i="2"/>
  <c r="F19" i="6"/>
  <c r="E19" i="6"/>
  <c r="J19" i="6"/>
  <c r="AK54" i="2"/>
  <c r="P54" i="2"/>
  <c r="R54" i="2" s="1"/>
  <c r="S54" i="2" s="1"/>
  <c r="AJ54" i="2"/>
  <c r="AL54" i="2" s="1"/>
  <c r="AM54" i="2" s="1"/>
  <c r="Y54" i="2"/>
  <c r="X54" i="2"/>
  <c r="Z54" i="2" s="1"/>
  <c r="AA54" i="2" s="1"/>
  <c r="AG54" i="2"/>
  <c r="AC54" i="2"/>
  <c r="AF54" i="2"/>
  <c r="AH54" i="2" s="1"/>
  <c r="AI54" i="2" s="1"/>
  <c r="AB54" i="2"/>
  <c r="AD54" i="2" s="1"/>
  <c r="AE54" i="2" s="1"/>
  <c r="U54" i="2"/>
  <c r="T54" i="2"/>
  <c r="V54" i="2" s="1"/>
  <c r="W54" i="2" s="1"/>
  <c r="Q54" i="2"/>
  <c r="J8" i="6"/>
  <c r="E8" i="6"/>
  <c r="F8" i="6"/>
  <c r="I8" i="6"/>
  <c r="H8" i="6"/>
  <c r="F16" i="6"/>
  <c r="E16" i="6"/>
  <c r="J16" i="6"/>
  <c r="H47" i="6"/>
  <c r="I47" i="6"/>
  <c r="I27" i="6"/>
  <c r="H27" i="6"/>
  <c r="E33" i="6"/>
  <c r="J33" i="6"/>
  <c r="F33" i="6"/>
  <c r="J37" i="6"/>
  <c r="F37" i="6"/>
  <c r="E37" i="6"/>
  <c r="F42" i="6"/>
  <c r="E42" i="6"/>
  <c r="J42" i="6"/>
  <c r="I45" i="6"/>
  <c r="H45" i="6"/>
  <c r="F47" i="6"/>
  <c r="E47" i="6"/>
  <c r="J47" i="6"/>
  <c r="H50" i="6"/>
  <c r="I50" i="6"/>
  <c r="J52" i="6"/>
  <c r="F52" i="6"/>
  <c r="E52" i="6"/>
  <c r="AK46" i="2"/>
  <c r="AC46" i="2"/>
  <c r="U46" i="2"/>
  <c r="AJ46" i="2"/>
  <c r="AL46" i="2" s="1"/>
  <c r="AM46" i="2" s="1"/>
  <c r="AB46" i="2"/>
  <c r="AD46" i="2" s="1"/>
  <c r="AE46" i="2" s="1"/>
  <c r="T46" i="2"/>
  <c r="V46" i="2" s="1"/>
  <c r="W46" i="2" s="1"/>
  <c r="AG46" i="2"/>
  <c r="Y46" i="2"/>
  <c r="Q46" i="2"/>
  <c r="X46" i="2"/>
  <c r="Z46" i="2" s="1"/>
  <c r="AA46" i="2" s="1"/>
  <c r="AF46" i="2"/>
  <c r="AH46" i="2" s="1"/>
  <c r="AI46" i="2" s="1"/>
  <c r="P46" i="2"/>
  <c r="R46" i="2" s="1"/>
  <c r="S46" i="2" s="1"/>
  <c r="V171" i="6"/>
  <c r="W171" i="6"/>
  <c r="Q125" i="6"/>
  <c r="P125" i="6"/>
  <c r="P189" i="6"/>
  <c r="Q189" i="6"/>
  <c r="W126" i="6"/>
  <c r="V126" i="6"/>
  <c r="W190" i="6"/>
  <c r="V190" i="6"/>
  <c r="Q100" i="6"/>
  <c r="P100" i="6"/>
  <c r="Q178" i="6"/>
  <c r="P178" i="6"/>
  <c r="F9" i="6"/>
  <c r="E9" i="6"/>
  <c r="J9" i="6"/>
  <c r="I23" i="6"/>
  <c r="H23" i="6"/>
  <c r="H35" i="6"/>
  <c r="I35" i="6"/>
  <c r="H46" i="6"/>
  <c r="I46" i="6"/>
  <c r="W83" i="6"/>
  <c r="V83" i="6"/>
  <c r="W84" i="6"/>
  <c r="V84" i="6"/>
  <c r="V87" i="6"/>
  <c r="W87" i="6"/>
  <c r="W95" i="6"/>
  <c r="V95" i="6"/>
  <c r="V109" i="6"/>
  <c r="W109" i="6"/>
  <c r="W120" i="6"/>
  <c r="V120" i="6"/>
  <c r="W132" i="6"/>
  <c r="V132" i="6"/>
  <c r="W195" i="6"/>
  <c r="V195" i="6"/>
  <c r="W196" i="6"/>
  <c r="V196" i="6"/>
  <c r="W197" i="6"/>
  <c r="V197" i="6"/>
  <c r="V183" i="6"/>
  <c r="W183" i="6"/>
  <c r="W223" i="6"/>
  <c r="V223" i="6"/>
  <c r="V203" i="6"/>
  <c r="W203" i="6"/>
  <c r="W221" i="6"/>
  <c r="V221" i="6"/>
  <c r="Q194" i="6"/>
  <c r="P194" i="6"/>
  <c r="Q90" i="6"/>
  <c r="P90" i="6"/>
  <c r="Q93" i="6"/>
  <c r="P93" i="6"/>
  <c r="P103" i="6"/>
  <c r="Q103" i="6"/>
  <c r="P171" i="6"/>
  <c r="Q171" i="6"/>
  <c r="Q131" i="6"/>
  <c r="P131" i="6"/>
  <c r="Q114" i="6"/>
  <c r="P114" i="6"/>
  <c r="Q175" i="6"/>
  <c r="P175" i="6"/>
  <c r="P199" i="6"/>
  <c r="Q199" i="6"/>
  <c r="Q180" i="6"/>
  <c r="P180" i="6"/>
  <c r="Q198" i="6"/>
  <c r="P198" i="6"/>
  <c r="Q215" i="6"/>
  <c r="P215" i="6"/>
  <c r="P210" i="6"/>
  <c r="Q210" i="6"/>
  <c r="AF32" i="2"/>
  <c r="AH32" i="2" s="1"/>
  <c r="AI32" i="2" s="1"/>
  <c r="X32" i="2"/>
  <c r="Z32" i="2" s="1"/>
  <c r="AA32" i="2" s="1"/>
  <c r="P32" i="2"/>
  <c r="R32" i="2" s="1"/>
  <c r="S32" i="2" s="1"/>
  <c r="AK32" i="2"/>
  <c r="AC32" i="2"/>
  <c r="U32" i="2"/>
  <c r="AJ32" i="2"/>
  <c r="AL32" i="2" s="1"/>
  <c r="AM32" i="2" s="1"/>
  <c r="AB32" i="2"/>
  <c r="AD32" i="2" s="1"/>
  <c r="AE32" i="2" s="1"/>
  <c r="T32" i="2"/>
  <c r="V32" i="2" s="1"/>
  <c r="W32" i="2" s="1"/>
  <c r="AG32" i="2"/>
  <c r="Y32" i="2"/>
  <c r="Q32" i="2"/>
  <c r="AG36" i="2"/>
  <c r="Y36" i="2"/>
  <c r="Q36" i="2"/>
  <c r="AF36" i="2"/>
  <c r="AH36" i="2" s="1"/>
  <c r="AI36" i="2" s="1"/>
  <c r="X36" i="2"/>
  <c r="Z36" i="2" s="1"/>
  <c r="AA36" i="2" s="1"/>
  <c r="P36" i="2"/>
  <c r="R36" i="2" s="1"/>
  <c r="S36" i="2" s="1"/>
  <c r="AK36" i="2"/>
  <c r="AC36" i="2"/>
  <c r="U36" i="2"/>
  <c r="AJ36" i="2"/>
  <c r="AL36" i="2" s="1"/>
  <c r="AM36" i="2" s="1"/>
  <c r="AB36" i="2"/>
  <c r="AD36" i="2" s="1"/>
  <c r="AE36" i="2" s="1"/>
  <c r="T36" i="2"/>
  <c r="V36" i="2" s="1"/>
  <c r="W36" i="2" s="1"/>
  <c r="AF42" i="2"/>
  <c r="AH42" i="2" s="1"/>
  <c r="AI42" i="2" s="1"/>
  <c r="X42" i="2"/>
  <c r="Z42" i="2" s="1"/>
  <c r="AA42" i="2" s="1"/>
  <c r="P42" i="2"/>
  <c r="R42" i="2" s="1"/>
  <c r="S42" i="2" s="1"/>
  <c r="T42" i="2"/>
  <c r="V42" i="2" s="1"/>
  <c r="W42" i="2" s="1"/>
  <c r="AC42" i="2"/>
  <c r="AB42" i="2"/>
  <c r="AD42" i="2" s="1"/>
  <c r="AE42" i="2" s="1"/>
  <c r="Q42" i="2"/>
  <c r="AK42" i="2"/>
  <c r="AJ42" i="2"/>
  <c r="AL42" i="2" s="1"/>
  <c r="AM42" i="2" s="1"/>
  <c r="Y42" i="2"/>
  <c r="AG42" i="2"/>
  <c r="U42" i="2"/>
  <c r="I48" i="6"/>
  <c r="H48" i="6"/>
  <c r="AK50" i="2"/>
  <c r="AC50" i="2"/>
  <c r="U50" i="2"/>
  <c r="AJ50" i="2"/>
  <c r="AL50" i="2" s="1"/>
  <c r="AM50" i="2" s="1"/>
  <c r="AB50" i="2"/>
  <c r="AD50" i="2" s="1"/>
  <c r="AE50" i="2" s="1"/>
  <c r="T50" i="2"/>
  <c r="V50" i="2" s="1"/>
  <c r="W50" i="2" s="1"/>
  <c r="AG50" i="2"/>
  <c r="Y50" i="2"/>
  <c r="Q50" i="2"/>
  <c r="P50" i="2"/>
  <c r="R50" i="2" s="1"/>
  <c r="S50" i="2" s="1"/>
  <c r="X50" i="2"/>
  <c r="Z50" i="2" s="1"/>
  <c r="AA50" i="2" s="1"/>
  <c r="AF50" i="2"/>
  <c r="AH50" i="2" s="1"/>
  <c r="AI50" i="2" s="1"/>
  <c r="J10" i="6"/>
  <c r="E10" i="6"/>
  <c r="F10" i="6"/>
  <c r="I11" i="6"/>
  <c r="H11" i="6"/>
  <c r="I10" i="6"/>
  <c r="H10" i="6"/>
  <c r="F20" i="6"/>
  <c r="E20" i="6"/>
  <c r="J20" i="6"/>
  <c r="I52" i="6"/>
  <c r="H52" i="6"/>
  <c r="I31" i="6"/>
  <c r="H31" i="6"/>
  <c r="I12" i="6"/>
  <c r="H12" i="6"/>
  <c r="J41" i="6"/>
  <c r="F41" i="6"/>
  <c r="E41" i="6"/>
  <c r="F46" i="6"/>
  <c r="E46" i="6"/>
  <c r="J46" i="6"/>
  <c r="I49" i="6"/>
  <c r="H49" i="6"/>
  <c r="F51" i="6"/>
  <c r="E51" i="6"/>
  <c r="J51" i="6"/>
  <c r="H54" i="6"/>
  <c r="I54" i="6"/>
  <c r="J56" i="6"/>
  <c r="F56" i="6"/>
  <c r="E56" i="6"/>
  <c r="B147" i="2"/>
  <c r="B125" i="1" s="1"/>
  <c r="Q81" i="6"/>
  <c r="P81" i="6"/>
  <c r="W174" i="6"/>
  <c r="V174" i="6"/>
  <c r="Q84" i="6"/>
  <c r="P84" i="6"/>
  <c r="Q179" i="6"/>
  <c r="P179" i="6"/>
  <c r="V97" i="6"/>
  <c r="W97" i="6"/>
  <c r="W181" i="6"/>
  <c r="V181" i="6"/>
  <c r="Q86" i="6"/>
  <c r="P86" i="6"/>
  <c r="P177" i="6"/>
  <c r="Q177" i="6"/>
  <c r="P87" i="6"/>
  <c r="Q87" i="6"/>
  <c r="W224" i="6"/>
  <c r="V224" i="6"/>
  <c r="W111" i="6"/>
  <c r="V111" i="6"/>
  <c r="W90" i="6"/>
  <c r="V90" i="6"/>
  <c r="W169" i="6"/>
  <c r="V169" i="6"/>
  <c r="W172" i="6"/>
  <c r="V172" i="6"/>
  <c r="W201" i="6"/>
  <c r="V201" i="6"/>
  <c r="V191" i="6"/>
  <c r="W191" i="6"/>
  <c r="W208" i="6"/>
  <c r="V208" i="6"/>
  <c r="W211" i="6"/>
  <c r="V211" i="6"/>
  <c r="Q83" i="6"/>
  <c r="P83" i="6"/>
  <c r="Q98" i="6"/>
  <c r="P98" i="6"/>
  <c r="Q101" i="6"/>
  <c r="P101" i="6"/>
  <c r="Q88" i="6"/>
  <c r="P88" i="6"/>
  <c r="Q204" i="6"/>
  <c r="P204" i="6"/>
  <c r="Q112" i="6"/>
  <c r="P112" i="6"/>
  <c r="Q122" i="6"/>
  <c r="P122" i="6"/>
  <c r="Q133" i="6"/>
  <c r="P133" i="6"/>
  <c r="Q184" i="6"/>
  <c r="P184" i="6"/>
  <c r="Q188" i="6"/>
  <c r="P188" i="6"/>
  <c r="Q205" i="6"/>
  <c r="P205" i="6"/>
  <c r="Q223" i="6"/>
  <c r="P223" i="6"/>
  <c r="P218" i="6"/>
  <c r="Q218" i="6"/>
  <c r="B121" i="1"/>
  <c r="X111" i="2"/>
  <c r="Z111" i="2" s="1"/>
  <c r="AA111" i="2" s="1"/>
  <c r="P111" i="2"/>
  <c r="R111" i="2" s="1"/>
  <c r="S111" i="2" s="1"/>
  <c r="AN109" i="2"/>
  <c r="AF109" i="2"/>
  <c r="AI108" i="2"/>
  <c r="AK108" i="2" s="1"/>
  <c r="AL108" i="2" s="1"/>
  <c r="Y108" i="2"/>
  <c r="Q108" i="2"/>
  <c r="AM106" i="2"/>
  <c r="AO106" i="2" s="1"/>
  <c r="AP106" i="2" s="1"/>
  <c r="AE106" i="2"/>
  <c r="AG106" i="2" s="1"/>
  <c r="AH106" i="2" s="1"/>
  <c r="U106" i="2"/>
  <c r="AI104" i="2"/>
  <c r="AK104" i="2" s="1"/>
  <c r="AL104" i="2" s="1"/>
  <c r="Y104" i="2"/>
  <c r="Q104" i="2"/>
  <c r="AM102" i="2"/>
  <c r="AO102" i="2" s="1"/>
  <c r="AP102" i="2" s="1"/>
  <c r="AE102" i="2"/>
  <c r="AG102" i="2" s="1"/>
  <c r="AH102" i="2" s="1"/>
  <c r="U102" i="2"/>
  <c r="AI100" i="2"/>
  <c r="AK100" i="2" s="1"/>
  <c r="AL100" i="2" s="1"/>
  <c r="Y100" i="2"/>
  <c r="Q100" i="2"/>
  <c r="AM98" i="2"/>
  <c r="AO98" i="2" s="1"/>
  <c r="AP98" i="2" s="1"/>
  <c r="AE98" i="2"/>
  <c r="AG98" i="2" s="1"/>
  <c r="AH98" i="2" s="1"/>
  <c r="AJ110" i="2"/>
  <c r="AM109" i="2"/>
  <c r="AO109" i="2" s="1"/>
  <c r="AP109" i="2" s="1"/>
  <c r="AE109" i="2"/>
  <c r="AG109" i="2" s="1"/>
  <c r="AH109" i="2" s="1"/>
  <c r="U109" i="2"/>
  <c r="X108" i="2"/>
  <c r="Z108" i="2" s="1"/>
  <c r="AA108" i="2" s="1"/>
  <c r="P108" i="2"/>
  <c r="R108" i="2" s="1"/>
  <c r="S108" i="2" s="1"/>
  <c r="AJ107" i="2"/>
  <c r="T106" i="2"/>
  <c r="V106" i="2" s="1"/>
  <c r="W106" i="2" s="1"/>
  <c r="AN105" i="2"/>
  <c r="AF105" i="2"/>
  <c r="X104" i="2"/>
  <c r="Z104" i="2" s="1"/>
  <c r="AA104" i="2" s="1"/>
  <c r="P104" i="2"/>
  <c r="R104" i="2" s="1"/>
  <c r="S104" i="2" s="1"/>
  <c r="AJ103" i="2"/>
  <c r="T102" i="2"/>
  <c r="V102" i="2" s="1"/>
  <c r="W102" i="2" s="1"/>
  <c r="AN101" i="2"/>
  <c r="AF101" i="2"/>
  <c r="X100" i="2"/>
  <c r="Z100" i="2" s="1"/>
  <c r="AA100" i="2" s="1"/>
  <c r="P100" i="2"/>
  <c r="R100" i="2" s="1"/>
  <c r="S100" i="2" s="1"/>
  <c r="AJ99" i="2"/>
  <c r="T98" i="2"/>
  <c r="V98" i="2" s="1"/>
  <c r="W98" i="2" s="1"/>
  <c r="AN97" i="2"/>
  <c r="AF97" i="2"/>
  <c r="X96" i="2"/>
  <c r="Z96" i="2" s="1"/>
  <c r="AA96" i="2" s="1"/>
  <c r="P96" i="2"/>
  <c r="R96" i="2" s="1"/>
  <c r="S96" i="2" s="1"/>
  <c r="AN94" i="2"/>
  <c r="AF94" i="2"/>
  <c r="AI93" i="2"/>
  <c r="AK93" i="2" s="1"/>
  <c r="AL93" i="2" s="1"/>
  <c r="Y93" i="2"/>
  <c r="Q93" i="2"/>
  <c r="AN111" i="2"/>
  <c r="AF111" i="2"/>
  <c r="AI110" i="2"/>
  <c r="AK110" i="2" s="1"/>
  <c r="AL110" i="2" s="1"/>
  <c r="Y110" i="2"/>
  <c r="Q110" i="2"/>
  <c r="T109" i="2"/>
  <c r="V109" i="2" s="1"/>
  <c r="W109" i="2" s="1"/>
  <c r="AI107" i="2"/>
  <c r="AK107" i="2" s="1"/>
  <c r="AL107" i="2" s="1"/>
  <c r="Y107" i="2"/>
  <c r="Q107" i="2"/>
  <c r="AM105" i="2"/>
  <c r="AO105" i="2" s="1"/>
  <c r="AP105" i="2" s="1"/>
  <c r="AE105" i="2"/>
  <c r="AG105" i="2" s="1"/>
  <c r="AH105" i="2" s="1"/>
  <c r="U105" i="2"/>
  <c r="AI103" i="2"/>
  <c r="AK103" i="2" s="1"/>
  <c r="AL103" i="2" s="1"/>
  <c r="Y103" i="2"/>
  <c r="Q103" i="2"/>
  <c r="AM101" i="2"/>
  <c r="AO101" i="2" s="1"/>
  <c r="AP101" i="2" s="1"/>
  <c r="AE101" i="2"/>
  <c r="AG101" i="2" s="1"/>
  <c r="AH101" i="2" s="1"/>
  <c r="U101" i="2"/>
  <c r="AI99" i="2"/>
  <c r="AK99" i="2" s="1"/>
  <c r="AL99" i="2" s="1"/>
  <c r="Y99" i="2"/>
  <c r="Q99" i="2"/>
  <c r="AM97" i="2"/>
  <c r="AO97" i="2" s="1"/>
  <c r="AP97" i="2" s="1"/>
  <c r="AE97" i="2"/>
  <c r="AG97" i="2" s="1"/>
  <c r="AH97" i="2" s="1"/>
  <c r="U97" i="2"/>
  <c r="AJ95" i="2"/>
  <c r="AM94" i="2"/>
  <c r="AO94" i="2" s="1"/>
  <c r="AP94" i="2" s="1"/>
  <c r="AE94" i="2"/>
  <c r="AG94" i="2" s="1"/>
  <c r="AH94" i="2" s="1"/>
  <c r="U94" i="2"/>
  <c r="X93" i="2"/>
  <c r="Z93" i="2" s="1"/>
  <c r="AA93" i="2" s="1"/>
  <c r="P93" i="2"/>
  <c r="R93" i="2" s="1"/>
  <c r="S93" i="2" s="1"/>
  <c r="AN91" i="2"/>
  <c r="AF91" i="2"/>
  <c r="X90" i="2"/>
  <c r="Z90" i="2" s="1"/>
  <c r="AA90" i="2" s="1"/>
  <c r="P90" i="2"/>
  <c r="R90" i="2" s="1"/>
  <c r="S90" i="2" s="1"/>
  <c r="AJ89" i="2"/>
  <c r="AM111" i="2"/>
  <c r="AO111" i="2" s="1"/>
  <c r="AP111" i="2" s="1"/>
  <c r="AE111" i="2"/>
  <c r="AG111" i="2" s="1"/>
  <c r="AH111" i="2" s="1"/>
  <c r="U111" i="2"/>
  <c r="X110" i="2"/>
  <c r="Z110" i="2" s="1"/>
  <c r="AA110" i="2" s="1"/>
  <c r="P110" i="2"/>
  <c r="R110" i="2" s="1"/>
  <c r="S110" i="2" s="1"/>
  <c r="AN108" i="2"/>
  <c r="AF108" i="2"/>
  <c r="X107" i="2"/>
  <c r="Z107" i="2" s="1"/>
  <c r="AA107" i="2" s="1"/>
  <c r="P107" i="2"/>
  <c r="R107" i="2" s="1"/>
  <c r="S107" i="2" s="1"/>
  <c r="AJ106" i="2"/>
  <c r="T105" i="2"/>
  <c r="V105" i="2" s="1"/>
  <c r="W105" i="2" s="1"/>
  <c r="AN104" i="2"/>
  <c r="AF104" i="2"/>
  <c r="X103" i="2"/>
  <c r="Z103" i="2" s="1"/>
  <c r="AA103" i="2" s="1"/>
  <c r="P103" i="2"/>
  <c r="R103" i="2" s="1"/>
  <c r="S103" i="2" s="1"/>
  <c r="AJ102" i="2"/>
  <c r="T101" i="2"/>
  <c r="V101" i="2" s="1"/>
  <c r="W101" i="2" s="1"/>
  <c r="AN110" i="2"/>
  <c r="AF110" i="2"/>
  <c r="AI109" i="2"/>
  <c r="AK109" i="2" s="1"/>
  <c r="AL109" i="2" s="1"/>
  <c r="Y109" i="2"/>
  <c r="Q109" i="2"/>
  <c r="T108" i="2"/>
  <c r="V108" i="2" s="1"/>
  <c r="W108" i="2" s="1"/>
  <c r="AN107" i="2"/>
  <c r="AF107" i="2"/>
  <c r="X106" i="2"/>
  <c r="Z106" i="2" s="1"/>
  <c r="AA106" i="2" s="1"/>
  <c r="P106" i="2"/>
  <c r="R106" i="2" s="1"/>
  <c r="S106" i="2" s="1"/>
  <c r="AJ105" i="2"/>
  <c r="T104" i="2"/>
  <c r="V104" i="2" s="1"/>
  <c r="W104" i="2" s="1"/>
  <c r="AN103" i="2"/>
  <c r="AF103" i="2"/>
  <c r="X102" i="2"/>
  <c r="Z102" i="2" s="1"/>
  <c r="AA102" i="2" s="1"/>
  <c r="P102" i="2"/>
  <c r="R102" i="2" s="1"/>
  <c r="S102" i="2" s="1"/>
  <c r="AJ101" i="2"/>
  <c r="T100" i="2"/>
  <c r="V100" i="2" s="1"/>
  <c r="W100" i="2" s="1"/>
  <c r="AN99" i="2"/>
  <c r="AF99" i="2"/>
  <c r="X98" i="2"/>
  <c r="Z98" i="2" s="1"/>
  <c r="AA98" i="2" s="1"/>
  <c r="P98" i="2"/>
  <c r="R98" i="2" s="1"/>
  <c r="S98" i="2" s="1"/>
  <c r="AJ97" i="2"/>
  <c r="T96" i="2"/>
  <c r="V96" i="2" s="1"/>
  <c r="W96" i="2" s="1"/>
  <c r="AJ94" i="2"/>
  <c r="AM93" i="2"/>
  <c r="AO93" i="2" s="1"/>
  <c r="AP93" i="2" s="1"/>
  <c r="AE93" i="2"/>
  <c r="AG93" i="2" s="1"/>
  <c r="AH93" i="2" s="1"/>
  <c r="U93" i="2"/>
  <c r="X92" i="2"/>
  <c r="Z92" i="2" s="1"/>
  <c r="AA92" i="2" s="1"/>
  <c r="P92" i="2"/>
  <c r="R92" i="2" s="1"/>
  <c r="S92" i="2" s="1"/>
  <c r="AM90" i="2"/>
  <c r="AO90" i="2" s="1"/>
  <c r="AP90" i="2" s="1"/>
  <c r="AE90" i="2"/>
  <c r="AG90" i="2" s="1"/>
  <c r="AH90" i="2" s="1"/>
  <c r="U90" i="2"/>
  <c r="AI111" i="2"/>
  <c r="AK111" i="2" s="1"/>
  <c r="AL111" i="2" s="1"/>
  <c r="T110" i="2"/>
  <c r="V110" i="2" s="1"/>
  <c r="W110" i="2" s="1"/>
  <c r="T107" i="2"/>
  <c r="V107" i="2" s="1"/>
  <c r="W107" i="2" s="1"/>
  <c r="AJ104" i="2"/>
  <c r="AM103" i="2"/>
  <c r="AO103" i="2" s="1"/>
  <c r="AP103" i="2" s="1"/>
  <c r="Y101" i="2"/>
  <c r="AJ100" i="2"/>
  <c r="AN98" i="2"/>
  <c r="AM95" i="2"/>
  <c r="AO95" i="2" s="1"/>
  <c r="AP95" i="2" s="1"/>
  <c r="X95" i="2"/>
  <c r="Z95" i="2" s="1"/>
  <c r="AA95" i="2" s="1"/>
  <c r="Y94" i="2"/>
  <c r="AM110" i="2"/>
  <c r="AO110" i="2" s="1"/>
  <c r="AP110" i="2" s="1"/>
  <c r="X109" i="2"/>
  <c r="Z109" i="2" s="1"/>
  <c r="AA109" i="2" s="1"/>
  <c r="AJ108" i="2"/>
  <c r="AM107" i="2"/>
  <c r="AO107" i="2" s="1"/>
  <c r="AP107" i="2" s="1"/>
  <c r="Y105" i="2"/>
  <c r="AE104" i="2"/>
  <c r="AG104" i="2" s="1"/>
  <c r="AH104" i="2" s="1"/>
  <c r="Q102" i="2"/>
  <c r="X101" i="2"/>
  <c r="Z101" i="2" s="1"/>
  <c r="AA101" i="2" s="1"/>
  <c r="AF100" i="2"/>
  <c r="X99" i="2"/>
  <c r="Z99" i="2" s="1"/>
  <c r="AA99" i="2" s="1"/>
  <c r="AJ98" i="2"/>
  <c r="U98" i="2"/>
  <c r="AI97" i="2"/>
  <c r="AK97" i="2" s="1"/>
  <c r="AL97" i="2" s="1"/>
  <c r="T97" i="2"/>
  <c r="V97" i="2" s="1"/>
  <c r="W97" i="2" s="1"/>
  <c r="AJ96" i="2"/>
  <c r="U96" i="2"/>
  <c r="X94" i="2"/>
  <c r="Z94" i="2" s="1"/>
  <c r="AA94" i="2" s="1"/>
  <c r="AN93" i="2"/>
  <c r="AE92" i="2"/>
  <c r="AG92" i="2" s="1"/>
  <c r="AH92" i="2" s="1"/>
  <c r="AJ91" i="2"/>
  <c r="X91" i="2"/>
  <c r="Z91" i="2" s="1"/>
  <c r="AA91" i="2" s="1"/>
  <c r="AI89" i="2"/>
  <c r="AK89" i="2" s="1"/>
  <c r="AL89" i="2" s="1"/>
  <c r="Y89" i="2"/>
  <c r="Q89" i="2"/>
  <c r="AM87" i="2"/>
  <c r="AO87" i="2" s="1"/>
  <c r="AP87" i="2" s="1"/>
  <c r="AE87" i="2"/>
  <c r="AG87" i="2" s="1"/>
  <c r="AH87" i="2" s="1"/>
  <c r="U87" i="2"/>
  <c r="AI85" i="2"/>
  <c r="AK85" i="2" s="1"/>
  <c r="AL85" i="2" s="1"/>
  <c r="Y85" i="2"/>
  <c r="Q85" i="2"/>
  <c r="AM83" i="2"/>
  <c r="AO83" i="2" s="1"/>
  <c r="AP83" i="2" s="1"/>
  <c r="AE83" i="2"/>
  <c r="AG83" i="2" s="1"/>
  <c r="AH83" i="2" s="1"/>
  <c r="U83" i="2"/>
  <c r="AI81" i="2"/>
  <c r="AK81" i="2" s="1"/>
  <c r="AL81" i="2" s="1"/>
  <c r="Y81" i="2"/>
  <c r="Q81" i="2"/>
  <c r="AM79" i="2"/>
  <c r="AO79" i="2" s="1"/>
  <c r="AP79" i="2" s="1"/>
  <c r="AE79" i="2"/>
  <c r="AG79" i="2" s="1"/>
  <c r="AH79" i="2" s="1"/>
  <c r="U79" i="2"/>
  <c r="X78" i="2"/>
  <c r="Z78" i="2" s="1"/>
  <c r="AA78" i="2" s="1"/>
  <c r="P78" i="2"/>
  <c r="R78" i="2" s="1"/>
  <c r="S78" i="2" s="1"/>
  <c r="AN76" i="2"/>
  <c r="AF76" i="2"/>
  <c r="AI75" i="2"/>
  <c r="AK75" i="2" s="1"/>
  <c r="AL75" i="2" s="1"/>
  <c r="Y75" i="2"/>
  <c r="Q75" i="2"/>
  <c r="T74" i="2"/>
  <c r="V74" i="2" s="1"/>
  <c r="W74" i="2" s="1"/>
  <c r="AJ72" i="2"/>
  <c r="AM71" i="2"/>
  <c r="AO71" i="2" s="1"/>
  <c r="AP71" i="2" s="1"/>
  <c r="AE71" i="2"/>
  <c r="AG71" i="2" s="1"/>
  <c r="AH71" i="2" s="1"/>
  <c r="U71" i="2"/>
  <c r="X70" i="2"/>
  <c r="Z70" i="2" s="1"/>
  <c r="AA70" i="2" s="1"/>
  <c r="P70" i="2"/>
  <c r="R70" i="2" s="1"/>
  <c r="S70" i="2" s="1"/>
  <c r="AN68" i="2"/>
  <c r="AF68" i="2"/>
  <c r="X67" i="2"/>
  <c r="Z67" i="2" s="1"/>
  <c r="AA67" i="2" s="1"/>
  <c r="P67" i="2"/>
  <c r="R67" i="2" s="1"/>
  <c r="S67" i="2" s="1"/>
  <c r="AJ66" i="2"/>
  <c r="T65" i="2"/>
  <c r="V65" i="2" s="1"/>
  <c r="W65" i="2" s="1"/>
  <c r="AN64" i="2"/>
  <c r="AF64" i="2"/>
  <c r="Y111" i="2"/>
  <c r="AN106" i="2"/>
  <c r="AE103" i="2"/>
  <c r="AG103" i="2" s="1"/>
  <c r="AH103" i="2" s="1"/>
  <c r="AI102" i="2"/>
  <c r="AK102" i="2" s="1"/>
  <c r="AL102" i="2" s="1"/>
  <c r="Q101" i="2"/>
  <c r="AM99" i="2"/>
  <c r="AO99" i="2" s="1"/>
  <c r="AP99" i="2" s="1"/>
  <c r="U99" i="2"/>
  <c r="Q98" i="2"/>
  <c r="Q97" i="2"/>
  <c r="AF96" i="2"/>
  <c r="T95" i="2"/>
  <c r="V95" i="2" s="1"/>
  <c r="W95" i="2" s="1"/>
  <c r="AI94" i="2"/>
  <c r="AK94" i="2" s="1"/>
  <c r="AL94" i="2" s="1"/>
  <c r="T94" i="2"/>
  <c r="V94" i="2" s="1"/>
  <c r="W94" i="2" s="1"/>
  <c r="AM92" i="2"/>
  <c r="AO92" i="2" s="1"/>
  <c r="AP92" i="2" s="1"/>
  <c r="U91" i="2"/>
  <c r="AI88" i="2"/>
  <c r="AK88" i="2" s="1"/>
  <c r="AL88" i="2" s="1"/>
  <c r="Y88" i="2"/>
  <c r="Q88" i="2"/>
  <c r="AM86" i="2"/>
  <c r="AO86" i="2" s="1"/>
  <c r="AP86" i="2" s="1"/>
  <c r="AE86" i="2"/>
  <c r="AG86" i="2" s="1"/>
  <c r="AH86" i="2" s="1"/>
  <c r="U86" i="2"/>
  <c r="AI84" i="2"/>
  <c r="AK84" i="2" s="1"/>
  <c r="AL84" i="2" s="1"/>
  <c r="Y84" i="2"/>
  <c r="Q84" i="2"/>
  <c r="AM82" i="2"/>
  <c r="AO82" i="2" s="1"/>
  <c r="AP82" i="2" s="1"/>
  <c r="AE82" i="2"/>
  <c r="AG82" i="2" s="1"/>
  <c r="AH82" i="2" s="1"/>
  <c r="U82" i="2"/>
  <c r="AI80" i="2"/>
  <c r="AK80" i="2" s="1"/>
  <c r="AL80" i="2" s="1"/>
  <c r="Y80" i="2"/>
  <c r="Q80" i="2"/>
  <c r="AN78" i="2"/>
  <c r="AF78" i="2"/>
  <c r="AI77" i="2"/>
  <c r="AK77" i="2" s="1"/>
  <c r="AL77" i="2" s="1"/>
  <c r="Y77" i="2"/>
  <c r="Q77" i="2"/>
  <c r="T76" i="2"/>
  <c r="V76" i="2" s="1"/>
  <c r="W76" i="2" s="1"/>
  <c r="AJ74" i="2"/>
  <c r="AM73" i="2"/>
  <c r="AO73" i="2" s="1"/>
  <c r="AP73" i="2" s="1"/>
  <c r="AE73" i="2"/>
  <c r="AG73" i="2" s="1"/>
  <c r="AH73" i="2" s="1"/>
  <c r="U73" i="2"/>
  <c r="X72" i="2"/>
  <c r="Z72" i="2" s="1"/>
  <c r="AA72" i="2" s="1"/>
  <c r="P72" i="2"/>
  <c r="R72" i="2" s="1"/>
  <c r="S72" i="2" s="1"/>
  <c r="AN70" i="2"/>
  <c r="AF70" i="2"/>
  <c r="AI69" i="2"/>
  <c r="AK69" i="2" s="1"/>
  <c r="AL69" i="2" s="1"/>
  <c r="Y69" i="2"/>
  <c r="Q69" i="2"/>
  <c r="T68" i="2"/>
  <c r="V68" i="2" s="1"/>
  <c r="W68" i="2" s="1"/>
  <c r="AN67" i="2"/>
  <c r="AF67" i="2"/>
  <c r="X66" i="2"/>
  <c r="Z66" i="2" s="1"/>
  <c r="AA66" i="2" s="1"/>
  <c r="P66" i="2"/>
  <c r="R66" i="2" s="1"/>
  <c r="S66" i="2" s="1"/>
  <c r="AJ65" i="2"/>
  <c r="T64" i="2"/>
  <c r="V64" i="2" s="1"/>
  <c r="W64" i="2" s="1"/>
  <c r="AN63" i="2"/>
  <c r="AF63" i="2"/>
  <c r="AI62" i="2"/>
  <c r="AK62" i="2" s="1"/>
  <c r="AL62" i="2" s="1"/>
  <c r="Y62" i="2"/>
  <c r="Q62" i="2"/>
  <c r="T61" i="2"/>
  <c r="V61" i="2" s="1"/>
  <c r="W61" i="2" s="1"/>
  <c r="Q111" i="2"/>
  <c r="AF106" i="2"/>
  <c r="AI105" i="2"/>
  <c r="AK105" i="2" s="1"/>
  <c r="AL105" i="2" s="1"/>
  <c r="AM104" i="2"/>
  <c r="AO104" i="2" s="1"/>
  <c r="AP104" i="2" s="1"/>
  <c r="U103" i="2"/>
  <c r="Y102" i="2"/>
  <c r="AM100" i="2"/>
  <c r="AO100" i="2" s="1"/>
  <c r="AP100" i="2" s="1"/>
  <c r="U100" i="2"/>
  <c r="Y98" i="2"/>
  <c r="Y97" i="2"/>
  <c r="AN96" i="2"/>
  <c r="P94" i="2"/>
  <c r="R94" i="2" s="1"/>
  <c r="S94" i="2" s="1"/>
  <c r="AF93" i="2"/>
  <c r="AI92" i="2"/>
  <c r="AK92" i="2" s="1"/>
  <c r="AL92" i="2" s="1"/>
  <c r="Q91" i="2"/>
  <c r="AI90" i="2"/>
  <c r="AK90" i="2" s="1"/>
  <c r="AL90" i="2" s="1"/>
  <c r="AM89" i="2"/>
  <c r="AO89" i="2" s="1"/>
  <c r="AP89" i="2" s="1"/>
  <c r="T89" i="2"/>
  <c r="V89" i="2" s="1"/>
  <c r="W89" i="2" s="1"/>
  <c r="AN88" i="2"/>
  <c r="AF88" i="2"/>
  <c r="X87" i="2"/>
  <c r="Z87" i="2" s="1"/>
  <c r="AA87" i="2" s="1"/>
  <c r="P87" i="2"/>
  <c r="R87" i="2" s="1"/>
  <c r="S87" i="2" s="1"/>
  <c r="AJ86" i="2"/>
  <c r="T85" i="2"/>
  <c r="V85" i="2" s="1"/>
  <c r="W85" i="2" s="1"/>
  <c r="AN84" i="2"/>
  <c r="AF84" i="2"/>
  <c r="X83" i="2"/>
  <c r="Z83" i="2" s="1"/>
  <c r="AA83" i="2" s="1"/>
  <c r="P83" i="2"/>
  <c r="R83" i="2" s="1"/>
  <c r="S83" i="2" s="1"/>
  <c r="AJ82" i="2"/>
  <c r="T81" i="2"/>
  <c r="V81" i="2" s="1"/>
  <c r="W81" i="2" s="1"/>
  <c r="AN80" i="2"/>
  <c r="AF80" i="2"/>
  <c r="X79" i="2"/>
  <c r="Z79" i="2" s="1"/>
  <c r="AA79" i="2" s="1"/>
  <c r="P79" i="2"/>
  <c r="R79" i="2" s="1"/>
  <c r="S79" i="2" s="1"/>
  <c r="AN77" i="2"/>
  <c r="AF77" i="2"/>
  <c r="AI76" i="2"/>
  <c r="AK76" i="2" s="1"/>
  <c r="AL76" i="2" s="1"/>
  <c r="Y76" i="2"/>
  <c r="Q76" i="2"/>
  <c r="T75" i="2"/>
  <c r="V75" i="2" s="1"/>
  <c r="W75" i="2" s="1"/>
  <c r="AJ73" i="2"/>
  <c r="AM72" i="2"/>
  <c r="AO72" i="2" s="1"/>
  <c r="AP72" i="2" s="1"/>
  <c r="AE72" i="2"/>
  <c r="AG72" i="2" s="1"/>
  <c r="AH72" i="2" s="1"/>
  <c r="U72" i="2"/>
  <c r="X71" i="2"/>
  <c r="Z71" i="2" s="1"/>
  <c r="AA71" i="2" s="1"/>
  <c r="P71" i="2"/>
  <c r="R71" i="2" s="1"/>
  <c r="S71" i="2" s="1"/>
  <c r="AN69" i="2"/>
  <c r="AF69" i="2"/>
  <c r="AI68" i="2"/>
  <c r="AK68" i="2" s="1"/>
  <c r="AL68" i="2" s="1"/>
  <c r="Y68" i="2"/>
  <c r="Q68" i="2"/>
  <c r="AM66" i="2"/>
  <c r="AO66" i="2" s="1"/>
  <c r="AP66" i="2" s="1"/>
  <c r="AE66" i="2"/>
  <c r="AG66" i="2" s="1"/>
  <c r="AH66" i="2" s="1"/>
  <c r="U66" i="2"/>
  <c r="AI64" i="2"/>
  <c r="AK64" i="2" s="1"/>
  <c r="AL64" i="2" s="1"/>
  <c r="Y64" i="2"/>
  <c r="Q64" i="2"/>
  <c r="AN62" i="2"/>
  <c r="AF62" i="2"/>
  <c r="AI61" i="2"/>
  <c r="AK61" i="2" s="1"/>
  <c r="AL61" i="2" s="1"/>
  <c r="Y61" i="2"/>
  <c r="Q61" i="2"/>
  <c r="AJ109" i="2"/>
  <c r="AI106" i="2"/>
  <c r="AK106" i="2" s="1"/>
  <c r="AL106" i="2" s="1"/>
  <c r="Q105" i="2"/>
  <c r="T99" i="2"/>
  <c r="V99" i="2" s="1"/>
  <c r="W99" i="2" s="1"/>
  <c r="P97" i="2"/>
  <c r="R97" i="2" s="1"/>
  <c r="S97" i="2" s="1"/>
  <c r="Q96" i="2"/>
  <c r="Q95" i="2"/>
  <c r="AJ92" i="2"/>
  <c r="Q92" i="2"/>
  <c r="AE89" i="2"/>
  <c r="AG89" i="2" s="1"/>
  <c r="AH89" i="2" s="1"/>
  <c r="P89" i="2"/>
  <c r="R89" i="2" s="1"/>
  <c r="S89" i="2" s="1"/>
  <c r="AE88" i="2"/>
  <c r="AG88" i="2" s="1"/>
  <c r="AH88" i="2" s="1"/>
  <c r="P88" i="2"/>
  <c r="R88" i="2" s="1"/>
  <c r="S88" i="2" s="1"/>
  <c r="AF87" i="2"/>
  <c r="Q87" i="2"/>
  <c r="AF86" i="2"/>
  <c r="Q86" i="2"/>
  <c r="AF85" i="2"/>
  <c r="T80" i="2"/>
  <c r="V80" i="2" s="1"/>
  <c r="W80" i="2" s="1"/>
  <c r="AI79" i="2"/>
  <c r="AK79" i="2" s="1"/>
  <c r="AL79" i="2" s="1"/>
  <c r="T79" i="2"/>
  <c r="V79" i="2" s="1"/>
  <c r="W79" i="2" s="1"/>
  <c r="AJ78" i="2"/>
  <c r="U78" i="2"/>
  <c r="AM77" i="2"/>
  <c r="AO77" i="2" s="1"/>
  <c r="AP77" i="2" s="1"/>
  <c r="X77" i="2"/>
  <c r="Z77" i="2" s="1"/>
  <c r="AA77" i="2" s="1"/>
  <c r="AE75" i="2"/>
  <c r="AG75" i="2" s="1"/>
  <c r="AH75" i="2" s="1"/>
  <c r="P75" i="2"/>
  <c r="R75" i="2" s="1"/>
  <c r="S75" i="2" s="1"/>
  <c r="AF74" i="2"/>
  <c r="Q74" i="2"/>
  <c r="AI72" i="2"/>
  <c r="AK72" i="2" s="1"/>
  <c r="AL72" i="2" s="1"/>
  <c r="T72" i="2"/>
  <c r="V72" i="2" s="1"/>
  <c r="W72" i="2" s="1"/>
  <c r="AJ71" i="2"/>
  <c r="AM69" i="2"/>
  <c r="AO69" i="2" s="1"/>
  <c r="AP69" i="2" s="1"/>
  <c r="X69" i="2"/>
  <c r="Z69" i="2" s="1"/>
  <c r="AA69" i="2" s="1"/>
  <c r="AE63" i="2"/>
  <c r="AG63" i="2" s="1"/>
  <c r="AH63" i="2" s="1"/>
  <c r="X62" i="2"/>
  <c r="Z62" i="2" s="1"/>
  <c r="AA62" i="2" s="1"/>
  <c r="AF61" i="2"/>
  <c r="U108" i="2"/>
  <c r="P105" i="2"/>
  <c r="R105" i="2" s="1"/>
  <c r="S105" i="2" s="1"/>
  <c r="AI101" i="2"/>
  <c r="AK101" i="2" s="1"/>
  <c r="AL101" i="2" s="1"/>
  <c r="P99" i="2"/>
  <c r="R99" i="2" s="1"/>
  <c r="S99" i="2" s="1"/>
  <c r="P95" i="2"/>
  <c r="R95" i="2" s="1"/>
  <c r="S95" i="2" s="1"/>
  <c r="Y91" i="2"/>
  <c r="AJ90" i="2"/>
  <c r="Q90" i="2"/>
  <c r="P86" i="2"/>
  <c r="R86" i="2" s="1"/>
  <c r="S86" i="2" s="1"/>
  <c r="AE85" i="2"/>
  <c r="AG85" i="2" s="1"/>
  <c r="AH85" i="2" s="1"/>
  <c r="P85" i="2"/>
  <c r="R85" i="2" s="1"/>
  <c r="S85" i="2" s="1"/>
  <c r="AE84" i="2"/>
  <c r="AG84" i="2" s="1"/>
  <c r="AH84" i="2" s="1"/>
  <c r="P84" i="2"/>
  <c r="R84" i="2" s="1"/>
  <c r="S84" i="2" s="1"/>
  <c r="AF83" i="2"/>
  <c r="Q83" i="2"/>
  <c r="AF82" i="2"/>
  <c r="Q82" i="2"/>
  <c r="AF81" i="2"/>
  <c r="AI78" i="2"/>
  <c r="AK78" i="2" s="1"/>
  <c r="AL78" i="2" s="1"/>
  <c r="T78" i="2"/>
  <c r="V78" i="2" s="1"/>
  <c r="W78" i="2" s="1"/>
  <c r="AM76" i="2"/>
  <c r="AO76" i="2" s="1"/>
  <c r="AP76" i="2" s="1"/>
  <c r="X76" i="2"/>
  <c r="Z76" i="2" s="1"/>
  <c r="AA76" i="2" s="1"/>
  <c r="AE74" i="2"/>
  <c r="AG74" i="2" s="1"/>
  <c r="AH74" i="2" s="1"/>
  <c r="P74" i="2"/>
  <c r="R74" i="2" s="1"/>
  <c r="S74" i="2" s="1"/>
  <c r="AF73" i="2"/>
  <c r="Q73" i="2"/>
  <c r="AI71" i="2"/>
  <c r="AK71" i="2" s="1"/>
  <c r="AL71" i="2" s="1"/>
  <c r="T71" i="2"/>
  <c r="V71" i="2" s="1"/>
  <c r="W71" i="2" s="1"/>
  <c r="AJ70" i="2"/>
  <c r="U70" i="2"/>
  <c r="AM68" i="2"/>
  <c r="AO68" i="2" s="1"/>
  <c r="AP68" i="2" s="1"/>
  <c r="X68" i="2"/>
  <c r="Z68" i="2" s="1"/>
  <c r="AA68" i="2" s="1"/>
  <c r="AM67" i="2"/>
  <c r="AO67" i="2" s="1"/>
  <c r="AP67" i="2" s="1"/>
  <c r="Y67" i="2"/>
  <c r="AN66" i="2"/>
  <c r="Y66" i="2"/>
  <c r="AN65" i="2"/>
  <c r="Y65" i="2"/>
  <c r="Q63" i="2"/>
  <c r="AJ62" i="2"/>
  <c r="AE61" i="2"/>
  <c r="AG61" i="2" s="1"/>
  <c r="AH61" i="2" s="1"/>
  <c r="Y106" i="2"/>
  <c r="T103" i="2"/>
  <c r="V103" i="2" s="1"/>
  <c r="W103" i="2" s="1"/>
  <c r="AM96" i="2"/>
  <c r="AO96" i="2" s="1"/>
  <c r="AP96" i="2" s="1"/>
  <c r="AN95" i="2"/>
  <c r="Q94" i="2"/>
  <c r="T93" i="2"/>
  <c r="V93" i="2" s="1"/>
  <c r="W93" i="2" s="1"/>
  <c r="AF92" i="2"/>
  <c r="P82" i="2"/>
  <c r="R82" i="2" s="1"/>
  <c r="S82" i="2" s="1"/>
  <c r="AE81" i="2"/>
  <c r="AG81" i="2" s="1"/>
  <c r="AH81" i="2" s="1"/>
  <c r="P81" i="2"/>
  <c r="R81" i="2" s="1"/>
  <c r="S81" i="2" s="1"/>
  <c r="AE80" i="2"/>
  <c r="AG80" i="2" s="1"/>
  <c r="AH80" i="2" s="1"/>
  <c r="P80" i="2"/>
  <c r="R80" i="2" s="1"/>
  <c r="S80" i="2" s="1"/>
  <c r="AF79" i="2"/>
  <c r="Q79" i="2"/>
  <c r="AJ77" i="2"/>
  <c r="U77" i="2"/>
  <c r="AN75" i="2"/>
  <c r="P73" i="2"/>
  <c r="R73" i="2" s="1"/>
  <c r="S73" i="2" s="1"/>
  <c r="AF72" i="2"/>
  <c r="Q72" i="2"/>
  <c r="AI70" i="2"/>
  <c r="AK70" i="2" s="1"/>
  <c r="AL70" i="2" s="1"/>
  <c r="T70" i="2"/>
  <c r="V70" i="2" s="1"/>
  <c r="W70" i="2" s="1"/>
  <c r="AJ69" i="2"/>
  <c r="U69" i="2"/>
  <c r="AM65" i="2"/>
  <c r="AO65" i="2" s="1"/>
  <c r="AP65" i="2" s="1"/>
  <c r="X65" i="2"/>
  <c r="Z65" i="2" s="1"/>
  <c r="AA65" i="2" s="1"/>
  <c r="AM64" i="2"/>
  <c r="AO64" i="2" s="1"/>
  <c r="AP64" i="2" s="1"/>
  <c r="X64" i="2"/>
  <c r="Z64" i="2" s="1"/>
  <c r="AA64" i="2" s="1"/>
  <c r="AM63" i="2"/>
  <c r="AO63" i="2" s="1"/>
  <c r="AP63" i="2" s="1"/>
  <c r="P63" i="2"/>
  <c r="R63" i="2" s="1"/>
  <c r="S63" i="2" s="1"/>
  <c r="U62" i="2"/>
  <c r="AN61" i="2"/>
  <c r="P61" i="2"/>
  <c r="R61" i="2" s="1"/>
  <c r="S61" i="2" s="1"/>
  <c r="AE110" i="2"/>
  <c r="AG110" i="2" s="1"/>
  <c r="AH110" i="2" s="1"/>
  <c r="P109" i="2"/>
  <c r="R109" i="2" s="1"/>
  <c r="S109" i="2" s="1"/>
  <c r="Q106" i="2"/>
  <c r="AN102" i="2"/>
  <c r="AI98" i="2"/>
  <c r="AK98" i="2" s="1"/>
  <c r="AL98" i="2" s="1"/>
  <c r="AI96" i="2"/>
  <c r="AK96" i="2" s="1"/>
  <c r="AL96" i="2" s="1"/>
  <c r="AI95" i="2"/>
  <c r="AK95" i="2" s="1"/>
  <c r="AL95" i="2" s="1"/>
  <c r="AM91" i="2"/>
  <c r="AO91" i="2" s="1"/>
  <c r="AP91" i="2" s="1"/>
  <c r="T91" i="2"/>
  <c r="V91" i="2" s="1"/>
  <c r="W91" i="2" s="1"/>
  <c r="AF90" i="2"/>
  <c r="AN89" i="2"/>
  <c r="X89" i="2"/>
  <c r="Z89" i="2" s="1"/>
  <c r="AA89" i="2" s="1"/>
  <c r="AM88" i="2"/>
  <c r="AO88" i="2" s="1"/>
  <c r="AP88" i="2" s="1"/>
  <c r="X88" i="2"/>
  <c r="Z88" i="2" s="1"/>
  <c r="AA88" i="2" s="1"/>
  <c r="AN87" i="2"/>
  <c r="Y87" i="2"/>
  <c r="AN86" i="2"/>
  <c r="Y86" i="2"/>
  <c r="AN85" i="2"/>
  <c r="AE78" i="2"/>
  <c r="AG78" i="2" s="1"/>
  <c r="AH78" i="2" s="1"/>
  <c r="Q78" i="2"/>
  <c r="T77" i="2"/>
  <c r="V77" i="2" s="1"/>
  <c r="W77" i="2" s="1"/>
  <c r="AJ76" i="2"/>
  <c r="U76" i="2"/>
  <c r="AM75" i="2"/>
  <c r="AO75" i="2" s="1"/>
  <c r="AP75" i="2" s="1"/>
  <c r="X75" i="2"/>
  <c r="Z75" i="2" s="1"/>
  <c r="AA75" i="2" s="1"/>
  <c r="AN74" i="2"/>
  <c r="Y74" i="2"/>
  <c r="AF71" i="2"/>
  <c r="Q71" i="2"/>
  <c r="T69" i="2"/>
  <c r="V69" i="2" s="1"/>
  <c r="W69" i="2" s="1"/>
  <c r="AJ68" i="2"/>
  <c r="U68" i="2"/>
  <c r="AJ67" i="2"/>
  <c r="U67" i="2"/>
  <c r="Y63" i="2"/>
  <c r="T62" i="2"/>
  <c r="V62" i="2" s="1"/>
  <c r="W62" i="2" s="1"/>
  <c r="AM61" i="2"/>
  <c r="AO61" i="2" s="1"/>
  <c r="AP61" i="2" s="1"/>
  <c r="AJ111" i="2"/>
  <c r="U110" i="2"/>
  <c r="AF102" i="2"/>
  <c r="AN100" i="2"/>
  <c r="AE95" i="2"/>
  <c r="AG95" i="2" s="1"/>
  <c r="AH95" i="2" s="1"/>
  <c r="AJ93" i="2"/>
  <c r="AI91" i="2"/>
  <c r="AK91" i="2" s="1"/>
  <c r="AL91" i="2" s="1"/>
  <c r="P91" i="2"/>
  <c r="R91" i="2" s="1"/>
  <c r="S91" i="2" s="1"/>
  <c r="Y90" i="2"/>
  <c r="U89" i="2"/>
  <c r="AJ88" i="2"/>
  <c r="U88" i="2"/>
  <c r="AJ87" i="2"/>
  <c r="X82" i="2"/>
  <c r="Z82" i="2" s="1"/>
  <c r="AA82" i="2" s="1"/>
  <c r="AM81" i="2"/>
  <c r="AO81" i="2" s="1"/>
  <c r="AP81" i="2" s="1"/>
  <c r="X81" i="2"/>
  <c r="Z81" i="2" s="1"/>
  <c r="AA81" i="2" s="1"/>
  <c r="AM80" i="2"/>
  <c r="AO80" i="2" s="1"/>
  <c r="AP80" i="2" s="1"/>
  <c r="X80" i="2"/>
  <c r="Z80" i="2" s="1"/>
  <c r="AA80" i="2" s="1"/>
  <c r="AN79" i="2"/>
  <c r="Y79" i="2"/>
  <c r="AE77" i="2"/>
  <c r="AG77" i="2" s="1"/>
  <c r="AH77" i="2" s="1"/>
  <c r="P77" i="2"/>
  <c r="R77" i="2" s="1"/>
  <c r="S77" i="2" s="1"/>
  <c r="AJ75" i="2"/>
  <c r="U75" i="2"/>
  <c r="X73" i="2"/>
  <c r="Z73" i="2" s="1"/>
  <c r="AA73" i="2" s="1"/>
  <c r="AN72" i="2"/>
  <c r="Y72" i="2"/>
  <c r="AE69" i="2"/>
  <c r="AG69" i="2" s="1"/>
  <c r="AH69" i="2" s="1"/>
  <c r="P69" i="2"/>
  <c r="R69" i="2" s="1"/>
  <c r="S69" i="2" s="1"/>
  <c r="AM108" i="2"/>
  <c r="AO108" i="2" s="1"/>
  <c r="AP108" i="2" s="1"/>
  <c r="U107" i="2"/>
  <c r="AE99" i="2"/>
  <c r="AG99" i="2" s="1"/>
  <c r="AH99" i="2" s="1"/>
  <c r="X97" i="2"/>
  <c r="Z97" i="2" s="1"/>
  <c r="AA97" i="2" s="1"/>
  <c r="Y96" i="2"/>
  <c r="Y95" i="2"/>
  <c r="AN92" i="2"/>
  <c r="U92" i="2"/>
  <c r="T88" i="2"/>
  <c r="V88" i="2" s="1"/>
  <c r="W88" i="2" s="1"/>
  <c r="AI87" i="2"/>
  <c r="AK87" i="2" s="1"/>
  <c r="AL87" i="2" s="1"/>
  <c r="T87" i="2"/>
  <c r="V87" i="2" s="1"/>
  <c r="W87" i="2" s="1"/>
  <c r="AI86" i="2"/>
  <c r="AK86" i="2" s="1"/>
  <c r="AL86" i="2" s="1"/>
  <c r="T86" i="2"/>
  <c r="V86" i="2" s="1"/>
  <c r="W86" i="2" s="1"/>
  <c r="AJ85" i="2"/>
  <c r="U85" i="2"/>
  <c r="AJ84" i="2"/>
  <c r="U84" i="2"/>
  <c r="AJ83" i="2"/>
  <c r="AM78" i="2"/>
  <c r="AO78" i="2" s="1"/>
  <c r="AP78" i="2" s="1"/>
  <c r="Y78" i="2"/>
  <c r="AE76" i="2"/>
  <c r="AG76" i="2" s="1"/>
  <c r="AH76" i="2" s="1"/>
  <c r="P76" i="2"/>
  <c r="R76" i="2" s="1"/>
  <c r="S76" i="2" s="1"/>
  <c r="AI74" i="2"/>
  <c r="AK74" i="2" s="1"/>
  <c r="AL74" i="2" s="1"/>
  <c r="U74" i="2"/>
  <c r="AN71" i="2"/>
  <c r="Y71" i="2"/>
  <c r="AE68" i="2"/>
  <c r="AG68" i="2" s="1"/>
  <c r="AH68" i="2" s="1"/>
  <c r="P68" i="2"/>
  <c r="R68" i="2" s="1"/>
  <c r="S68" i="2" s="1"/>
  <c r="AE67" i="2"/>
  <c r="AG67" i="2" s="1"/>
  <c r="AH67" i="2" s="1"/>
  <c r="Q67" i="2"/>
  <c r="AF66" i="2"/>
  <c r="Q66" i="2"/>
  <c r="AF65" i="2"/>
  <c r="Q65" i="2"/>
  <c r="U63" i="2"/>
  <c r="AM62" i="2"/>
  <c r="AO62" i="2" s="1"/>
  <c r="AP62" i="2" s="1"/>
  <c r="P62" i="2"/>
  <c r="R62" i="2" s="1"/>
  <c r="S62" i="2" s="1"/>
  <c r="T111" i="2"/>
  <c r="V111" i="2" s="1"/>
  <c r="W111" i="2" s="1"/>
  <c r="AE107" i="2"/>
  <c r="AG107" i="2" s="1"/>
  <c r="AH107" i="2" s="1"/>
  <c r="P101" i="2"/>
  <c r="R101" i="2" s="1"/>
  <c r="S101" i="2" s="1"/>
  <c r="AE96" i="2"/>
  <c r="AG96" i="2" s="1"/>
  <c r="AH96" i="2" s="1"/>
  <c r="AM84" i="2"/>
  <c r="AO84" i="2" s="1"/>
  <c r="AP84" i="2" s="1"/>
  <c r="AN82" i="2"/>
  <c r="AN73" i="2"/>
  <c r="Q70" i="2"/>
  <c r="T66" i="2"/>
  <c r="V66" i="2" s="1"/>
  <c r="W66" i="2" s="1"/>
  <c r="U64" i="2"/>
  <c r="AE100" i="2"/>
  <c r="AG100" i="2" s="1"/>
  <c r="AH100" i="2" s="1"/>
  <c r="AN90" i="2"/>
  <c r="AI82" i="2"/>
  <c r="AK82" i="2" s="1"/>
  <c r="AL82" i="2" s="1"/>
  <c r="AJ80" i="2"/>
  <c r="AF75" i="2"/>
  <c r="AI73" i="2"/>
  <c r="AK73" i="2" s="1"/>
  <c r="AL73" i="2" s="1"/>
  <c r="P64" i="2"/>
  <c r="R64" i="2" s="1"/>
  <c r="S64" i="2" s="1"/>
  <c r="AE64" i="2"/>
  <c r="AG64" i="2" s="1"/>
  <c r="AH64" i="2" s="1"/>
  <c r="AF95" i="2"/>
  <c r="X86" i="2"/>
  <c r="Z86" i="2" s="1"/>
  <c r="AA86" i="2" s="1"/>
  <c r="X84" i="2"/>
  <c r="Z84" i="2" s="1"/>
  <c r="AA84" i="2" s="1"/>
  <c r="Y82" i="2"/>
  <c r="Y73" i="2"/>
  <c r="AI67" i="2"/>
  <c r="AK67" i="2" s="1"/>
  <c r="AL67" i="2" s="1"/>
  <c r="AI65" i="2"/>
  <c r="AK65" i="2" s="1"/>
  <c r="AL65" i="2" s="1"/>
  <c r="AJ63" i="2"/>
  <c r="AJ61" i="2"/>
  <c r="X105" i="2"/>
  <c r="Z105" i="2" s="1"/>
  <c r="AA105" i="2" s="1"/>
  <c r="U95" i="2"/>
  <c r="Y92" i="2"/>
  <c r="T90" i="2"/>
  <c r="V90" i="2" s="1"/>
  <c r="W90" i="2" s="1"/>
  <c r="T84" i="2"/>
  <c r="V84" i="2" s="1"/>
  <c r="W84" i="2" s="1"/>
  <c r="T82" i="2"/>
  <c r="V82" i="2" s="1"/>
  <c r="W82" i="2" s="1"/>
  <c r="U80" i="2"/>
  <c r="T73" i="2"/>
  <c r="V73" i="2" s="1"/>
  <c r="W73" i="2" s="1"/>
  <c r="AE65" i="2"/>
  <c r="AG65" i="2" s="1"/>
  <c r="AH65" i="2" s="1"/>
  <c r="AI63" i="2"/>
  <c r="AK63" i="2" s="1"/>
  <c r="AL63" i="2" s="1"/>
  <c r="AE62" i="2"/>
  <c r="AG62" i="2" s="1"/>
  <c r="AH62" i="2" s="1"/>
  <c r="AE108" i="2"/>
  <c r="AG108" i="2" s="1"/>
  <c r="AH108" i="2" s="1"/>
  <c r="U81" i="2"/>
  <c r="Y70" i="2"/>
  <c r="T63" i="2"/>
  <c r="V63" i="2" s="1"/>
  <c r="W63" i="2" s="1"/>
  <c r="U104" i="2"/>
  <c r="AF98" i="2"/>
  <c r="T92" i="2"/>
  <c r="V92" i="2" s="1"/>
  <c r="W92" i="2" s="1"/>
  <c r="AM85" i="2"/>
  <c r="AO85" i="2" s="1"/>
  <c r="AP85" i="2" s="1"/>
  <c r="AN83" i="2"/>
  <c r="AN81" i="2"/>
  <c r="AM74" i="2"/>
  <c r="AO74" i="2" s="1"/>
  <c r="AP74" i="2" s="1"/>
  <c r="T67" i="2"/>
  <c r="V67" i="2" s="1"/>
  <c r="W67" i="2" s="1"/>
  <c r="U65" i="2"/>
  <c r="X61" i="2"/>
  <c r="Z61" i="2" s="1"/>
  <c r="AA61" i="2" s="1"/>
  <c r="AF89" i="2"/>
  <c r="AI83" i="2"/>
  <c r="AK83" i="2" s="1"/>
  <c r="AL83" i="2" s="1"/>
  <c r="AJ81" i="2"/>
  <c r="AJ79" i="2"/>
  <c r="AM70" i="2"/>
  <c r="AO70" i="2" s="1"/>
  <c r="AP70" i="2" s="1"/>
  <c r="P65" i="2"/>
  <c r="R65" i="2" s="1"/>
  <c r="S65" i="2" s="1"/>
  <c r="X63" i="2"/>
  <c r="Z63" i="2" s="1"/>
  <c r="AA63" i="2" s="1"/>
  <c r="X85" i="2"/>
  <c r="Z85" i="2" s="1"/>
  <c r="AA85" i="2" s="1"/>
  <c r="Y83" i="2"/>
  <c r="X74" i="2"/>
  <c r="Z74" i="2" s="1"/>
  <c r="AA74" i="2" s="1"/>
  <c r="AE70" i="2"/>
  <c r="AG70" i="2" s="1"/>
  <c r="AH70" i="2" s="1"/>
  <c r="AI66" i="2"/>
  <c r="AK66" i="2" s="1"/>
  <c r="AL66" i="2" s="1"/>
  <c r="AJ64" i="2"/>
  <c r="U61" i="2"/>
  <c r="B34" i="2"/>
  <c r="B31" i="1" s="1"/>
  <c r="B30" i="1"/>
  <c r="AE91" i="2"/>
  <c r="AG91" i="2" s="1"/>
  <c r="AH91" i="2" s="1"/>
  <c r="T83" i="2"/>
  <c r="V83" i="2" s="1"/>
  <c r="W83" i="2" s="1"/>
  <c r="AK41" i="2"/>
  <c r="AG41" i="2"/>
  <c r="Y41" i="2"/>
  <c r="Q41" i="2"/>
  <c r="AF41" i="2"/>
  <c r="AH41" i="2" s="1"/>
  <c r="AI41" i="2" s="1"/>
  <c r="X41" i="2"/>
  <c r="Z41" i="2" s="1"/>
  <c r="AA41" i="2" s="1"/>
  <c r="P41" i="2"/>
  <c r="R41" i="2" s="1"/>
  <c r="S41" i="2" s="1"/>
  <c r="AC41" i="2"/>
  <c r="U41" i="2"/>
  <c r="AB41" i="2"/>
  <c r="AD41" i="2" s="1"/>
  <c r="AE41" i="2" s="1"/>
  <c r="T41" i="2"/>
  <c r="V41" i="2" s="1"/>
  <c r="W41" i="2" s="1"/>
  <c r="AJ41" i="2"/>
  <c r="AL41" i="2" s="1"/>
  <c r="AM41" i="2" s="1"/>
  <c r="F15" i="6"/>
  <c r="E15" i="6"/>
  <c r="J15" i="6"/>
  <c r="J22" i="6"/>
  <c r="E22" i="6"/>
  <c r="F22" i="6"/>
  <c r="J14" i="6"/>
  <c r="E14" i="6"/>
  <c r="F14" i="6"/>
  <c r="I13" i="6"/>
  <c r="H13" i="6"/>
  <c r="I14" i="6"/>
  <c r="H14" i="6"/>
  <c r="F24" i="6"/>
  <c r="E24" i="6"/>
  <c r="J24" i="6"/>
  <c r="H55" i="6"/>
  <c r="I55" i="6"/>
  <c r="E11" i="6"/>
  <c r="J11" i="6"/>
  <c r="F11" i="6"/>
  <c r="I16" i="6"/>
  <c r="H16" i="6"/>
  <c r="J45" i="6"/>
  <c r="F45" i="6"/>
  <c r="E45" i="6"/>
  <c r="F50" i="6"/>
  <c r="E50" i="6"/>
  <c r="J50" i="6"/>
  <c r="I53" i="6"/>
  <c r="H53" i="6"/>
  <c r="F55" i="6"/>
  <c r="E55" i="6"/>
  <c r="J55" i="6"/>
  <c r="H58" i="6"/>
  <c r="I58" i="6"/>
  <c r="J60" i="6"/>
  <c r="F60" i="6"/>
  <c r="E60" i="6"/>
  <c r="AJ34" i="2"/>
  <c r="AL34" i="2" s="1"/>
  <c r="AM34" i="2" s="1"/>
  <c r="AB34" i="2"/>
  <c r="AD34" i="2" s="1"/>
  <c r="AE34" i="2" s="1"/>
  <c r="T34" i="2"/>
  <c r="V34" i="2" s="1"/>
  <c r="W34" i="2" s="1"/>
  <c r="AG34" i="2"/>
  <c r="Y34" i="2"/>
  <c r="Q34" i="2"/>
  <c r="AF34" i="2"/>
  <c r="AH34" i="2" s="1"/>
  <c r="AI34" i="2" s="1"/>
  <c r="X34" i="2"/>
  <c r="Z34" i="2" s="1"/>
  <c r="AA34" i="2" s="1"/>
  <c r="P34" i="2"/>
  <c r="R34" i="2" s="1"/>
  <c r="S34" i="2" s="1"/>
  <c r="AK34" i="2"/>
  <c r="AC34" i="2"/>
  <c r="U34" i="2"/>
  <c r="AK39" i="2"/>
  <c r="AC39" i="2"/>
  <c r="U39" i="2"/>
  <c r="AJ39" i="2"/>
  <c r="AL39" i="2" s="1"/>
  <c r="AM39" i="2" s="1"/>
  <c r="AB39" i="2"/>
  <c r="AD39" i="2" s="1"/>
  <c r="AE39" i="2" s="1"/>
  <c r="T39" i="2"/>
  <c r="V39" i="2" s="1"/>
  <c r="W39" i="2" s="1"/>
  <c r="AG39" i="2"/>
  <c r="Y39" i="2"/>
  <c r="Q39" i="2"/>
  <c r="AF39" i="2"/>
  <c r="AH39" i="2" s="1"/>
  <c r="AI39" i="2" s="1"/>
  <c r="X39" i="2"/>
  <c r="Z39" i="2" s="1"/>
  <c r="AA39" i="2" s="1"/>
  <c r="P39" i="2"/>
  <c r="R39" i="2" s="1"/>
  <c r="S39" i="2" s="1"/>
  <c r="W104" i="6"/>
  <c r="V104" i="6"/>
  <c r="W222" i="6"/>
  <c r="V222" i="6"/>
  <c r="Q110" i="6"/>
  <c r="P110" i="6"/>
  <c r="W82" i="6"/>
  <c r="V82" i="6"/>
  <c r="W179" i="6"/>
  <c r="V179" i="6"/>
  <c r="W210" i="6"/>
  <c r="V210" i="6"/>
  <c r="Q124" i="6"/>
  <c r="P124" i="6"/>
  <c r="Q182" i="6"/>
  <c r="P182" i="6"/>
  <c r="B225" i="6"/>
  <c r="C225" i="6" s="1"/>
  <c r="B204" i="1"/>
  <c r="H51" i="6"/>
  <c r="I51" i="6"/>
  <c r="W134" i="6"/>
  <c r="V134" i="6"/>
  <c r="W85" i="6"/>
  <c r="V85" i="6"/>
  <c r="W103" i="6"/>
  <c r="V103" i="6"/>
  <c r="W128" i="6"/>
  <c r="V128" i="6"/>
  <c r="V115" i="6"/>
  <c r="W115" i="6"/>
  <c r="V81" i="6"/>
  <c r="W81" i="6"/>
  <c r="Q134" i="6"/>
  <c r="Q224" i="6"/>
  <c r="P224" i="6"/>
  <c r="V91" i="6"/>
  <c r="W91" i="6"/>
  <c r="W127" i="6"/>
  <c r="V127" i="6"/>
  <c r="W88" i="6"/>
  <c r="V88" i="6"/>
  <c r="W98" i="6"/>
  <c r="V98" i="6"/>
  <c r="V130" i="6"/>
  <c r="W130" i="6"/>
  <c r="V123" i="6"/>
  <c r="W123" i="6"/>
  <c r="V173" i="6"/>
  <c r="W173" i="6"/>
  <c r="W177" i="6"/>
  <c r="V177" i="6"/>
  <c r="V185" i="6"/>
  <c r="W185" i="6"/>
  <c r="W206" i="6"/>
  <c r="V206" i="6"/>
  <c r="V199" i="6"/>
  <c r="W199" i="6"/>
  <c r="W216" i="6"/>
  <c r="V216" i="6"/>
  <c r="W219" i="6"/>
  <c r="V219" i="6"/>
  <c r="Q80" i="6"/>
  <c r="P80" i="6"/>
  <c r="P97" i="6"/>
  <c r="Q97" i="6"/>
  <c r="Q106" i="6"/>
  <c r="P106" i="6"/>
  <c r="Q109" i="6"/>
  <c r="P109" i="6"/>
  <c r="Q96" i="6"/>
  <c r="P96" i="6"/>
  <c r="Q118" i="6"/>
  <c r="P118" i="6"/>
  <c r="Q120" i="6"/>
  <c r="P120" i="6"/>
  <c r="P183" i="6"/>
  <c r="Q183" i="6"/>
  <c r="Q176" i="6"/>
  <c r="P176" i="6"/>
  <c r="Q192" i="6"/>
  <c r="P192" i="6"/>
  <c r="Q196" i="6"/>
  <c r="P196" i="6"/>
  <c r="Q213" i="6"/>
  <c r="P213" i="6"/>
  <c r="Q208" i="6"/>
  <c r="P208" i="6"/>
  <c r="Q211" i="6"/>
  <c r="P211" i="6"/>
  <c r="AG35" i="2"/>
  <c r="Y35" i="2"/>
  <c r="Q35" i="2"/>
  <c r="AF35" i="2"/>
  <c r="AH35" i="2" s="1"/>
  <c r="AI35" i="2" s="1"/>
  <c r="X35" i="2"/>
  <c r="Z35" i="2" s="1"/>
  <c r="AA35" i="2" s="1"/>
  <c r="P35" i="2"/>
  <c r="R35" i="2" s="1"/>
  <c r="S35" i="2" s="1"/>
  <c r="AK35" i="2"/>
  <c r="AC35" i="2"/>
  <c r="U35" i="2"/>
  <c r="AJ35" i="2"/>
  <c r="AL35" i="2" s="1"/>
  <c r="AM35" i="2" s="1"/>
  <c r="AB35" i="2"/>
  <c r="AD35" i="2" s="1"/>
  <c r="AE35" i="2" s="1"/>
  <c r="T35" i="2"/>
  <c r="V35" i="2" s="1"/>
  <c r="W35" i="2" s="1"/>
  <c r="F31" i="6"/>
  <c r="E31" i="6"/>
  <c r="J31" i="6"/>
  <c r="H59" i="6"/>
  <c r="I59" i="6"/>
  <c r="F23" i="6"/>
  <c r="E23" i="6"/>
  <c r="J23" i="6"/>
  <c r="I17" i="6"/>
  <c r="H17" i="6"/>
  <c r="I18" i="6"/>
  <c r="H18" i="6"/>
  <c r="F28" i="6"/>
  <c r="E28" i="6"/>
  <c r="J28" i="6"/>
  <c r="I60" i="6"/>
  <c r="H60" i="6"/>
  <c r="E13" i="6"/>
  <c r="J13" i="6"/>
  <c r="F13" i="6"/>
  <c r="I20" i="6"/>
  <c r="H20" i="6"/>
  <c r="J49" i="6"/>
  <c r="F49" i="6"/>
  <c r="E49" i="6"/>
  <c r="F54" i="6"/>
  <c r="E54" i="6"/>
  <c r="J54" i="6"/>
  <c r="I57" i="6"/>
  <c r="H57" i="6"/>
  <c r="F59" i="6"/>
  <c r="E59" i="6"/>
  <c r="J59" i="6"/>
  <c r="H62" i="6"/>
  <c r="I62" i="6"/>
  <c r="J26" i="6"/>
  <c r="E26" i="6"/>
  <c r="F26" i="6"/>
  <c r="W121" i="6"/>
  <c r="V121" i="6"/>
  <c r="V212" i="6"/>
  <c r="W212" i="6"/>
  <c r="Q172" i="6"/>
  <c r="P172" i="6"/>
  <c r="W94" i="6"/>
  <c r="V94" i="6"/>
  <c r="W180" i="6"/>
  <c r="V180" i="6"/>
  <c r="Q107" i="6"/>
  <c r="P107" i="6"/>
  <c r="P121" i="6"/>
  <c r="Q121" i="6"/>
  <c r="Q217" i="6"/>
  <c r="P217" i="6"/>
  <c r="I33" i="6"/>
  <c r="H33" i="6"/>
  <c r="P79" i="6"/>
  <c r="Q79" i="6"/>
  <c r="W93" i="6"/>
  <c r="V93" i="6"/>
  <c r="V99" i="6"/>
  <c r="W99" i="6"/>
  <c r="W80" i="6"/>
  <c r="V80" i="6"/>
  <c r="W96" i="6"/>
  <c r="V96" i="6"/>
  <c r="W106" i="6"/>
  <c r="V106" i="6"/>
  <c r="W113" i="6"/>
  <c r="V113" i="6"/>
  <c r="W108" i="6"/>
  <c r="V108" i="6"/>
  <c r="W175" i="6"/>
  <c r="V175" i="6"/>
  <c r="W170" i="6"/>
  <c r="V170" i="6"/>
  <c r="V193" i="6"/>
  <c r="W193" i="6"/>
  <c r="W214" i="6"/>
  <c r="V214" i="6"/>
  <c r="W184" i="6"/>
  <c r="V184" i="6"/>
  <c r="W209" i="6"/>
  <c r="V209" i="6"/>
  <c r="V204" i="6"/>
  <c r="W204" i="6"/>
  <c r="Q82" i="6"/>
  <c r="P82" i="6"/>
  <c r="P105" i="6"/>
  <c r="Q105" i="6"/>
  <c r="Q117" i="6"/>
  <c r="P117" i="6"/>
  <c r="Q186" i="6"/>
  <c r="P186" i="6"/>
  <c r="Q104" i="6"/>
  <c r="P104" i="6"/>
  <c r="Q126" i="6"/>
  <c r="P126" i="6"/>
  <c r="Q128" i="6"/>
  <c r="P128" i="6"/>
  <c r="P191" i="6"/>
  <c r="Q191" i="6"/>
  <c r="Q185" i="6"/>
  <c r="P185" i="6"/>
  <c r="P200" i="6"/>
  <c r="Q200" i="6"/>
  <c r="P181" i="6"/>
  <c r="Q181" i="6"/>
  <c r="Q221" i="6"/>
  <c r="P221" i="6"/>
  <c r="Q216" i="6"/>
  <c r="P216" i="6"/>
  <c r="Q219" i="6"/>
  <c r="P219" i="6"/>
  <c r="B174" i="2"/>
  <c r="AB9" i="6"/>
  <c r="AC9" i="6" s="1"/>
  <c r="AD9" i="6" s="1"/>
  <c r="AE9" i="6" s="1"/>
  <c r="AG31" i="2"/>
  <c r="Y31" i="2"/>
  <c r="Q31" i="2"/>
  <c r="AF31" i="2"/>
  <c r="AH31" i="2" s="1"/>
  <c r="AI31" i="2" s="1"/>
  <c r="X31" i="2"/>
  <c r="Z31" i="2" s="1"/>
  <c r="AA31" i="2" s="1"/>
  <c r="P31" i="2"/>
  <c r="R31" i="2" s="1"/>
  <c r="S31" i="2" s="1"/>
  <c r="AK31" i="2"/>
  <c r="AC31" i="2"/>
  <c r="U31" i="2"/>
  <c r="AJ31" i="2"/>
  <c r="AL31" i="2" s="1"/>
  <c r="AM31" i="2" s="1"/>
  <c r="AB31" i="2"/>
  <c r="AD31" i="2" s="1"/>
  <c r="AE31" i="2" s="1"/>
  <c r="T31" i="2"/>
  <c r="V31" i="2" s="1"/>
  <c r="W31" i="2" s="1"/>
  <c r="H43" i="6"/>
  <c r="I43" i="6"/>
  <c r="AB56" i="2"/>
  <c r="AD56" i="2" s="1"/>
  <c r="AE56" i="2" s="1"/>
  <c r="Q56" i="2"/>
  <c r="AK56" i="2"/>
  <c r="P56" i="2"/>
  <c r="R56" i="2" s="1"/>
  <c r="S56" i="2" s="1"/>
  <c r="AJ56" i="2"/>
  <c r="AL56" i="2" s="1"/>
  <c r="AM56" i="2" s="1"/>
  <c r="Y56" i="2"/>
  <c r="X56" i="2"/>
  <c r="Z56" i="2" s="1"/>
  <c r="AA56" i="2" s="1"/>
  <c r="T56" i="2"/>
  <c r="V56" i="2" s="1"/>
  <c r="W56" i="2" s="1"/>
  <c r="AG56" i="2"/>
  <c r="AF56" i="2"/>
  <c r="AH56" i="2" s="1"/>
  <c r="AI56" i="2" s="1"/>
  <c r="AC56" i="2"/>
  <c r="U56" i="2"/>
  <c r="J30" i="6"/>
  <c r="E30" i="6"/>
  <c r="F30" i="6"/>
  <c r="I21" i="6"/>
  <c r="H21" i="6"/>
  <c r="I22" i="6"/>
  <c r="H22" i="6"/>
  <c r="F32" i="6"/>
  <c r="E32" i="6"/>
  <c r="J32" i="6"/>
  <c r="I9" i="6"/>
  <c r="H9" i="6"/>
  <c r="E17" i="6"/>
  <c r="J17" i="6"/>
  <c r="F17" i="6"/>
  <c r="I24" i="6"/>
  <c r="H24" i="6"/>
  <c r="J53" i="6"/>
  <c r="F53" i="6"/>
  <c r="E53" i="6"/>
  <c r="F58" i="6"/>
  <c r="E58" i="6"/>
  <c r="J58" i="6"/>
  <c r="I61" i="6"/>
  <c r="H61" i="6"/>
  <c r="H34" i="6"/>
  <c r="I34" i="6"/>
  <c r="J36" i="6"/>
  <c r="F36" i="6"/>
  <c r="E36" i="6"/>
  <c r="W92" i="6"/>
  <c r="V92" i="6"/>
  <c r="W217" i="6"/>
  <c r="V217" i="6"/>
  <c r="Q220" i="6"/>
  <c r="P220" i="6"/>
  <c r="P201" i="6"/>
  <c r="Q201" i="6"/>
  <c r="AF28" i="2"/>
  <c r="AH28" i="2" s="1"/>
  <c r="AI28" i="2" s="1"/>
  <c r="X28" i="2"/>
  <c r="Z28" i="2" s="1"/>
  <c r="AA28" i="2" s="1"/>
  <c r="P28" i="2"/>
  <c r="R28" i="2" s="1"/>
  <c r="S28" i="2" s="1"/>
  <c r="AK28" i="2"/>
  <c r="AC28" i="2"/>
  <c r="U28" i="2"/>
  <c r="AJ28" i="2"/>
  <c r="AL28" i="2" s="1"/>
  <c r="AM28" i="2" s="1"/>
  <c r="AB28" i="2"/>
  <c r="AD28" i="2" s="1"/>
  <c r="AE28" i="2" s="1"/>
  <c r="T28" i="2"/>
  <c r="V28" i="2" s="1"/>
  <c r="W28" i="2" s="1"/>
  <c r="AG28" i="2"/>
  <c r="Y28" i="2"/>
  <c r="Q28" i="2"/>
  <c r="AG40" i="2"/>
  <c r="Y40" i="2"/>
  <c r="Q40" i="2"/>
  <c r="AF40" i="2"/>
  <c r="AH40" i="2" s="1"/>
  <c r="AI40" i="2" s="1"/>
  <c r="X40" i="2"/>
  <c r="Z40" i="2" s="1"/>
  <c r="AA40" i="2" s="1"/>
  <c r="P40" i="2"/>
  <c r="R40" i="2" s="1"/>
  <c r="S40" i="2" s="1"/>
  <c r="AK40" i="2"/>
  <c r="AC40" i="2"/>
  <c r="U40" i="2"/>
  <c r="AJ40" i="2"/>
  <c r="AL40" i="2" s="1"/>
  <c r="AM40" i="2" s="1"/>
  <c r="AB40" i="2"/>
  <c r="AD40" i="2" s="1"/>
  <c r="AE40" i="2" s="1"/>
  <c r="T40" i="2"/>
  <c r="V40" i="2" s="1"/>
  <c r="W40" i="2" s="1"/>
  <c r="AJ44" i="2"/>
  <c r="AL44" i="2" s="1"/>
  <c r="AM44" i="2" s="1"/>
  <c r="AB44" i="2"/>
  <c r="AD44" i="2" s="1"/>
  <c r="AE44" i="2" s="1"/>
  <c r="T44" i="2"/>
  <c r="V44" i="2" s="1"/>
  <c r="W44" i="2" s="1"/>
  <c r="AC44" i="2"/>
  <c r="Q44" i="2"/>
  <c r="AK44" i="2"/>
  <c r="P44" i="2"/>
  <c r="R44" i="2" s="1"/>
  <c r="S44" i="2" s="1"/>
  <c r="Y44" i="2"/>
  <c r="X44" i="2"/>
  <c r="Z44" i="2" s="1"/>
  <c r="AA44" i="2" s="1"/>
  <c r="AG44" i="2"/>
  <c r="U44" i="2"/>
  <c r="AF44" i="2"/>
  <c r="AH44" i="2" s="1"/>
  <c r="AI44" i="2" s="1"/>
  <c r="J18" i="6"/>
  <c r="E18" i="6"/>
  <c r="F18" i="6"/>
  <c r="I40" i="6"/>
  <c r="H40" i="6"/>
  <c r="I25" i="6"/>
  <c r="H25" i="6"/>
  <c r="I26" i="6"/>
  <c r="H26" i="6"/>
  <c r="I36" i="6"/>
  <c r="H36" i="6"/>
  <c r="I15" i="6"/>
  <c r="H15" i="6"/>
  <c r="E21" i="6"/>
  <c r="J21" i="6"/>
  <c r="F21" i="6"/>
  <c r="I28" i="6"/>
  <c r="H28" i="6"/>
  <c r="J57" i="6"/>
  <c r="F57" i="6"/>
  <c r="E57" i="6"/>
  <c r="F62" i="6"/>
  <c r="E62" i="6"/>
  <c r="J62" i="6"/>
  <c r="F35" i="6"/>
  <c r="E35" i="6"/>
  <c r="J35" i="6"/>
  <c r="H38" i="6"/>
  <c r="I38" i="6"/>
  <c r="J40" i="6"/>
  <c r="F40" i="6"/>
  <c r="E40" i="6"/>
  <c r="V107" i="6"/>
  <c r="W107" i="6"/>
  <c r="W186" i="6"/>
  <c r="V186" i="6"/>
  <c r="Q94" i="6"/>
  <c r="P94" i="6"/>
  <c r="Q206" i="6"/>
  <c r="P206" i="6"/>
  <c r="Q136" i="6"/>
  <c r="P136" i="6"/>
  <c r="W86" i="6"/>
  <c r="V86" i="6"/>
  <c r="W100" i="6"/>
  <c r="V100" i="6"/>
  <c r="V89" i="6"/>
  <c r="W89" i="6"/>
  <c r="W118" i="6"/>
  <c r="V118" i="6"/>
  <c r="W129" i="6"/>
  <c r="V129" i="6"/>
  <c r="W124" i="6"/>
  <c r="V124" i="6"/>
  <c r="W176" i="6"/>
  <c r="V176" i="6"/>
  <c r="V178" i="6"/>
  <c r="W178" i="6"/>
  <c r="W194" i="6"/>
  <c r="V194" i="6"/>
  <c r="W182" i="6"/>
  <c r="V182" i="6"/>
  <c r="W200" i="6"/>
  <c r="V200" i="6"/>
  <c r="W202" i="6"/>
  <c r="V202" i="6"/>
  <c r="V220" i="6"/>
  <c r="W220" i="6"/>
  <c r="Q99" i="6"/>
  <c r="P99" i="6"/>
  <c r="P85" i="6"/>
  <c r="Q85" i="6"/>
  <c r="Q92" i="6"/>
  <c r="P92" i="6"/>
  <c r="Q102" i="6"/>
  <c r="P102" i="6"/>
  <c r="Q116" i="6"/>
  <c r="P116" i="6"/>
  <c r="Q111" i="6"/>
  <c r="P111" i="6"/>
  <c r="P113" i="6"/>
  <c r="Q113" i="6"/>
  <c r="Q174" i="6"/>
  <c r="P174" i="6"/>
  <c r="P169" i="6"/>
  <c r="Q169" i="6"/>
  <c r="Q187" i="6"/>
  <c r="P187" i="6"/>
  <c r="P197" i="6"/>
  <c r="Q197" i="6"/>
  <c r="Q214" i="6"/>
  <c r="P214" i="6"/>
  <c r="Q209" i="6"/>
  <c r="P209" i="6"/>
  <c r="B126" i="2"/>
  <c r="B101" i="1" s="1"/>
  <c r="AK38" i="2"/>
  <c r="AC38" i="2"/>
  <c r="U38" i="2"/>
  <c r="AJ38" i="2"/>
  <c r="AL38" i="2" s="1"/>
  <c r="AM38" i="2" s="1"/>
  <c r="AB38" i="2"/>
  <c r="AD38" i="2" s="1"/>
  <c r="AE38" i="2" s="1"/>
  <c r="T38" i="2"/>
  <c r="V38" i="2" s="1"/>
  <c r="W38" i="2" s="1"/>
  <c r="AG38" i="2"/>
  <c r="Y38" i="2"/>
  <c r="Q38" i="2"/>
  <c r="AF38" i="2"/>
  <c r="AH38" i="2" s="1"/>
  <c r="AI38" i="2" s="1"/>
  <c r="X38" i="2"/>
  <c r="Z38" i="2" s="1"/>
  <c r="AA38" i="2" s="1"/>
  <c r="P38" i="2"/>
  <c r="R38" i="2" s="1"/>
  <c r="S38" i="2" s="1"/>
  <c r="AK47" i="2"/>
  <c r="AC47" i="2"/>
  <c r="U47" i="2"/>
  <c r="AJ47" i="2"/>
  <c r="AL47" i="2" s="1"/>
  <c r="AM47" i="2" s="1"/>
  <c r="AB47" i="2"/>
  <c r="AD47" i="2" s="1"/>
  <c r="AE47" i="2" s="1"/>
  <c r="T47" i="2"/>
  <c r="V47" i="2" s="1"/>
  <c r="W47" i="2" s="1"/>
  <c r="AG47" i="2"/>
  <c r="AF47" i="2"/>
  <c r="AH47" i="2" s="1"/>
  <c r="AI47" i="2" s="1"/>
  <c r="Y47" i="2"/>
  <c r="X47" i="2"/>
  <c r="Z47" i="2" s="1"/>
  <c r="AA47" i="2" s="1"/>
  <c r="P47" i="2"/>
  <c r="R47" i="2" s="1"/>
  <c r="S47" i="2" s="1"/>
  <c r="Q47" i="2"/>
  <c r="AG49" i="2"/>
  <c r="Y49" i="2"/>
  <c r="Q49" i="2"/>
  <c r="AF49" i="2"/>
  <c r="AH49" i="2" s="1"/>
  <c r="AI49" i="2" s="1"/>
  <c r="X49" i="2"/>
  <c r="Z49" i="2" s="1"/>
  <c r="AA49" i="2" s="1"/>
  <c r="P49" i="2"/>
  <c r="R49" i="2" s="1"/>
  <c r="S49" i="2" s="1"/>
  <c r="U49" i="2"/>
  <c r="AB49" i="2"/>
  <c r="AD49" i="2" s="1"/>
  <c r="AE49" i="2" s="1"/>
  <c r="T49" i="2"/>
  <c r="V49" i="2" s="1"/>
  <c r="W49" i="2" s="1"/>
  <c r="AK49" i="2"/>
  <c r="AJ49" i="2"/>
  <c r="AL49" i="2" s="1"/>
  <c r="AM49" i="2" s="1"/>
  <c r="AC49" i="2"/>
  <c r="F27" i="6"/>
  <c r="E27" i="6"/>
  <c r="J27" i="6"/>
  <c r="I56" i="6"/>
  <c r="H56" i="6"/>
  <c r="I29" i="6"/>
  <c r="H29" i="6"/>
  <c r="I30" i="6"/>
  <c r="H30" i="6"/>
  <c r="H39" i="6"/>
  <c r="I39" i="6"/>
  <c r="I19" i="6"/>
  <c r="H19" i="6"/>
  <c r="E25" i="6"/>
  <c r="J25" i="6"/>
  <c r="F25" i="6"/>
  <c r="I32" i="6"/>
  <c r="H32" i="6"/>
  <c r="J61" i="6"/>
  <c r="F61" i="6"/>
  <c r="E61" i="6"/>
  <c r="I37" i="6"/>
  <c r="H37" i="6"/>
  <c r="F39" i="6"/>
  <c r="E39" i="6"/>
  <c r="J39" i="6"/>
  <c r="H42" i="6"/>
  <c r="I42" i="6"/>
  <c r="J44" i="6"/>
  <c r="F44" i="6"/>
  <c r="E44" i="6"/>
  <c r="K94" i="6" l="1"/>
  <c r="B264" i="2"/>
  <c r="B198" i="1" s="1"/>
  <c r="B241" i="2"/>
  <c r="B196" i="1" s="1"/>
  <c r="B268" i="2"/>
  <c r="B202" i="1" s="1"/>
  <c r="E268" i="2"/>
  <c r="E131" i="6"/>
  <c r="B226" i="2"/>
  <c r="B182" i="1" s="1"/>
  <c r="V136" i="6"/>
  <c r="B217" i="2"/>
  <c r="AM14" i="2"/>
  <c r="J108" i="6"/>
  <c r="R108" i="6" s="1"/>
  <c r="T108" i="6" s="1"/>
  <c r="J101" i="6"/>
  <c r="R101" i="6" s="1"/>
  <c r="AL7" i="2"/>
  <c r="AM7" i="2" s="1"/>
  <c r="E101" i="6"/>
  <c r="AH6" i="2"/>
  <c r="AI6" i="2" s="1"/>
  <c r="G82" i="6"/>
  <c r="I82" i="6" s="1"/>
  <c r="H101" i="6"/>
  <c r="AM17" i="2"/>
  <c r="B201" i="2"/>
  <c r="F119" i="6"/>
  <c r="D190" i="6"/>
  <c r="G190" i="6" s="1"/>
  <c r="I190" i="6" s="1"/>
  <c r="D169" i="6"/>
  <c r="G169" i="6" s="1"/>
  <c r="I169" i="6" s="1"/>
  <c r="F101" i="6"/>
  <c r="E118" i="6"/>
  <c r="J127" i="6"/>
  <c r="R127" i="6" s="1"/>
  <c r="E127" i="6"/>
  <c r="V13" i="2"/>
  <c r="W13" i="2" s="1"/>
  <c r="AA6" i="2"/>
  <c r="J92" i="6"/>
  <c r="R92" i="6" s="1"/>
  <c r="T92" i="6" s="1"/>
  <c r="W15" i="2"/>
  <c r="S6" i="2"/>
  <c r="W7" i="2"/>
  <c r="E129" i="6"/>
  <c r="E134" i="6"/>
  <c r="F129" i="6"/>
  <c r="E94" i="6"/>
  <c r="G129" i="6"/>
  <c r="H129" i="6" s="1"/>
  <c r="K129" i="6"/>
  <c r="G135" i="6"/>
  <c r="I135" i="6" s="1"/>
  <c r="AH15" i="2"/>
  <c r="AI15" i="2" s="1"/>
  <c r="W8" i="2"/>
  <c r="G134" i="6"/>
  <c r="R134" i="6" s="1"/>
  <c r="AD6" i="2"/>
  <c r="AE6" i="2" s="1"/>
  <c r="K134" i="6"/>
  <c r="E119" i="6"/>
  <c r="L104" i="6"/>
  <c r="G119" i="6"/>
  <c r="R119" i="6" s="1"/>
  <c r="T119" i="6" s="1"/>
  <c r="E114" i="6"/>
  <c r="F114" i="6"/>
  <c r="E111" i="6"/>
  <c r="F111" i="6"/>
  <c r="AH13" i="2"/>
  <c r="AI13" i="2" s="1"/>
  <c r="F106" i="6"/>
  <c r="F83" i="6"/>
  <c r="V6" i="2"/>
  <c r="W6" i="2" s="1"/>
  <c r="AD7" i="2"/>
  <c r="AE7" i="2" s="1"/>
  <c r="AM15" i="2"/>
  <c r="J114" i="6"/>
  <c r="R114" i="6" s="1"/>
  <c r="J110" i="6"/>
  <c r="R110" i="6" s="1"/>
  <c r="S110" i="6" s="1"/>
  <c r="F110" i="6"/>
  <c r="E110" i="6"/>
  <c r="F105" i="6"/>
  <c r="G136" i="6"/>
  <c r="R136" i="6" s="1"/>
  <c r="F136" i="6"/>
  <c r="E136" i="6"/>
  <c r="K133" i="6"/>
  <c r="E100" i="6"/>
  <c r="E92" i="6"/>
  <c r="F103" i="6"/>
  <c r="F92" i="6"/>
  <c r="F100" i="6"/>
  <c r="E103" i="6"/>
  <c r="D202" i="6"/>
  <c r="J202" i="6" s="1"/>
  <c r="K202" i="6" s="1"/>
  <c r="D196" i="6"/>
  <c r="G196" i="6" s="1"/>
  <c r="I196" i="6" s="1"/>
  <c r="J113" i="6"/>
  <c r="L113" i="6" s="1"/>
  <c r="F130" i="6"/>
  <c r="D171" i="6"/>
  <c r="G171" i="6" s="1"/>
  <c r="H171" i="6" s="1"/>
  <c r="J219" i="6"/>
  <c r="L219" i="6" s="1"/>
  <c r="D177" i="6"/>
  <c r="G177" i="6" s="1"/>
  <c r="D191" i="6"/>
  <c r="J191" i="6" s="1"/>
  <c r="L191" i="6" s="1"/>
  <c r="D176" i="6"/>
  <c r="G176" i="6" s="1"/>
  <c r="I176" i="6" s="1"/>
  <c r="D182" i="6"/>
  <c r="G182" i="6" s="1"/>
  <c r="E113" i="6"/>
  <c r="F113" i="6"/>
  <c r="J83" i="6"/>
  <c r="L83" i="6" s="1"/>
  <c r="G83" i="6"/>
  <c r="I83" i="6" s="1"/>
  <c r="I113" i="6"/>
  <c r="G122" i="6"/>
  <c r="I122" i="6" s="1"/>
  <c r="AA15" i="2"/>
  <c r="D203" i="6"/>
  <c r="G203" i="6" s="1"/>
  <c r="I203" i="6" s="1"/>
  <c r="AH14" i="2"/>
  <c r="AI14" i="2" s="1"/>
  <c r="F124" i="6"/>
  <c r="E84" i="6"/>
  <c r="E124" i="6"/>
  <c r="F84" i="6"/>
  <c r="K124" i="6"/>
  <c r="V135" i="6"/>
  <c r="H84" i="6"/>
  <c r="AA17" i="2"/>
  <c r="J84" i="6"/>
  <c r="L84" i="6" s="1"/>
  <c r="G124" i="6"/>
  <c r="R124" i="6" s="1"/>
  <c r="AE8" i="2"/>
  <c r="E96" i="6"/>
  <c r="AM6" i="2"/>
  <c r="I92" i="6"/>
  <c r="I103" i="6"/>
  <c r="J103" i="6"/>
  <c r="R103" i="6" s="1"/>
  <c r="G100" i="6"/>
  <c r="R100" i="6" s="1"/>
  <c r="S100" i="6" s="1"/>
  <c r="L136" i="6"/>
  <c r="E105" i="6"/>
  <c r="J109" i="6"/>
  <c r="R109" i="6" s="1"/>
  <c r="S109" i="6" s="1"/>
  <c r="E120" i="6"/>
  <c r="I91" i="6"/>
  <c r="E112" i="6"/>
  <c r="F128" i="6"/>
  <c r="F120" i="6"/>
  <c r="F112" i="6"/>
  <c r="J128" i="6"/>
  <c r="L128" i="6" s="1"/>
  <c r="R12" i="2"/>
  <c r="S12" i="2" s="1"/>
  <c r="P135" i="6"/>
  <c r="E109" i="6"/>
  <c r="H81" i="6"/>
  <c r="F109" i="6"/>
  <c r="G104" i="6"/>
  <c r="R104" i="6" s="1"/>
  <c r="AA14" i="2"/>
  <c r="F80" i="6"/>
  <c r="E80" i="6"/>
  <c r="J112" i="6"/>
  <c r="R112" i="6" s="1"/>
  <c r="G120" i="6"/>
  <c r="I120" i="6" s="1"/>
  <c r="E128" i="6"/>
  <c r="G80" i="6"/>
  <c r="R80" i="6" s="1"/>
  <c r="E95" i="6"/>
  <c r="F127" i="6"/>
  <c r="F82" i="6"/>
  <c r="G102" i="6"/>
  <c r="H102" i="6" s="1"/>
  <c r="F102" i="6"/>
  <c r="E93" i="6"/>
  <c r="I96" i="6"/>
  <c r="H116" i="6"/>
  <c r="F96" i="6"/>
  <c r="E82" i="6"/>
  <c r="E133" i="6"/>
  <c r="I127" i="6"/>
  <c r="K93" i="6"/>
  <c r="K95" i="6"/>
  <c r="F133" i="6"/>
  <c r="F116" i="6"/>
  <c r="J116" i="6"/>
  <c r="G93" i="6"/>
  <c r="R93" i="6" s="1"/>
  <c r="F95" i="6"/>
  <c r="E116" i="6"/>
  <c r="G95" i="6"/>
  <c r="J96" i="6"/>
  <c r="R96" i="6" s="1"/>
  <c r="T96" i="6" s="1"/>
  <c r="G133" i="6"/>
  <c r="I133" i="6" s="1"/>
  <c r="AD13" i="2"/>
  <c r="AE13" i="2" s="1"/>
  <c r="H128" i="6"/>
  <c r="L100" i="6"/>
  <c r="S13" i="2"/>
  <c r="E104" i="6"/>
  <c r="AM8" i="2"/>
  <c r="L120" i="6"/>
  <c r="F104" i="6"/>
  <c r="K105" i="6"/>
  <c r="F108" i="6"/>
  <c r="H112" i="6"/>
  <c r="I109" i="6"/>
  <c r="K80" i="6"/>
  <c r="E108" i="6"/>
  <c r="G105" i="6"/>
  <c r="R105" i="6" s="1"/>
  <c r="I111" i="6"/>
  <c r="L102" i="6"/>
  <c r="G79" i="6"/>
  <c r="R79" i="6" s="1"/>
  <c r="H86" i="6"/>
  <c r="AI8" i="2"/>
  <c r="F79" i="6"/>
  <c r="K98" i="6"/>
  <c r="G98" i="6"/>
  <c r="I98" i="6" s="1"/>
  <c r="E99" i="6"/>
  <c r="L79" i="6"/>
  <c r="E86" i="6"/>
  <c r="F99" i="6"/>
  <c r="L99" i="6"/>
  <c r="E91" i="6"/>
  <c r="E121" i="6"/>
  <c r="F98" i="6"/>
  <c r="J91" i="6"/>
  <c r="R91" i="6" s="1"/>
  <c r="E79" i="6"/>
  <c r="E81" i="6"/>
  <c r="J86" i="6"/>
  <c r="R86" i="6" s="1"/>
  <c r="T86" i="6" s="1"/>
  <c r="G87" i="6"/>
  <c r="H87" i="6" s="1"/>
  <c r="G121" i="6"/>
  <c r="R121" i="6" s="1"/>
  <c r="F91" i="6"/>
  <c r="F121" i="6"/>
  <c r="E98" i="6"/>
  <c r="F86" i="6"/>
  <c r="J87" i="6"/>
  <c r="K87" i="6" s="1"/>
  <c r="F81" i="6"/>
  <c r="E125" i="6"/>
  <c r="D200" i="6"/>
  <c r="G200" i="6" s="1"/>
  <c r="H200" i="6" s="1"/>
  <c r="D180" i="6"/>
  <c r="J180" i="6" s="1"/>
  <c r="D225" i="6"/>
  <c r="G225" i="6" s="1"/>
  <c r="D174" i="6"/>
  <c r="G174" i="6" s="1"/>
  <c r="H174" i="6" s="1"/>
  <c r="AI12" i="2"/>
  <c r="F125" i="6"/>
  <c r="D194" i="6"/>
  <c r="E194" i="6" s="1"/>
  <c r="D213" i="6"/>
  <c r="F213" i="6" s="1"/>
  <c r="K125" i="6"/>
  <c r="D170" i="6"/>
  <c r="G170" i="6" s="1"/>
  <c r="I170" i="6" s="1"/>
  <c r="G132" i="6"/>
  <c r="R132" i="6" s="1"/>
  <c r="B75" i="2"/>
  <c r="B77" i="2" s="1"/>
  <c r="B46" i="1" s="1"/>
  <c r="G125" i="6"/>
  <c r="R125" i="6" s="1"/>
  <c r="D188" i="6"/>
  <c r="G188" i="6" s="1"/>
  <c r="I188" i="6" s="1"/>
  <c r="B239" i="2"/>
  <c r="B227" i="6" s="1"/>
  <c r="C227" i="6" s="1"/>
  <c r="D227" i="6" s="1"/>
  <c r="G227" i="6" s="1"/>
  <c r="D216" i="6"/>
  <c r="E216" i="6" s="1"/>
  <c r="D226" i="6"/>
  <c r="J226" i="6" s="1"/>
  <c r="L226" i="6" s="1"/>
  <c r="L131" i="6"/>
  <c r="K132" i="6"/>
  <c r="Z16" i="2"/>
  <c r="AA16" i="2" s="1"/>
  <c r="D178" i="6"/>
  <c r="G178" i="6" s="1"/>
  <c r="H178" i="6" s="1"/>
  <c r="D192" i="6"/>
  <c r="F192" i="6" s="1"/>
  <c r="E132" i="6"/>
  <c r="D218" i="6"/>
  <c r="E218" i="6" s="1"/>
  <c r="D220" i="6"/>
  <c r="G220" i="6" s="1"/>
  <c r="D221" i="6"/>
  <c r="G221" i="6" s="1"/>
  <c r="I221" i="6" s="1"/>
  <c r="D222" i="6"/>
  <c r="F222" i="6" s="1"/>
  <c r="D183" i="6"/>
  <c r="G183" i="6" s="1"/>
  <c r="H183" i="6" s="1"/>
  <c r="F132" i="6"/>
  <c r="F134" i="6"/>
  <c r="F93" i="6"/>
  <c r="H114" i="6"/>
  <c r="K119" i="6"/>
  <c r="G99" i="6"/>
  <c r="J81" i="6"/>
  <c r="K81" i="6" s="1"/>
  <c r="D215" i="6"/>
  <c r="J215" i="6" s="1"/>
  <c r="K215" i="6" s="1"/>
  <c r="D197" i="6"/>
  <c r="J197" i="6" s="1"/>
  <c r="L197" i="6" s="1"/>
  <c r="G131" i="6"/>
  <c r="R131" i="6" s="1"/>
  <c r="D201" i="6"/>
  <c r="G201" i="6" s="1"/>
  <c r="H201" i="6" s="1"/>
  <c r="D211" i="6"/>
  <c r="J211" i="6" s="1"/>
  <c r="L211" i="6" s="1"/>
  <c r="D212" i="6"/>
  <c r="E212" i="6" s="1"/>
  <c r="D195" i="6"/>
  <c r="G195" i="6" s="1"/>
  <c r="H195" i="6" s="1"/>
  <c r="J111" i="6"/>
  <c r="L111" i="6" s="1"/>
  <c r="E87" i="6"/>
  <c r="AA12" i="2"/>
  <c r="D209" i="6"/>
  <c r="J209" i="6" s="1"/>
  <c r="L209" i="6" s="1"/>
  <c r="D175" i="6"/>
  <c r="J175" i="6" s="1"/>
  <c r="K175" i="6" s="1"/>
  <c r="D199" i="6"/>
  <c r="G199" i="6" s="1"/>
  <c r="I199" i="6" s="1"/>
  <c r="B30" i="2"/>
  <c r="B28" i="1" s="1"/>
  <c r="F131" i="6"/>
  <c r="D207" i="6"/>
  <c r="J207" i="6" s="1"/>
  <c r="L207" i="6" s="1"/>
  <c r="D210" i="6"/>
  <c r="J210" i="6" s="1"/>
  <c r="D193" i="6"/>
  <c r="G193" i="6" s="1"/>
  <c r="I193" i="6" s="1"/>
  <c r="D173" i="6"/>
  <c r="G173" i="6" s="1"/>
  <c r="H173" i="6" s="1"/>
  <c r="B105" i="2"/>
  <c r="E102" i="6"/>
  <c r="F94" i="6"/>
  <c r="G94" i="6"/>
  <c r="V9" i="2"/>
  <c r="W9" i="2" s="1"/>
  <c r="F126" i="6"/>
  <c r="E106" i="6"/>
  <c r="G126" i="6"/>
  <c r="I126" i="6" s="1"/>
  <c r="Z9" i="2"/>
  <c r="AA9" i="2" s="1"/>
  <c r="E126" i="6"/>
  <c r="J123" i="6"/>
  <c r="R123" i="6" s="1"/>
  <c r="T123" i="6" s="1"/>
  <c r="F90" i="6"/>
  <c r="H118" i="6"/>
  <c r="K106" i="6"/>
  <c r="E90" i="6"/>
  <c r="E107" i="6"/>
  <c r="J118" i="6"/>
  <c r="R118" i="6" s="1"/>
  <c r="L126" i="6"/>
  <c r="G106" i="6"/>
  <c r="I106" i="6" s="1"/>
  <c r="G107" i="6"/>
  <c r="W12" i="2"/>
  <c r="F107" i="6"/>
  <c r="J90" i="6"/>
  <c r="R90" i="6" s="1"/>
  <c r="I123" i="6"/>
  <c r="E123" i="6"/>
  <c r="K107" i="6"/>
  <c r="F118" i="6"/>
  <c r="F123" i="6"/>
  <c r="K122" i="6"/>
  <c r="D204" i="6"/>
  <c r="F204" i="6" s="1"/>
  <c r="F88" i="6"/>
  <c r="AM13" i="2"/>
  <c r="J130" i="6"/>
  <c r="D208" i="6"/>
  <c r="F208" i="6" s="1"/>
  <c r="Z13" i="2"/>
  <c r="AA13" i="2" s="1"/>
  <c r="D198" i="6"/>
  <c r="J198" i="6" s="1"/>
  <c r="L198" i="6" s="1"/>
  <c r="E88" i="6"/>
  <c r="E89" i="6"/>
  <c r="E115" i="6"/>
  <c r="G89" i="6"/>
  <c r="H89" i="6" s="1"/>
  <c r="F89" i="6"/>
  <c r="F115" i="6"/>
  <c r="I88" i="6"/>
  <c r="G130" i="6"/>
  <c r="I130" i="6" s="1"/>
  <c r="E122" i="6"/>
  <c r="G115" i="6"/>
  <c r="H115" i="6" s="1"/>
  <c r="F122" i="6"/>
  <c r="G117" i="6"/>
  <c r="I117" i="6" s="1"/>
  <c r="E117" i="6"/>
  <c r="K115" i="6"/>
  <c r="J88" i="6"/>
  <c r="J117" i="6"/>
  <c r="J97" i="6"/>
  <c r="R97" i="6" s="1"/>
  <c r="T97" i="6" s="1"/>
  <c r="F97" i="6"/>
  <c r="B228" i="6"/>
  <c r="C228" i="6" s="1"/>
  <c r="D228" i="6" s="1"/>
  <c r="J228" i="6" s="1"/>
  <c r="K228" i="6" s="1"/>
  <c r="AA7" i="2"/>
  <c r="G85" i="6"/>
  <c r="AI10" i="2"/>
  <c r="AA11" i="2"/>
  <c r="I97" i="6"/>
  <c r="V11" i="2"/>
  <c r="W11" i="2" s="1"/>
  <c r="B221" i="2"/>
  <c r="B223" i="2" s="1"/>
  <c r="B224" i="2" s="1"/>
  <c r="J85" i="6"/>
  <c r="K85" i="6" s="1"/>
  <c r="E85" i="6"/>
  <c r="E97" i="6"/>
  <c r="AH16" i="2"/>
  <c r="AI16" i="2" s="1"/>
  <c r="AH7" i="2"/>
  <c r="AI7" i="2" s="1"/>
  <c r="D214" i="6"/>
  <c r="F214" i="6" s="1"/>
  <c r="D184" i="6"/>
  <c r="J184" i="6" s="1"/>
  <c r="K184" i="6" s="1"/>
  <c r="S9" i="2"/>
  <c r="D224" i="6"/>
  <c r="J224" i="6" s="1"/>
  <c r="L224" i="6" s="1"/>
  <c r="D187" i="6"/>
  <c r="F187" i="6" s="1"/>
  <c r="AM11" i="2"/>
  <c r="D185" i="6"/>
  <c r="E185" i="6" s="1"/>
  <c r="D172" i="6"/>
  <c r="F172" i="6" s="1"/>
  <c r="G219" i="6"/>
  <c r="AL16" i="2"/>
  <c r="AM16" i="2" s="1"/>
  <c r="D186" i="6"/>
  <c r="E186" i="6" s="1"/>
  <c r="D181" i="6"/>
  <c r="G181" i="6" s="1"/>
  <c r="I181" i="6" s="1"/>
  <c r="D179" i="6"/>
  <c r="J179" i="6" s="1"/>
  <c r="L179" i="6" s="1"/>
  <c r="D206" i="6"/>
  <c r="G206" i="6" s="1"/>
  <c r="H206" i="6" s="1"/>
  <c r="D189" i="6"/>
  <c r="J189" i="6" s="1"/>
  <c r="L189" i="6" s="1"/>
  <c r="D205" i="6"/>
  <c r="J205" i="6" s="1"/>
  <c r="K205" i="6" s="1"/>
  <c r="D223" i="6"/>
  <c r="E223" i="6" s="1"/>
  <c r="AL12" i="2"/>
  <c r="AM12" i="2" s="1"/>
  <c r="D217" i="6"/>
  <c r="F217" i="6" s="1"/>
  <c r="AE12" i="2"/>
  <c r="Z10" i="2"/>
  <c r="AA10" i="2" s="1"/>
  <c r="Z8" i="2"/>
  <c r="AA8" i="2" s="1"/>
  <c r="AM10" i="2"/>
  <c r="AH9" i="2"/>
  <c r="AI9" i="2" s="1"/>
  <c r="AL9" i="2"/>
  <c r="AM9" i="2" s="1"/>
  <c r="F135" i="6"/>
  <c r="R8" i="2"/>
  <c r="S8" i="2" s="1"/>
  <c r="E135" i="6"/>
  <c r="AE10" i="2"/>
  <c r="E219" i="6"/>
  <c r="K135" i="6"/>
  <c r="V16" i="2"/>
  <c r="W16" i="2" s="1"/>
  <c r="S11" i="2"/>
  <c r="R10" i="2"/>
  <c r="S10" i="2" s="1"/>
  <c r="AD11" i="2"/>
  <c r="AE11" i="2" s="1"/>
  <c r="AI11" i="2"/>
  <c r="L11" i="6"/>
  <c r="K11" i="6"/>
  <c r="K22" i="6"/>
  <c r="L22" i="6"/>
  <c r="L33" i="6"/>
  <c r="K33" i="6"/>
  <c r="K27" i="6"/>
  <c r="L27" i="6"/>
  <c r="O137" i="6"/>
  <c r="U137" i="6"/>
  <c r="D137" i="6"/>
  <c r="G137" i="6" s="1"/>
  <c r="K15" i="6"/>
  <c r="L15" i="6"/>
  <c r="L51" i="6"/>
  <c r="K51" i="6"/>
  <c r="I110" i="6"/>
  <c r="H110" i="6"/>
  <c r="L52" i="6"/>
  <c r="K52" i="6"/>
  <c r="L42" i="6"/>
  <c r="K42" i="6"/>
  <c r="L34" i="6"/>
  <c r="K34" i="6"/>
  <c r="L40" i="6"/>
  <c r="K40" i="6"/>
  <c r="L39" i="6"/>
  <c r="K39" i="6"/>
  <c r="L53" i="6"/>
  <c r="K53" i="6"/>
  <c r="L32" i="6"/>
  <c r="K32" i="6"/>
  <c r="L54" i="6"/>
  <c r="K54" i="6"/>
  <c r="K82" i="6"/>
  <c r="L82" i="6"/>
  <c r="L55" i="6"/>
  <c r="K55" i="6"/>
  <c r="L20" i="6"/>
  <c r="K20" i="6"/>
  <c r="K9" i="6"/>
  <c r="L9" i="6"/>
  <c r="U226" i="6"/>
  <c r="O226" i="6"/>
  <c r="L48" i="6"/>
  <c r="K48" i="6"/>
  <c r="L29" i="6"/>
  <c r="K29" i="6"/>
  <c r="L36" i="6"/>
  <c r="K36" i="6"/>
  <c r="L89" i="6"/>
  <c r="K89" i="6"/>
  <c r="K30" i="6"/>
  <c r="L30" i="6"/>
  <c r="K26" i="6"/>
  <c r="L26" i="6"/>
  <c r="L13" i="6"/>
  <c r="K13" i="6"/>
  <c r="K31" i="6"/>
  <c r="L31" i="6"/>
  <c r="L41" i="6"/>
  <c r="K41" i="6"/>
  <c r="K10" i="6"/>
  <c r="L10" i="6"/>
  <c r="L43" i="6"/>
  <c r="K43" i="6"/>
  <c r="L35" i="6"/>
  <c r="K35" i="6"/>
  <c r="L57" i="6"/>
  <c r="K57" i="6"/>
  <c r="L45" i="6"/>
  <c r="K45" i="6"/>
  <c r="L24" i="6"/>
  <c r="K24" i="6"/>
  <c r="L121" i="6"/>
  <c r="K121" i="6"/>
  <c r="L47" i="6"/>
  <c r="K47" i="6"/>
  <c r="L12" i="6"/>
  <c r="K12" i="6"/>
  <c r="L21" i="6"/>
  <c r="K21" i="6"/>
  <c r="L25" i="6"/>
  <c r="K25" i="6"/>
  <c r="L58" i="6"/>
  <c r="K58" i="6"/>
  <c r="L59" i="6"/>
  <c r="K59" i="6"/>
  <c r="O225" i="6"/>
  <c r="U225" i="6"/>
  <c r="K14" i="6"/>
  <c r="L14" i="6"/>
  <c r="K8" i="6"/>
  <c r="L8" i="6"/>
  <c r="I108" i="6"/>
  <c r="H108" i="6"/>
  <c r="K18" i="6"/>
  <c r="L18" i="6"/>
  <c r="L17" i="6"/>
  <c r="K17" i="6"/>
  <c r="K23" i="6"/>
  <c r="L23" i="6"/>
  <c r="L108" i="6"/>
  <c r="L56" i="6"/>
  <c r="K56" i="6"/>
  <c r="L46" i="6"/>
  <c r="K46" i="6"/>
  <c r="L37" i="6"/>
  <c r="K37" i="6"/>
  <c r="L16" i="6"/>
  <c r="K16" i="6"/>
  <c r="K19" i="6"/>
  <c r="L19" i="6"/>
  <c r="I90" i="6"/>
  <c r="H90" i="6"/>
  <c r="L38" i="6"/>
  <c r="K38" i="6"/>
  <c r="L61" i="6"/>
  <c r="K61" i="6"/>
  <c r="L44" i="6"/>
  <c r="K44" i="6"/>
  <c r="L62" i="6"/>
  <c r="K62" i="6"/>
  <c r="L49" i="6"/>
  <c r="K49" i="6"/>
  <c r="L28" i="6"/>
  <c r="K28" i="6"/>
  <c r="L60" i="6"/>
  <c r="K60" i="6"/>
  <c r="L50" i="6"/>
  <c r="K50" i="6"/>
  <c r="K101" i="6" l="1"/>
  <c r="L101" i="6"/>
  <c r="J178" i="6"/>
  <c r="R84" i="6"/>
  <c r="H169" i="6"/>
  <c r="E169" i="6"/>
  <c r="J169" i="6"/>
  <c r="L169" i="6" s="1"/>
  <c r="F169" i="6"/>
  <c r="B168" i="1"/>
  <c r="D217" i="2"/>
  <c r="E182" i="6"/>
  <c r="AA47" i="6" a="1"/>
  <c r="AA47" i="6" s="1"/>
  <c r="Z47" i="6" a="1"/>
  <c r="Z47" i="6" s="1"/>
  <c r="Z46" i="6" a="1"/>
  <c r="Z46" i="6" s="1"/>
  <c r="AA46" i="6" a="1"/>
  <c r="AA46" i="6" s="1"/>
  <c r="AA45" i="6" a="1"/>
  <c r="AA45" i="6" s="1"/>
  <c r="Z45" i="6" a="1"/>
  <c r="Z45" i="6" s="1"/>
  <c r="K108" i="6"/>
  <c r="T90" i="6"/>
  <c r="K84" i="6"/>
  <c r="L92" i="6"/>
  <c r="E190" i="6"/>
  <c r="H190" i="6"/>
  <c r="F190" i="6"/>
  <c r="J190" i="6"/>
  <c r="R190" i="6" s="1"/>
  <c r="B180" i="1"/>
  <c r="T100" i="6"/>
  <c r="S92" i="6"/>
  <c r="I125" i="6"/>
  <c r="E178" i="6"/>
  <c r="I178" i="6"/>
  <c r="H125" i="6"/>
  <c r="H193" i="6"/>
  <c r="F176" i="6"/>
  <c r="E202" i="6"/>
  <c r="R82" i="6"/>
  <c r="T82" i="6" s="1"/>
  <c r="H82" i="6"/>
  <c r="R102" i="6"/>
  <c r="T102" i="6" s="1"/>
  <c r="S101" i="6"/>
  <c r="T101" i="6"/>
  <c r="J182" i="6"/>
  <c r="K182" i="6" s="1"/>
  <c r="H134" i="6"/>
  <c r="L112" i="6"/>
  <c r="K197" i="6"/>
  <c r="H196" i="6"/>
  <c r="H203" i="6"/>
  <c r="I134" i="6"/>
  <c r="J203" i="6"/>
  <c r="R203" i="6" s="1"/>
  <c r="F196" i="6"/>
  <c r="S134" i="6"/>
  <c r="B200" i="2" s="1"/>
  <c r="B203" i="2" s="1"/>
  <c r="B205" i="2" s="1"/>
  <c r="S114" i="6"/>
  <c r="T134" i="6"/>
  <c r="T114" i="6"/>
  <c r="K96" i="6"/>
  <c r="F202" i="6"/>
  <c r="L202" i="6"/>
  <c r="H120" i="6"/>
  <c r="R120" i="6"/>
  <c r="J176" i="6"/>
  <c r="L176" i="6" s="1"/>
  <c r="L127" i="6"/>
  <c r="K127" i="6"/>
  <c r="H176" i="6"/>
  <c r="E176" i="6"/>
  <c r="F170" i="6"/>
  <c r="G202" i="6"/>
  <c r="R202" i="6" s="1"/>
  <c r="T202" i="6" s="1"/>
  <c r="K123" i="6"/>
  <c r="K92" i="6"/>
  <c r="L123" i="6"/>
  <c r="E226" i="6"/>
  <c r="K112" i="6"/>
  <c r="I206" i="6"/>
  <c r="K113" i="6"/>
  <c r="T110" i="6"/>
  <c r="L110" i="6"/>
  <c r="S103" i="6"/>
  <c r="L103" i="6"/>
  <c r="K110" i="6"/>
  <c r="T103" i="6"/>
  <c r="R113" i="6"/>
  <c r="S113" i="6" s="1"/>
  <c r="K103" i="6"/>
  <c r="F171" i="6"/>
  <c r="K219" i="6"/>
  <c r="H83" i="6"/>
  <c r="R219" i="6"/>
  <c r="T219" i="6" s="1"/>
  <c r="I124" i="6"/>
  <c r="I129" i="6"/>
  <c r="E192" i="6"/>
  <c r="R129" i="6"/>
  <c r="L87" i="6"/>
  <c r="I93" i="6"/>
  <c r="I171" i="6"/>
  <c r="B108" i="2"/>
  <c r="B85" i="1" s="1"/>
  <c r="B106" i="2"/>
  <c r="B83" i="1" s="1"/>
  <c r="I136" i="6"/>
  <c r="H119" i="6"/>
  <c r="I119" i="6"/>
  <c r="R135" i="6"/>
  <c r="T135" i="6" s="1"/>
  <c r="J177" i="6"/>
  <c r="L177" i="6" s="1"/>
  <c r="S119" i="6"/>
  <c r="T109" i="6"/>
  <c r="H135" i="6"/>
  <c r="T136" i="6"/>
  <c r="S136" i="6"/>
  <c r="O228" i="6"/>
  <c r="P228" i="6" s="1"/>
  <c r="H136" i="6"/>
  <c r="I102" i="6"/>
  <c r="G207" i="6"/>
  <c r="R207" i="6" s="1"/>
  <c r="F207" i="6"/>
  <c r="G222" i="6"/>
  <c r="E222" i="6"/>
  <c r="E207" i="6"/>
  <c r="F200" i="6"/>
  <c r="J222" i="6"/>
  <c r="K222" i="6" s="1"/>
  <c r="E220" i="6"/>
  <c r="E200" i="6"/>
  <c r="J220" i="6"/>
  <c r="R220" i="6" s="1"/>
  <c r="I195" i="6"/>
  <c r="F220" i="6"/>
  <c r="J212" i="6"/>
  <c r="L212" i="6" s="1"/>
  <c r="I121" i="6"/>
  <c r="H170" i="6"/>
  <c r="G226" i="6"/>
  <c r="H226" i="6" s="1"/>
  <c r="F226" i="6"/>
  <c r="H121" i="6"/>
  <c r="J200" i="6"/>
  <c r="K200" i="6" s="1"/>
  <c r="E187" i="6"/>
  <c r="G179" i="6"/>
  <c r="R179" i="6" s="1"/>
  <c r="T179" i="6" s="1"/>
  <c r="R89" i="6"/>
  <c r="S89" i="6" s="1"/>
  <c r="F211" i="6"/>
  <c r="E213" i="6"/>
  <c r="H117" i="6"/>
  <c r="G218" i="6"/>
  <c r="H218" i="6" s="1"/>
  <c r="I89" i="6"/>
  <c r="I87" i="6"/>
  <c r="F216" i="6"/>
  <c r="E203" i="6"/>
  <c r="J193" i="6"/>
  <c r="K193" i="6" s="1"/>
  <c r="H132" i="6"/>
  <c r="F182" i="6"/>
  <c r="F178" i="6"/>
  <c r="G197" i="6"/>
  <c r="R197" i="6" s="1"/>
  <c r="E225" i="6"/>
  <c r="I100" i="6"/>
  <c r="F203" i="6"/>
  <c r="E193" i="6"/>
  <c r="J225" i="6"/>
  <c r="L225" i="6" s="1"/>
  <c r="I132" i="6"/>
  <c r="F225" i="6"/>
  <c r="I105" i="6"/>
  <c r="F193" i="6"/>
  <c r="E197" i="6"/>
  <c r="F197" i="6"/>
  <c r="J196" i="6"/>
  <c r="K196" i="6" s="1"/>
  <c r="E196" i="6"/>
  <c r="H100" i="6"/>
  <c r="L205" i="6"/>
  <c r="L114" i="6"/>
  <c r="K114" i="6"/>
  <c r="E179" i="6"/>
  <c r="F179" i="6"/>
  <c r="I200" i="6"/>
  <c r="K226" i="6"/>
  <c r="G212" i="6"/>
  <c r="H212" i="6" s="1"/>
  <c r="K179" i="6"/>
  <c r="F212" i="6"/>
  <c r="L90" i="6"/>
  <c r="J171" i="6"/>
  <c r="L171" i="6" s="1"/>
  <c r="J183" i="6"/>
  <c r="R183" i="6" s="1"/>
  <c r="S124" i="6"/>
  <c r="R83" i="6"/>
  <c r="T83" i="6" s="1"/>
  <c r="T124" i="6"/>
  <c r="I174" i="6"/>
  <c r="F174" i="6"/>
  <c r="I104" i="6"/>
  <c r="E172" i="6"/>
  <c r="E171" i="6"/>
  <c r="K83" i="6"/>
  <c r="S80" i="6"/>
  <c r="H124" i="6"/>
  <c r="K128" i="6"/>
  <c r="S93" i="6"/>
  <c r="H188" i="6"/>
  <c r="F223" i="6"/>
  <c r="H93" i="6"/>
  <c r="R115" i="6"/>
  <c r="K198" i="6"/>
  <c r="E204" i="6"/>
  <c r="T93" i="6"/>
  <c r="H131" i="6"/>
  <c r="E177" i="6"/>
  <c r="K109" i="6"/>
  <c r="F198" i="6"/>
  <c r="F177" i="6"/>
  <c r="G209" i="6"/>
  <c r="H209" i="6" s="1"/>
  <c r="E209" i="6"/>
  <c r="F188" i="6"/>
  <c r="I173" i="6"/>
  <c r="K209" i="6"/>
  <c r="J173" i="6"/>
  <c r="L173" i="6" s="1"/>
  <c r="L109" i="6"/>
  <c r="R128" i="6"/>
  <c r="E173" i="6"/>
  <c r="I79" i="6"/>
  <c r="J188" i="6"/>
  <c r="R188" i="6" s="1"/>
  <c r="K90" i="6"/>
  <c r="F173" i="6"/>
  <c r="L85" i="6"/>
  <c r="H79" i="6"/>
  <c r="F209" i="6"/>
  <c r="R122" i="6"/>
  <c r="S122" i="6" s="1"/>
  <c r="E191" i="6"/>
  <c r="G191" i="6"/>
  <c r="I191" i="6" s="1"/>
  <c r="H122" i="6"/>
  <c r="K191" i="6"/>
  <c r="F191" i="6"/>
  <c r="F218" i="6"/>
  <c r="K211" i="6"/>
  <c r="L118" i="6"/>
  <c r="E211" i="6"/>
  <c r="J216" i="6"/>
  <c r="K216" i="6" s="1"/>
  <c r="J218" i="6"/>
  <c r="K218" i="6" s="1"/>
  <c r="G211" i="6"/>
  <c r="H211" i="6" s="1"/>
  <c r="J199" i="6"/>
  <c r="R199" i="6" s="1"/>
  <c r="T199" i="6" s="1"/>
  <c r="G216" i="6"/>
  <c r="I216" i="6" s="1"/>
  <c r="H199" i="6"/>
  <c r="I115" i="6"/>
  <c r="E199" i="6"/>
  <c r="R87" i="6"/>
  <c r="S87" i="6" s="1"/>
  <c r="U227" i="6"/>
  <c r="W227" i="6" s="1"/>
  <c r="F199" i="6"/>
  <c r="E227" i="6"/>
  <c r="F201" i="6"/>
  <c r="E217" i="6"/>
  <c r="I201" i="6"/>
  <c r="O227" i="6"/>
  <c r="Q227" i="6" s="1"/>
  <c r="L175" i="6"/>
  <c r="F227" i="6"/>
  <c r="J194" i="6"/>
  <c r="K194" i="6" s="1"/>
  <c r="F186" i="6"/>
  <c r="G194" i="6"/>
  <c r="H194" i="6" s="1"/>
  <c r="G175" i="6"/>
  <c r="R175" i="6" s="1"/>
  <c r="T175" i="6" s="1"/>
  <c r="E175" i="6"/>
  <c r="J201" i="6"/>
  <c r="R201" i="6" s="1"/>
  <c r="F194" i="6"/>
  <c r="F175" i="6"/>
  <c r="S86" i="6"/>
  <c r="K86" i="6"/>
  <c r="L86" i="6"/>
  <c r="J227" i="6"/>
  <c r="L227" i="6" s="1"/>
  <c r="E201" i="6"/>
  <c r="U228" i="6"/>
  <c r="V228" i="6" s="1"/>
  <c r="H219" i="6"/>
  <c r="K207" i="6"/>
  <c r="E183" i="6"/>
  <c r="G210" i="6"/>
  <c r="H210" i="6" s="1"/>
  <c r="E174" i="6"/>
  <c r="L215" i="6"/>
  <c r="T80" i="6"/>
  <c r="B40" i="1"/>
  <c r="F183" i="6"/>
  <c r="E210" i="6"/>
  <c r="F205" i="6"/>
  <c r="J174" i="6"/>
  <c r="L174" i="6" s="1"/>
  <c r="F210" i="6"/>
  <c r="E205" i="6"/>
  <c r="I183" i="6"/>
  <c r="H80" i="6"/>
  <c r="G205" i="6"/>
  <c r="I205" i="6" s="1"/>
  <c r="T104" i="6"/>
  <c r="F215" i="6"/>
  <c r="E208" i="6"/>
  <c r="S104" i="6"/>
  <c r="E215" i="6"/>
  <c r="I80" i="6"/>
  <c r="G215" i="6"/>
  <c r="I215" i="6" s="1"/>
  <c r="H104" i="6"/>
  <c r="S123" i="6"/>
  <c r="I131" i="6"/>
  <c r="H181" i="6"/>
  <c r="G228" i="6"/>
  <c r="H228" i="6" s="1"/>
  <c r="E188" i="6"/>
  <c r="S108" i="6"/>
  <c r="E198" i="6"/>
  <c r="E228" i="6"/>
  <c r="F228" i="6"/>
  <c r="T91" i="6"/>
  <c r="S91" i="6"/>
  <c r="K97" i="6"/>
  <c r="H105" i="6"/>
  <c r="R133" i="6"/>
  <c r="R95" i="6"/>
  <c r="I95" i="6"/>
  <c r="H95" i="6"/>
  <c r="R98" i="6"/>
  <c r="T98" i="6" s="1"/>
  <c r="L97" i="6"/>
  <c r="S96" i="6"/>
  <c r="H98" i="6"/>
  <c r="S105" i="6"/>
  <c r="L96" i="6"/>
  <c r="S97" i="6"/>
  <c r="T105" i="6"/>
  <c r="H106" i="6"/>
  <c r="R111" i="6"/>
  <c r="K111" i="6"/>
  <c r="H133" i="6"/>
  <c r="R116" i="6"/>
  <c r="L116" i="6"/>
  <c r="K116" i="6"/>
  <c r="S90" i="6"/>
  <c r="F206" i="6"/>
  <c r="T79" i="6"/>
  <c r="S79" i="6"/>
  <c r="E206" i="6"/>
  <c r="R85" i="6"/>
  <c r="T85" i="6" s="1"/>
  <c r="R117" i="6"/>
  <c r="T117" i="6" s="1"/>
  <c r="G198" i="6"/>
  <c r="R198" i="6" s="1"/>
  <c r="T198" i="6" s="1"/>
  <c r="K91" i="6"/>
  <c r="L91" i="6"/>
  <c r="E189" i="6"/>
  <c r="E170" i="6"/>
  <c r="J221" i="6"/>
  <c r="K118" i="6"/>
  <c r="J170" i="6"/>
  <c r="L170" i="6" s="1"/>
  <c r="G180" i="6"/>
  <c r="H180" i="6" s="1"/>
  <c r="E180" i="6"/>
  <c r="J195" i="6"/>
  <c r="L195" i="6" s="1"/>
  <c r="F180" i="6"/>
  <c r="F221" i="6"/>
  <c r="T118" i="6"/>
  <c r="S118" i="6"/>
  <c r="E195" i="6"/>
  <c r="E221" i="6"/>
  <c r="H221" i="6"/>
  <c r="F195" i="6"/>
  <c r="R106" i="6"/>
  <c r="T106" i="6" s="1"/>
  <c r="J192" i="6"/>
  <c r="G192" i="6"/>
  <c r="L81" i="6"/>
  <c r="R81" i="6"/>
  <c r="I94" i="6"/>
  <c r="R94" i="6"/>
  <c r="H94" i="6"/>
  <c r="R99" i="6"/>
  <c r="I99" i="6"/>
  <c r="H99" i="6"/>
  <c r="J213" i="6"/>
  <c r="G213" i="6"/>
  <c r="H130" i="6"/>
  <c r="F189" i="6"/>
  <c r="K117" i="6"/>
  <c r="L117" i="6"/>
  <c r="R130" i="6"/>
  <c r="R126" i="6"/>
  <c r="H126" i="6"/>
  <c r="I85" i="6"/>
  <c r="R107" i="6"/>
  <c r="I107" i="6"/>
  <c r="H107" i="6"/>
  <c r="G189" i="6"/>
  <c r="R189" i="6" s="1"/>
  <c r="T189" i="6" s="1"/>
  <c r="H85" i="6"/>
  <c r="J206" i="6"/>
  <c r="L206" i="6" s="1"/>
  <c r="F184" i="6"/>
  <c r="E184" i="6"/>
  <c r="K130" i="6"/>
  <c r="L130" i="6"/>
  <c r="G184" i="6"/>
  <c r="H184" i="6" s="1"/>
  <c r="J204" i="6"/>
  <c r="G204" i="6"/>
  <c r="L184" i="6"/>
  <c r="G208" i="6"/>
  <c r="J208" i="6"/>
  <c r="I219" i="6"/>
  <c r="E214" i="6"/>
  <c r="K88" i="6"/>
  <c r="L88" i="6"/>
  <c r="R88" i="6"/>
  <c r="E224" i="6"/>
  <c r="K224" i="6"/>
  <c r="J181" i="6"/>
  <c r="R181" i="6" s="1"/>
  <c r="E181" i="6"/>
  <c r="F181" i="6"/>
  <c r="G224" i="6"/>
  <c r="F224" i="6"/>
  <c r="R169" i="6"/>
  <c r="K169" i="6"/>
  <c r="J185" i="6"/>
  <c r="G185" i="6"/>
  <c r="K189" i="6"/>
  <c r="F185" i="6"/>
  <c r="G187" i="6"/>
  <c r="J187" i="6"/>
  <c r="G217" i="6"/>
  <c r="J217" i="6"/>
  <c r="J186" i="6"/>
  <c r="G186" i="6"/>
  <c r="G223" i="6"/>
  <c r="J223" i="6"/>
  <c r="G172" i="6"/>
  <c r="J172" i="6"/>
  <c r="J214" i="6"/>
  <c r="G214" i="6"/>
  <c r="L228" i="6"/>
  <c r="S121" i="6"/>
  <c r="T121" i="6"/>
  <c r="I137" i="6"/>
  <c r="H137" i="6"/>
  <c r="K178" i="6"/>
  <c r="L178" i="6"/>
  <c r="R178" i="6"/>
  <c r="Q226" i="6"/>
  <c r="P226" i="6"/>
  <c r="J137" i="6"/>
  <c r="I225" i="6"/>
  <c r="H225" i="6"/>
  <c r="T125" i="6"/>
  <c r="S125" i="6"/>
  <c r="W226" i="6"/>
  <c r="V226" i="6"/>
  <c r="S84" i="6"/>
  <c r="T84" i="6"/>
  <c r="L210" i="6"/>
  <c r="K210" i="6"/>
  <c r="W225" i="6"/>
  <c r="V225" i="6"/>
  <c r="H177" i="6"/>
  <c r="I177" i="6"/>
  <c r="F137" i="6"/>
  <c r="E137" i="6"/>
  <c r="Q225" i="6"/>
  <c r="P225" i="6"/>
  <c r="I220" i="6"/>
  <c r="H220" i="6"/>
  <c r="W137" i="6"/>
  <c r="V137" i="6"/>
  <c r="T132" i="6"/>
  <c r="S132" i="6"/>
  <c r="Q137" i="6"/>
  <c r="P137" i="6"/>
  <c r="K180" i="6"/>
  <c r="L180" i="6"/>
  <c r="I182" i="6"/>
  <c r="H182" i="6"/>
  <c r="S131" i="6"/>
  <c r="T131" i="6"/>
  <c r="T127" i="6"/>
  <c r="S127" i="6"/>
  <c r="S112" i="6"/>
  <c r="T112" i="6"/>
  <c r="I227" i="6"/>
  <c r="H227" i="6"/>
  <c r="K212" i="6" l="1"/>
  <c r="K190" i="6"/>
  <c r="I202" i="6"/>
  <c r="L190" i="6"/>
  <c r="L182" i="6"/>
  <c r="S219" i="6"/>
  <c r="H179" i="6"/>
  <c r="I179" i="6"/>
  <c r="S179" i="6"/>
  <c r="AC47" i="6"/>
  <c r="AD47" i="6" s="1"/>
  <c r="AC46" i="6"/>
  <c r="AD46" i="6" s="1"/>
  <c r="T89" i="6"/>
  <c r="S102" i="6"/>
  <c r="S202" i="6"/>
  <c r="L196" i="6"/>
  <c r="R177" i="6"/>
  <c r="T177" i="6" s="1"/>
  <c r="Q228" i="6"/>
  <c r="B207" i="2"/>
  <c r="S135" i="6"/>
  <c r="S82" i="6"/>
  <c r="K177" i="6"/>
  <c r="S203" i="6"/>
  <c r="I226" i="6"/>
  <c r="R182" i="6"/>
  <c r="T182" i="6" s="1"/>
  <c r="K220" i="6"/>
  <c r="I209" i="6"/>
  <c r="L220" i="6"/>
  <c r="S120" i="6"/>
  <c r="R176" i="6"/>
  <c r="S176" i="6" s="1"/>
  <c r="L203" i="6"/>
  <c r="K203" i="6"/>
  <c r="T203" i="6"/>
  <c r="K176" i="6"/>
  <c r="I212" i="6"/>
  <c r="T120" i="6"/>
  <c r="H202" i="6"/>
  <c r="R228" i="6"/>
  <c r="S228" i="6" s="1"/>
  <c r="S199" i="6"/>
  <c r="K227" i="6"/>
  <c r="R226" i="6"/>
  <c r="L193" i="6"/>
  <c r="T113" i="6"/>
  <c r="I228" i="6"/>
  <c r="R171" i="6"/>
  <c r="T171" i="6" s="1"/>
  <c r="T201" i="6"/>
  <c r="R193" i="6"/>
  <c r="T193" i="6" s="1"/>
  <c r="K171" i="6"/>
  <c r="S201" i="6"/>
  <c r="W228" i="6"/>
  <c r="T122" i="6"/>
  <c r="R196" i="6"/>
  <c r="S196" i="6" s="1"/>
  <c r="R209" i="6"/>
  <c r="H207" i="6"/>
  <c r="I207" i="6"/>
  <c r="L183" i="6"/>
  <c r="R225" i="6"/>
  <c r="T225" i="6" s="1"/>
  <c r="K225" i="6"/>
  <c r="T129" i="6"/>
  <c r="S129" i="6"/>
  <c r="S98" i="6"/>
  <c r="R191" i="6"/>
  <c r="S191" i="6" s="1"/>
  <c r="I197" i="6"/>
  <c r="R215" i="6"/>
  <c r="S215" i="6" s="1"/>
  <c r="K201" i="6"/>
  <c r="L201" i="6"/>
  <c r="H215" i="6"/>
  <c r="R222" i="6"/>
  <c r="S222" i="6" s="1"/>
  <c r="H197" i="6"/>
  <c r="I222" i="6"/>
  <c r="H222" i="6"/>
  <c r="L188" i="6"/>
  <c r="L200" i="6"/>
  <c r="L222" i="6"/>
  <c r="T115" i="6"/>
  <c r="I218" i="6"/>
  <c r="R173" i="6"/>
  <c r="S173" i="6" s="1"/>
  <c r="R200" i="6"/>
  <c r="K173" i="6"/>
  <c r="S115" i="6"/>
  <c r="S83" i="6"/>
  <c r="R212" i="6"/>
  <c r="T212" i="6" s="1"/>
  <c r="K188" i="6"/>
  <c r="H191" i="6"/>
  <c r="S183" i="6"/>
  <c r="K183" i="6"/>
  <c r="T183" i="6"/>
  <c r="T87" i="6"/>
  <c r="K199" i="6"/>
  <c r="L218" i="6"/>
  <c r="I194" i="6"/>
  <c r="V227" i="6"/>
  <c r="H216" i="6"/>
  <c r="T128" i="6"/>
  <c r="P227" i="6"/>
  <c r="L199" i="6"/>
  <c r="S128" i="6"/>
  <c r="R195" i="6"/>
  <c r="S195" i="6" s="1"/>
  <c r="L216" i="6"/>
  <c r="R227" i="6"/>
  <c r="R211" i="6"/>
  <c r="S211" i="6" s="1"/>
  <c r="R218" i="6"/>
  <c r="T218" i="6" s="1"/>
  <c r="I189" i="6"/>
  <c r="H189" i="6"/>
  <c r="I211" i="6"/>
  <c r="R216" i="6"/>
  <c r="T133" i="6"/>
  <c r="H198" i="6"/>
  <c r="I175" i="6"/>
  <c r="K174" i="6"/>
  <c r="I180" i="6"/>
  <c r="H205" i="6"/>
  <c r="R194" i="6"/>
  <c r="S194" i="6" s="1"/>
  <c r="L194" i="6"/>
  <c r="R205" i="6"/>
  <c r="R210" i="6"/>
  <c r="R180" i="6"/>
  <c r="T180" i="6" s="1"/>
  <c r="I210" i="6"/>
  <c r="R174" i="6"/>
  <c r="S175" i="6"/>
  <c r="H175" i="6"/>
  <c r="S117" i="6"/>
  <c r="S133" i="6"/>
  <c r="S95" i="6"/>
  <c r="T95" i="6"/>
  <c r="S111" i="6"/>
  <c r="T111" i="6"/>
  <c r="S116" i="6"/>
  <c r="T116" i="6"/>
  <c r="K195" i="6"/>
  <c r="T130" i="6"/>
  <c r="S189" i="6"/>
  <c r="S85" i="6"/>
  <c r="S130" i="6"/>
  <c r="I198" i="6"/>
  <c r="S198" i="6"/>
  <c r="S169" i="6"/>
  <c r="R170" i="6"/>
  <c r="T170" i="6" s="1"/>
  <c r="K170" i="6"/>
  <c r="L181" i="6"/>
  <c r="S106" i="6"/>
  <c r="L221" i="6"/>
  <c r="R221" i="6"/>
  <c r="R206" i="6"/>
  <c r="T206" i="6" s="1"/>
  <c r="K206" i="6"/>
  <c r="K221" i="6"/>
  <c r="T99" i="6"/>
  <c r="S99" i="6"/>
  <c r="S94" i="6"/>
  <c r="T94" i="6"/>
  <c r="I213" i="6"/>
  <c r="H213" i="6"/>
  <c r="T81" i="6"/>
  <c r="S81" i="6"/>
  <c r="R213" i="6"/>
  <c r="L213" i="6"/>
  <c r="K213" i="6"/>
  <c r="H192" i="6"/>
  <c r="I192" i="6"/>
  <c r="K192" i="6"/>
  <c r="R192" i="6"/>
  <c r="L192" i="6"/>
  <c r="S126" i="6"/>
  <c r="T126" i="6"/>
  <c r="T107" i="6"/>
  <c r="S107" i="6"/>
  <c r="I184" i="6"/>
  <c r="K181" i="6"/>
  <c r="L208" i="6"/>
  <c r="K208" i="6"/>
  <c r="R208" i="6"/>
  <c r="H208" i="6"/>
  <c r="I208" i="6"/>
  <c r="R184" i="6"/>
  <c r="I204" i="6"/>
  <c r="H204" i="6"/>
  <c r="R204" i="6"/>
  <c r="K204" i="6"/>
  <c r="L204" i="6"/>
  <c r="T88" i="6"/>
  <c r="S88" i="6"/>
  <c r="I224" i="6"/>
  <c r="H224" i="6"/>
  <c r="R224" i="6"/>
  <c r="T169" i="6"/>
  <c r="I172" i="6"/>
  <c r="H172" i="6"/>
  <c r="I187" i="6"/>
  <c r="H187" i="6"/>
  <c r="R223" i="6"/>
  <c r="K223" i="6"/>
  <c r="L223" i="6"/>
  <c r="I223" i="6"/>
  <c r="H223" i="6"/>
  <c r="I186" i="6"/>
  <c r="H186" i="6"/>
  <c r="H185" i="6"/>
  <c r="I185" i="6"/>
  <c r="L186" i="6"/>
  <c r="R186" i="6"/>
  <c r="K186" i="6"/>
  <c r="L185" i="6"/>
  <c r="K185" i="6"/>
  <c r="R185" i="6"/>
  <c r="I214" i="6"/>
  <c r="H214" i="6"/>
  <c r="L217" i="6"/>
  <c r="R217" i="6"/>
  <c r="K217" i="6"/>
  <c r="L214" i="6"/>
  <c r="K214" i="6"/>
  <c r="R214" i="6"/>
  <c r="H217" i="6"/>
  <c r="I217" i="6"/>
  <c r="R172" i="6"/>
  <c r="L172" i="6"/>
  <c r="K172" i="6"/>
  <c r="L187" i="6"/>
  <c r="K187" i="6"/>
  <c r="R187" i="6"/>
  <c r="K137" i="6"/>
  <c r="L137" i="6"/>
  <c r="R137" i="6"/>
  <c r="S178" i="6"/>
  <c r="T178" i="6"/>
  <c r="T190" i="6"/>
  <c r="S190" i="6"/>
  <c r="T181" i="6"/>
  <c r="S181" i="6"/>
  <c r="T197" i="6"/>
  <c r="S197" i="6"/>
  <c r="S188" i="6"/>
  <c r="T188" i="6"/>
  <c r="S207" i="6"/>
  <c r="T207" i="6"/>
  <c r="T220" i="6"/>
  <c r="S220" i="6"/>
  <c r="S177" i="6" l="1"/>
  <c r="T176" i="6"/>
  <c r="T228" i="6"/>
  <c r="S182" i="6"/>
  <c r="T215" i="6"/>
  <c r="S171" i="6"/>
  <c r="S209" i="6"/>
  <c r="T196" i="6"/>
  <c r="S193" i="6"/>
  <c r="T209" i="6"/>
  <c r="T191" i="6"/>
  <c r="S226" i="6"/>
  <c r="T226" i="6"/>
  <c r="S200" i="6"/>
  <c r="T200" i="6"/>
  <c r="T173" i="6"/>
  <c r="S225" i="6"/>
  <c r="S174" i="6"/>
  <c r="S212" i="6"/>
  <c r="T222" i="6"/>
  <c r="T227" i="6"/>
  <c r="S227" i="6"/>
  <c r="T174" i="6"/>
  <c r="S218" i="6"/>
  <c r="T194" i="6"/>
  <c r="S216" i="6"/>
  <c r="T195" i="6"/>
  <c r="T216" i="6"/>
  <c r="S210" i="6"/>
  <c r="S170" i="6"/>
  <c r="S180" i="6"/>
  <c r="T211" i="6"/>
  <c r="T210" i="6"/>
  <c r="S205" i="6"/>
  <c r="T205" i="6"/>
  <c r="T221" i="6"/>
  <c r="S221" i="6"/>
  <c r="S206" i="6"/>
  <c r="T213" i="6"/>
  <c r="S213" i="6"/>
  <c r="T192" i="6"/>
  <c r="S192" i="6"/>
  <c r="T184" i="6"/>
  <c r="S184" i="6"/>
  <c r="T208" i="6"/>
  <c r="S208" i="6"/>
  <c r="T204" i="6"/>
  <c r="S204" i="6"/>
  <c r="T224" i="6"/>
  <c r="S224" i="6"/>
  <c r="B244" i="2" s="1"/>
  <c r="B247" i="2" s="1"/>
  <c r="T217" i="6"/>
  <c r="S217" i="6"/>
  <c r="S186" i="6"/>
  <c r="T186" i="6"/>
  <c r="T172" i="6"/>
  <c r="S172" i="6"/>
  <c r="S223" i="6"/>
  <c r="T223" i="6"/>
  <c r="T187" i="6"/>
  <c r="S187" i="6"/>
  <c r="T214" i="6"/>
  <c r="S214" i="6"/>
  <c r="T185" i="6"/>
  <c r="S185" i="6"/>
  <c r="S137" i="6"/>
  <c r="T137" i="6"/>
  <c r="B249" i="2" l="1"/>
  <c r="B251" i="2"/>
  <c r="X173" i="6"/>
  <c r="Y173" i="6" s="1"/>
  <c r="X108" i="6"/>
  <c r="Y108" i="6" s="1"/>
  <c r="X126" i="6"/>
  <c r="Y126" i="6" s="1"/>
  <c r="X81" i="6"/>
  <c r="Y81" i="6" s="1"/>
  <c r="X176" i="6"/>
  <c r="Y176" i="6" s="1"/>
  <c r="X124" i="6"/>
  <c r="Y124" i="6" s="1"/>
  <c r="AA124" i="6" s="1"/>
  <c r="X190" i="6"/>
  <c r="Y190" i="6" s="1"/>
  <c r="AA190" i="6" s="1"/>
  <c r="X179" i="6"/>
  <c r="Y179" i="6" s="1"/>
  <c r="Z179" i="6" s="1"/>
  <c r="X199" i="6"/>
  <c r="Y199" i="6" s="1"/>
  <c r="AA199" i="6" s="1"/>
  <c r="X96" i="6"/>
  <c r="Y96" i="6" s="1"/>
  <c r="Z96" i="6" s="1"/>
  <c r="X106" i="6"/>
  <c r="Y106" i="6" s="1"/>
  <c r="Z106" i="6" s="1"/>
  <c r="X209" i="6"/>
  <c r="Y209" i="6" s="1"/>
  <c r="Z209" i="6" s="1"/>
  <c r="X109" i="6"/>
  <c r="Y109" i="6" s="1"/>
  <c r="AA109" i="6" s="1"/>
  <c r="X79" i="6"/>
  <c r="Y79" i="6" s="1"/>
  <c r="AA79" i="6" s="1"/>
  <c r="X211" i="6"/>
  <c r="Y211" i="6" s="1"/>
  <c r="AA211" i="6" s="1"/>
  <c r="X135" i="6"/>
  <c r="Y135" i="6" s="1"/>
  <c r="Z135" i="6" s="1"/>
  <c r="X222" i="6"/>
  <c r="Y222" i="6" s="1"/>
  <c r="Z222" i="6" s="1"/>
  <c r="X206" i="6"/>
  <c r="Y206" i="6" s="1"/>
  <c r="X201" i="6"/>
  <c r="Y201" i="6" s="1"/>
  <c r="Z173" i="6" l="1"/>
  <c r="AA173" i="6"/>
  <c r="AA206" i="6"/>
  <c r="Z206" i="6"/>
  <c r="AA81" i="6"/>
  <c r="Z81" i="6"/>
  <c r="AA126" i="6"/>
  <c r="Z126" i="6"/>
  <c r="Z176" i="6"/>
  <c r="AA176" i="6"/>
  <c r="Z108" i="6"/>
  <c r="AA108" i="6"/>
  <c r="AA201" i="6"/>
  <c r="Z201" i="6"/>
  <c r="Z211" i="6"/>
  <c r="X80" i="6"/>
  <c r="Y80" i="6" s="1"/>
  <c r="X172" i="6"/>
  <c r="Y172" i="6" s="1"/>
  <c r="Z199" i="6"/>
  <c r="X189" i="6"/>
  <c r="Y189" i="6" s="1"/>
  <c r="X210" i="6"/>
  <c r="Y210" i="6" s="1"/>
  <c r="AA106" i="6"/>
  <c r="X91" i="6"/>
  <c r="Y91" i="6" s="1"/>
  <c r="X125" i="6"/>
  <c r="Y125" i="6" s="1"/>
  <c r="X133" i="6"/>
  <c r="Y133" i="6" s="1"/>
  <c r="X196" i="6"/>
  <c r="Y196" i="6" s="1"/>
  <c r="AA209" i="6"/>
  <c r="X213" i="6"/>
  <c r="Y213" i="6" s="1"/>
  <c r="X95" i="6"/>
  <c r="Y95" i="6" s="1"/>
  <c r="X113" i="6"/>
  <c r="Y113" i="6" s="1"/>
  <c r="X93" i="6"/>
  <c r="Y93" i="6" s="1"/>
  <c r="X117" i="6"/>
  <c r="Y117" i="6" s="1"/>
  <c r="X94" i="6"/>
  <c r="Y94" i="6" s="1"/>
  <c r="X112" i="6"/>
  <c r="Y112" i="6" s="1"/>
  <c r="X214" i="6"/>
  <c r="Y214" i="6" s="1"/>
  <c r="X194" i="6"/>
  <c r="Y194" i="6" s="1"/>
  <c r="X104" i="6"/>
  <c r="Y104" i="6" s="1"/>
  <c r="X187" i="6"/>
  <c r="Y187" i="6" s="1"/>
  <c r="X101" i="6"/>
  <c r="Y101" i="6" s="1"/>
  <c r="X127" i="6"/>
  <c r="Y127" i="6" s="1"/>
  <c r="X123" i="6"/>
  <c r="Y123" i="6" s="1"/>
  <c r="X137" i="6"/>
  <c r="Y137" i="6" s="1"/>
  <c r="X221" i="6"/>
  <c r="Y221" i="6" s="1"/>
  <c r="X188" i="6"/>
  <c r="Y188" i="6" s="1"/>
  <c r="X219" i="6"/>
  <c r="Y219" i="6" s="1"/>
  <c r="X177" i="6"/>
  <c r="Y177" i="6" s="1"/>
  <c r="X193" i="6"/>
  <c r="Y193" i="6" s="1"/>
  <c r="X184" i="6"/>
  <c r="Y184" i="6" s="1"/>
  <c r="X132" i="6"/>
  <c r="Y132" i="6" s="1"/>
  <c r="Z190" i="6"/>
  <c r="Z79" i="6"/>
  <c r="X119" i="6"/>
  <c r="Y119" i="6" s="1"/>
  <c r="X98" i="6"/>
  <c r="Y98" i="6" s="1"/>
  <c r="X89" i="6"/>
  <c r="Y89" i="6" s="1"/>
  <c r="AA179" i="6"/>
  <c r="X170" i="6"/>
  <c r="Y170" i="6" s="1"/>
  <c r="X111" i="6"/>
  <c r="Y111" i="6" s="1"/>
  <c r="X200" i="6"/>
  <c r="Y200" i="6" s="1"/>
  <c r="X202" i="6"/>
  <c r="Y202" i="6" s="1"/>
  <c r="X204" i="6"/>
  <c r="Y204" i="6" s="1"/>
  <c r="X181" i="6"/>
  <c r="Y181" i="6" s="1"/>
  <c r="X134" i="6"/>
  <c r="Y134" i="6" s="1"/>
  <c r="X220" i="6"/>
  <c r="Y220" i="6" s="1"/>
  <c r="X171" i="6"/>
  <c r="Y171" i="6" s="1"/>
  <c r="X115" i="6"/>
  <c r="Y115" i="6" s="1"/>
  <c r="X227" i="6"/>
  <c r="Y227" i="6" s="1"/>
  <c r="X130" i="6"/>
  <c r="Y130" i="6" s="1"/>
  <c r="X183" i="6"/>
  <c r="Y183" i="6" s="1"/>
  <c r="X116" i="6"/>
  <c r="Y116" i="6" s="1"/>
  <c r="X105" i="6"/>
  <c r="Y105" i="6" s="1"/>
  <c r="X207" i="6"/>
  <c r="Y207" i="6" s="1"/>
  <c r="X87" i="6"/>
  <c r="Y87" i="6" s="1"/>
  <c r="X103" i="6"/>
  <c r="Y103" i="6" s="1"/>
  <c r="X198" i="6"/>
  <c r="Y198" i="6" s="1"/>
  <c r="X128" i="6"/>
  <c r="Y128" i="6" s="1"/>
  <c r="Z124" i="6"/>
  <c r="X131" i="6"/>
  <c r="Y131" i="6" s="1"/>
  <c r="X192" i="6"/>
  <c r="Y192" i="6" s="1"/>
  <c r="X114" i="6"/>
  <c r="Y114" i="6" s="1"/>
  <c r="AA96" i="6"/>
  <c r="X203" i="6"/>
  <c r="Y203" i="6" s="1"/>
  <c r="X82" i="6"/>
  <c r="Y82" i="6" s="1"/>
  <c r="Z109" i="6"/>
  <c r="X99" i="6"/>
  <c r="Y99" i="6" s="1"/>
  <c r="X191" i="6"/>
  <c r="Y191" i="6" s="1"/>
  <c r="X136" i="6"/>
  <c r="Y136" i="6" s="1"/>
  <c r="X97" i="6"/>
  <c r="Y97" i="6" s="1"/>
  <c r="X186" i="6"/>
  <c r="Y186" i="6" s="1"/>
  <c r="X84" i="6"/>
  <c r="Y84" i="6" s="1"/>
  <c r="B257" i="2"/>
  <c r="X215" i="6"/>
  <c r="Y215" i="6" s="1"/>
  <c r="X182" i="6"/>
  <c r="Y182" i="6" s="1"/>
  <c r="X110" i="6"/>
  <c r="Y110" i="6" s="1"/>
  <c r="X122" i="6"/>
  <c r="Y122" i="6" s="1"/>
  <c r="X121" i="6"/>
  <c r="Y121" i="6" s="1"/>
  <c r="X120" i="6"/>
  <c r="Y120" i="6" s="1"/>
  <c r="X178" i="6"/>
  <c r="Y178" i="6" s="1"/>
  <c r="X169" i="6"/>
  <c r="Y169" i="6" s="1"/>
  <c r="X90" i="6"/>
  <c r="Y90" i="6" s="1"/>
  <c r="X195" i="6"/>
  <c r="Y195" i="6" s="1"/>
  <c r="X217" i="6"/>
  <c r="Y217" i="6" s="1"/>
  <c r="X92" i="6"/>
  <c r="Y92" i="6" s="1"/>
  <c r="X88" i="6"/>
  <c r="Y88" i="6" s="1"/>
  <c r="X197" i="6"/>
  <c r="Y197" i="6" s="1"/>
  <c r="X218" i="6"/>
  <c r="Y218" i="6" s="1"/>
  <c r="X83" i="6"/>
  <c r="Y83" i="6" s="1"/>
  <c r="X85" i="6"/>
  <c r="Y85" i="6" s="1"/>
  <c r="X225" i="6"/>
  <c r="Y225" i="6" s="1"/>
  <c r="X205" i="6"/>
  <c r="Y205" i="6" s="1"/>
  <c r="AA135" i="6"/>
  <c r="AA222" i="6"/>
  <c r="X208" i="6"/>
  <c r="Y208" i="6" s="1"/>
  <c r="X107" i="6"/>
  <c r="Y107" i="6" s="1"/>
  <c r="X129" i="6"/>
  <c r="Y129" i="6" s="1"/>
  <c r="X228" i="6"/>
  <c r="Y228" i="6" s="1"/>
  <c r="X224" i="6"/>
  <c r="Y224" i="6" s="1"/>
  <c r="X174" i="6"/>
  <c r="Y174" i="6" s="1"/>
  <c r="X100" i="6"/>
  <c r="Y100" i="6" s="1"/>
  <c r="X212" i="6"/>
  <c r="Y212" i="6" s="1"/>
  <c r="X216" i="6"/>
  <c r="Y216" i="6" s="1"/>
  <c r="X180" i="6"/>
  <c r="Y180" i="6" s="1"/>
  <c r="X86" i="6"/>
  <c r="Y86" i="6" s="1"/>
  <c r="X185" i="6"/>
  <c r="Y185" i="6" s="1"/>
  <c r="X226" i="6"/>
  <c r="Y226" i="6" s="1"/>
  <c r="X102" i="6"/>
  <c r="Y102" i="6" s="1"/>
  <c r="X118" i="6"/>
  <c r="Y118" i="6" s="1"/>
  <c r="X223" i="6"/>
  <c r="Y223" i="6" s="1"/>
  <c r="X175" i="6"/>
  <c r="Y175" i="6" s="1"/>
  <c r="Z208" i="6" l="1"/>
  <c r="AA208" i="6"/>
  <c r="AA180" i="6"/>
  <c r="Z180" i="6"/>
  <c r="AA107" i="6"/>
  <c r="Z107" i="6"/>
  <c r="Z218" i="6"/>
  <c r="AA218" i="6"/>
  <c r="AA178" i="6"/>
  <c r="Z178" i="6"/>
  <c r="Z84" i="6"/>
  <c r="AA84" i="6"/>
  <c r="Z203" i="6"/>
  <c r="AA203" i="6"/>
  <c r="Z103" i="6"/>
  <c r="AA103" i="6"/>
  <c r="AA115" i="6"/>
  <c r="Z115" i="6"/>
  <c r="Z111" i="6"/>
  <c r="AA111" i="6"/>
  <c r="AA132" i="6"/>
  <c r="Z132" i="6"/>
  <c r="AA123" i="6"/>
  <c r="Z123" i="6"/>
  <c r="Z94" i="6"/>
  <c r="AA94" i="6"/>
  <c r="AA133" i="6"/>
  <c r="Z133" i="6"/>
  <c r="AA80" i="6"/>
  <c r="Z80" i="6"/>
  <c r="AA197" i="6"/>
  <c r="Z197" i="6"/>
  <c r="AA87" i="6"/>
  <c r="Z87" i="6"/>
  <c r="AA171" i="6"/>
  <c r="Z171" i="6"/>
  <c r="Z170" i="6"/>
  <c r="AA170" i="6"/>
  <c r="AA184" i="6"/>
  <c r="Z184" i="6"/>
  <c r="AA127" i="6"/>
  <c r="Z127" i="6"/>
  <c r="Z117" i="6"/>
  <c r="AA117" i="6"/>
  <c r="AA125" i="6"/>
  <c r="Z125" i="6"/>
  <c r="Z120" i="6"/>
  <c r="AA120" i="6"/>
  <c r="AA223" i="6"/>
  <c r="Z223" i="6"/>
  <c r="AA88" i="6"/>
  <c r="Z88" i="6"/>
  <c r="Z121" i="6"/>
  <c r="AA121" i="6"/>
  <c r="AA97" i="6"/>
  <c r="Z97" i="6"/>
  <c r="Z114" i="6"/>
  <c r="AA114" i="6"/>
  <c r="Z207" i="6"/>
  <c r="AA207" i="6"/>
  <c r="AA220" i="6"/>
  <c r="Z220" i="6"/>
  <c r="Z193" i="6"/>
  <c r="AA193" i="6"/>
  <c r="Z101" i="6"/>
  <c r="AA101" i="6"/>
  <c r="Z93" i="6"/>
  <c r="AA93" i="6"/>
  <c r="AA91" i="6"/>
  <c r="Z91" i="6"/>
  <c r="Z216" i="6"/>
  <c r="AA216" i="6"/>
  <c r="Z186" i="6"/>
  <c r="AA186" i="6"/>
  <c r="AA212" i="6"/>
  <c r="Z212" i="6"/>
  <c r="AA118" i="6"/>
  <c r="Z118" i="6"/>
  <c r="Z100" i="6"/>
  <c r="AA100" i="6"/>
  <c r="AA92" i="6"/>
  <c r="Z92" i="6"/>
  <c r="AA122" i="6"/>
  <c r="Z122" i="6"/>
  <c r="AA136" i="6"/>
  <c r="Z136" i="6"/>
  <c r="AA192" i="6"/>
  <c r="Z192" i="6"/>
  <c r="AA105" i="6"/>
  <c r="Z105" i="6"/>
  <c r="Z134" i="6"/>
  <c r="AA134" i="6"/>
  <c r="AA89" i="6"/>
  <c r="Z89" i="6"/>
  <c r="Z177" i="6"/>
  <c r="AA177" i="6"/>
  <c r="AA187" i="6"/>
  <c r="Z187" i="6"/>
  <c r="Z113" i="6"/>
  <c r="AA113" i="6"/>
  <c r="Z175" i="6"/>
  <c r="AA175" i="6"/>
  <c r="AA102" i="6"/>
  <c r="Z102" i="6"/>
  <c r="AA174" i="6"/>
  <c r="Z174" i="6"/>
  <c r="AA205" i="6"/>
  <c r="Z205" i="6"/>
  <c r="AA217" i="6"/>
  <c r="Z217" i="6"/>
  <c r="Z110" i="6"/>
  <c r="AA110" i="6"/>
  <c r="Z191" i="6"/>
  <c r="AA191" i="6"/>
  <c r="Z131" i="6"/>
  <c r="AA131" i="6"/>
  <c r="Z116" i="6"/>
  <c r="AA116" i="6"/>
  <c r="AA181" i="6"/>
  <c r="Z181" i="6"/>
  <c r="AA98" i="6"/>
  <c r="Z98" i="6"/>
  <c r="AA219" i="6"/>
  <c r="Z219" i="6"/>
  <c r="Z104" i="6"/>
  <c r="AA104" i="6"/>
  <c r="AA95" i="6"/>
  <c r="Z95" i="6"/>
  <c r="Z210" i="6"/>
  <c r="AA210" i="6"/>
  <c r="AA226" i="6"/>
  <c r="Z226" i="6"/>
  <c r="AA195" i="6"/>
  <c r="Z195" i="6"/>
  <c r="Z183" i="6"/>
  <c r="AA183" i="6"/>
  <c r="Z204" i="6"/>
  <c r="AA204" i="6"/>
  <c r="Z119" i="6"/>
  <c r="AA119" i="6"/>
  <c r="Z188" i="6"/>
  <c r="AA188" i="6"/>
  <c r="Z194" i="6"/>
  <c r="AA194" i="6"/>
  <c r="Z213" i="6"/>
  <c r="AA213" i="6"/>
  <c r="AA189" i="6"/>
  <c r="Z189" i="6"/>
  <c r="AA224" i="6"/>
  <c r="Z224" i="6"/>
  <c r="AA182" i="6"/>
  <c r="Z182" i="6"/>
  <c r="Z185" i="6"/>
  <c r="AA185" i="6"/>
  <c r="AA228" i="6"/>
  <c r="Z228" i="6"/>
  <c r="Z85" i="6"/>
  <c r="AA85" i="6"/>
  <c r="AA90" i="6"/>
  <c r="Z90" i="6"/>
  <c r="AA215" i="6"/>
  <c r="Z215" i="6"/>
  <c r="Z128" i="6"/>
  <c r="AA128" i="6"/>
  <c r="Z130" i="6"/>
  <c r="AA130" i="6"/>
  <c r="AA202" i="6"/>
  <c r="Z202" i="6"/>
  <c r="Z221" i="6"/>
  <c r="AA221" i="6"/>
  <c r="Z214" i="6"/>
  <c r="AA214" i="6"/>
  <c r="AA225" i="6"/>
  <c r="Z225" i="6"/>
  <c r="AA99" i="6"/>
  <c r="Z99" i="6"/>
  <c r="Z86" i="6"/>
  <c r="AA86" i="6"/>
  <c r="Z129" i="6"/>
  <c r="AA129" i="6"/>
  <c r="AA83" i="6"/>
  <c r="Z83" i="6"/>
  <c r="Z169" i="6"/>
  <c r="AA169" i="6"/>
  <c r="Z82" i="6"/>
  <c r="AA82" i="6"/>
  <c r="AA198" i="6"/>
  <c r="Z198" i="6"/>
  <c r="AA227" i="6"/>
  <c r="Z227" i="6"/>
  <c r="Z200" i="6"/>
  <c r="AA200" i="6"/>
  <c r="AA137" i="6"/>
  <c r="Z137" i="6"/>
  <c r="AA112" i="6"/>
  <c r="Z112" i="6"/>
  <c r="AA196" i="6"/>
  <c r="Z196" i="6"/>
  <c r="AA172" i="6"/>
  <c r="Z172" i="6"/>
  <c r="AG129" i="6" l="1" a="1"/>
  <c r="AG129" i="6" s="1"/>
  <c r="AH129" i="6" a="1"/>
  <c r="AH129" i="6" s="1"/>
  <c r="AH218" i="6" a="1"/>
  <c r="AH218" i="6" s="1"/>
  <c r="AH217" i="6" a="1"/>
  <c r="AH217" i="6" s="1"/>
  <c r="AG218" i="6" a="1"/>
  <c r="AG218" i="6" s="1"/>
  <c r="AG217" i="6" a="1"/>
  <c r="AG217" i="6" s="1"/>
  <c r="AH216" i="6" a="1"/>
  <c r="AH216" i="6" s="1"/>
  <c r="AG216" i="6" a="1"/>
  <c r="AG216" i="6" s="1"/>
  <c r="AG127" i="6" a="1"/>
  <c r="AG127" i="6" s="1"/>
  <c r="AH127" i="6" a="1"/>
  <c r="AH127" i="6" s="1"/>
  <c r="AG128" i="6" a="1"/>
  <c r="AG128" i="6" s="1"/>
  <c r="AH128" i="6" a="1"/>
  <c r="AH128" i="6" s="1"/>
  <c r="AJ128" i="6" l="1"/>
  <c r="AK128" i="6" s="1"/>
  <c r="AJ129" i="6"/>
  <c r="AK129" i="6" s="1"/>
  <c r="AJ217" i="6"/>
  <c r="AK217" i="6" s="1"/>
  <c r="AJ218" i="6"/>
  <c r="AK21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PPD-NPS</author>
    <author>Ji, Feng</author>
    <author>Cai, Yinsong</author>
  </authors>
  <commentList>
    <comment ref="G5" authorId="0" shapeId="0" xr:uid="{00000000-0006-0000-0000-000001000000}">
      <text>
        <r>
          <rPr>
            <b/>
            <sz val="9"/>
            <color indexed="81"/>
            <rFont val="Tahoma"/>
            <family val="2"/>
          </rPr>
          <t xml:space="preserve">Welcome to the LM5171 Quickstart Design Tool
</t>
        </r>
        <r>
          <rPr>
            <sz val="9"/>
            <color indexed="81"/>
            <rFont val="Tahoma"/>
            <family val="2"/>
          </rPr>
          <t>This stand-alone tool facilitates and assists the power supply engineer with design of a DC/DC bi-directional buck/boost converter based on the LM5171 controller.</t>
        </r>
        <r>
          <rPr>
            <b/>
            <sz val="9"/>
            <color indexed="81"/>
            <rFont val="Tahoma"/>
            <family val="2"/>
          </rPr>
          <t xml:space="preserve">
U.S. English notation is used throughout.
https://www.ti.com/product/LM5171-Q1
Rev 1.0, Texas Instruments, Inc.</t>
        </r>
        <r>
          <rPr>
            <sz val="9"/>
            <color indexed="81"/>
            <rFont val="Tahoma"/>
            <family val="2"/>
          </rPr>
          <t xml:space="preserve">
</t>
        </r>
      </text>
    </comment>
    <comment ref="B11" authorId="0" shapeId="0" xr:uid="{00000000-0006-0000-0000-000003000000}">
      <text>
        <r>
          <rPr>
            <b/>
            <sz val="9"/>
            <color indexed="81"/>
            <rFont val="Tahoma"/>
            <family val="2"/>
          </rPr>
          <t>HV Port Minimum Voltage:</t>
        </r>
        <r>
          <rPr>
            <sz val="9"/>
            <color indexed="81"/>
            <rFont val="Tahoma"/>
            <family val="2"/>
          </rPr>
          <t xml:space="preserve">
Datasheet Operating </t>
        </r>
        <r>
          <rPr>
            <b/>
            <sz val="9"/>
            <color indexed="81"/>
            <rFont val="Tahoma"/>
            <family val="2"/>
          </rPr>
          <t>Minimum: 3V</t>
        </r>
      </text>
    </comment>
    <comment ref="B12" authorId="0" shapeId="0" xr:uid="{00000000-0006-0000-0000-000004000000}">
      <text>
        <r>
          <rPr>
            <b/>
            <sz val="9"/>
            <color indexed="81"/>
            <rFont val="Tahoma"/>
            <family val="2"/>
          </rPr>
          <t xml:space="preserve">HV Port Nominal Voltage:
</t>
        </r>
        <r>
          <rPr>
            <sz val="9"/>
            <color indexed="81"/>
            <rFont val="Tahoma"/>
            <family val="2"/>
          </rPr>
          <t>This is the nominal INPUT voltage in BUCK MODE. 
It is also the set output voltage in BOOST MODE.</t>
        </r>
      </text>
    </comment>
    <comment ref="B13" authorId="0" shapeId="0" xr:uid="{00000000-0006-0000-0000-000005000000}">
      <text>
        <r>
          <rPr>
            <b/>
            <sz val="9"/>
            <color indexed="81"/>
            <rFont val="Tahoma"/>
            <family val="2"/>
          </rPr>
          <t xml:space="preserve">HV Port Maximum Voltage:
</t>
        </r>
        <r>
          <rPr>
            <sz val="9"/>
            <color indexed="81"/>
            <rFont val="Tahoma"/>
            <family val="2"/>
          </rPr>
          <t xml:space="preserve">Enter the expected Maximum voltage at the HV-Port
Recommended maximum operating voltage: 80V
(Do not go below the Datasheet Operating Minimum Voltages)
</t>
        </r>
      </text>
    </comment>
    <comment ref="B16" authorId="0" shapeId="0" xr:uid="{00000000-0006-0000-0000-000006000000}">
      <text>
        <r>
          <rPr>
            <b/>
            <sz val="9"/>
            <color indexed="81"/>
            <rFont val="Tahoma"/>
            <family val="2"/>
          </rPr>
          <t>LV Port Minimum Voltage:</t>
        </r>
        <r>
          <rPr>
            <sz val="9"/>
            <color indexed="81"/>
            <rFont val="Tahoma"/>
            <family val="2"/>
          </rPr>
          <t xml:space="preserve">
Enter the expected minimum voltage at the LV-Port
Datasheet Operating </t>
        </r>
        <r>
          <rPr>
            <b/>
            <u/>
            <sz val="9"/>
            <color indexed="81"/>
            <rFont val="Tahoma"/>
            <family val="2"/>
          </rPr>
          <t>Minimum</t>
        </r>
        <r>
          <rPr>
            <b/>
            <sz val="9"/>
            <color indexed="81"/>
            <rFont val="Tahoma"/>
            <family val="2"/>
          </rPr>
          <t xml:space="preserve"> (BOOST MODE): 1V</t>
        </r>
        <r>
          <rPr>
            <sz val="9"/>
            <color indexed="81"/>
            <rFont val="Tahoma"/>
            <family val="2"/>
          </rPr>
          <t xml:space="preserve">
Datasheet Operating </t>
        </r>
        <r>
          <rPr>
            <b/>
            <u/>
            <sz val="9"/>
            <color indexed="81"/>
            <rFont val="Tahoma"/>
            <family val="2"/>
          </rPr>
          <t>Minimum</t>
        </r>
        <r>
          <rPr>
            <b/>
            <sz val="9"/>
            <color indexed="81"/>
            <rFont val="Tahoma"/>
            <family val="2"/>
          </rPr>
          <t xml:space="preserve"> (BUCK MODE): 0V</t>
        </r>
        <r>
          <rPr>
            <sz val="9"/>
            <color indexed="81"/>
            <rFont val="Tahoma"/>
            <family val="2"/>
          </rPr>
          <t xml:space="preserve">
(Do not go below the Datasheet Operating Minimum Voltages)</t>
        </r>
      </text>
    </comment>
    <comment ref="B17" authorId="0" shapeId="0" xr:uid="{00000000-0006-0000-0000-000007000000}">
      <text>
        <r>
          <rPr>
            <b/>
            <sz val="9"/>
            <color indexed="81"/>
            <rFont val="Tahoma"/>
            <family val="2"/>
          </rPr>
          <t xml:space="preserve">LV Port Nominal Voltage:
</t>
        </r>
        <r>
          <rPr>
            <sz val="9"/>
            <color indexed="81"/>
            <rFont val="Tahoma"/>
            <family val="2"/>
          </rPr>
          <t xml:space="preserve">
This is the nominal input voltage in BOOST MODE. 
It is also the set output voltage in BUCK MODE.</t>
        </r>
      </text>
    </comment>
    <comment ref="B18" authorId="0" shapeId="0" xr:uid="{00000000-0006-0000-0000-000008000000}">
      <text>
        <r>
          <rPr>
            <b/>
            <sz val="9"/>
            <color indexed="81"/>
            <rFont val="Tahoma"/>
            <family val="2"/>
          </rPr>
          <t xml:space="preserve">LV Port Maximum Voltage:
</t>
        </r>
        <r>
          <rPr>
            <sz val="9"/>
            <color indexed="81"/>
            <rFont val="Tahoma"/>
            <family val="2"/>
          </rPr>
          <t>Enter the expected maximum voltage at the LV-Port</t>
        </r>
        <r>
          <rPr>
            <b/>
            <sz val="9"/>
            <color indexed="81"/>
            <rFont val="Tahoma"/>
            <family val="2"/>
          </rPr>
          <t xml:space="preserve">
</t>
        </r>
        <r>
          <rPr>
            <sz val="9"/>
            <color indexed="81"/>
            <rFont val="Tahoma"/>
            <family val="2"/>
          </rPr>
          <t>Recommended maximum operating voltage: 80V</t>
        </r>
      </text>
    </comment>
    <comment ref="B21" authorId="0" shapeId="0" xr:uid="{00000000-0006-0000-0000-000009000000}">
      <text>
        <r>
          <rPr>
            <b/>
            <sz val="9"/>
            <color indexed="81"/>
            <rFont val="Tahoma"/>
            <family val="2"/>
          </rPr>
          <t xml:space="preserve">Selected Switching Frequency:
</t>
        </r>
        <r>
          <rPr>
            <sz val="9"/>
            <color indexed="81"/>
            <rFont val="Tahoma"/>
            <family val="2"/>
          </rPr>
          <t>Recommended Operating</t>
        </r>
        <r>
          <rPr>
            <b/>
            <sz val="9"/>
            <color indexed="81"/>
            <rFont val="Tahoma"/>
            <family val="2"/>
          </rPr>
          <t xml:space="preserve"> </t>
        </r>
        <r>
          <rPr>
            <b/>
            <u/>
            <sz val="9"/>
            <color indexed="81"/>
            <rFont val="Tahoma"/>
            <family val="2"/>
          </rPr>
          <t>Minimum</t>
        </r>
        <r>
          <rPr>
            <sz val="9"/>
            <color indexed="81"/>
            <rFont val="Tahoma"/>
            <family val="2"/>
          </rPr>
          <t xml:space="preserve"> Switching Frequency: </t>
        </r>
        <r>
          <rPr>
            <b/>
            <sz val="9"/>
            <color indexed="81"/>
            <rFont val="Tahoma"/>
            <family val="2"/>
          </rPr>
          <t>50 kHz</t>
        </r>
        <r>
          <rPr>
            <sz val="9"/>
            <color indexed="81"/>
            <rFont val="Tahoma"/>
            <family val="2"/>
          </rPr>
          <t xml:space="preserve">
Recommended Operating </t>
        </r>
        <r>
          <rPr>
            <b/>
            <u/>
            <sz val="9"/>
            <color indexed="81"/>
            <rFont val="Tahoma"/>
            <family val="2"/>
          </rPr>
          <t>Maximum</t>
        </r>
        <r>
          <rPr>
            <b/>
            <sz val="9"/>
            <color indexed="81"/>
            <rFont val="Tahoma"/>
            <family val="2"/>
          </rPr>
          <t xml:space="preserve"> </t>
        </r>
        <r>
          <rPr>
            <sz val="9"/>
            <color indexed="81"/>
            <rFont val="Tahoma"/>
            <family val="2"/>
          </rPr>
          <t xml:space="preserve">Switching Frequency: </t>
        </r>
        <r>
          <rPr>
            <b/>
            <sz val="9"/>
            <color indexed="81"/>
            <rFont val="Tahoma"/>
            <family val="2"/>
          </rPr>
          <t>1000 kHz</t>
        </r>
        <r>
          <rPr>
            <sz val="9"/>
            <color indexed="81"/>
            <rFont val="Tahoma"/>
            <family val="2"/>
          </rPr>
          <t xml:space="preserve">
</t>
        </r>
      </text>
    </comment>
    <comment ref="B22" authorId="0" shapeId="0" xr:uid="{00000000-0006-0000-0000-00000A000000}">
      <text>
        <r>
          <rPr>
            <b/>
            <sz val="9"/>
            <color indexed="81"/>
            <rFont val="Tahoma"/>
            <family val="2"/>
          </rPr>
          <t>Oscillator Set Resistor (R</t>
        </r>
        <r>
          <rPr>
            <b/>
            <vertAlign val="subscript"/>
            <sz val="9"/>
            <color indexed="81"/>
            <rFont val="Tahoma"/>
            <family val="2"/>
          </rPr>
          <t>OSC</t>
        </r>
        <r>
          <rPr>
            <b/>
            <sz val="9"/>
            <color indexed="81"/>
            <rFont val="Tahoma"/>
            <family val="2"/>
          </rPr>
          <t xml:space="preserve">):
</t>
        </r>
        <r>
          <rPr>
            <sz val="9"/>
            <color indexed="81"/>
            <rFont val="Tahoma"/>
            <family val="2"/>
          </rPr>
          <t>This value is calculated based on the "</t>
        </r>
        <r>
          <rPr>
            <b/>
            <sz val="9"/>
            <color indexed="81"/>
            <rFont val="Tahoma"/>
            <family val="2"/>
          </rPr>
          <t>Selected Switching Frequency</t>
        </r>
        <r>
          <rPr>
            <sz val="9"/>
            <color indexed="81"/>
            <rFont val="Tahoma"/>
            <family val="2"/>
          </rPr>
          <t>"</t>
        </r>
        <r>
          <rPr>
            <b/>
            <sz val="9"/>
            <color indexed="81"/>
            <rFont val="Tahoma"/>
            <family val="2"/>
          </rPr>
          <t xml:space="preserve"> </t>
        </r>
        <r>
          <rPr>
            <sz val="9"/>
            <color indexed="81"/>
            <rFont val="Tahoma"/>
            <family val="2"/>
          </rPr>
          <t xml:space="preserve">
</t>
        </r>
      </text>
    </comment>
    <comment ref="B25" authorId="0" shapeId="0" xr:uid="{00000000-0006-0000-0000-00000B000000}">
      <text>
        <r>
          <rPr>
            <b/>
            <sz val="9"/>
            <color indexed="81"/>
            <rFont val="Tahoma"/>
            <family val="2"/>
          </rPr>
          <t xml:space="preserve">Total Number of Phases:
</t>
        </r>
        <r>
          <rPr>
            <sz val="9"/>
            <color indexed="81"/>
            <rFont val="Tahoma"/>
            <family val="2"/>
          </rPr>
          <t xml:space="preserve">
Input the total number of phases used during maximum current delivery.  
(More than two phases requires multiple LM5171's connected in parallel).
</t>
        </r>
      </text>
    </comment>
    <comment ref="B26" authorId="0" shapeId="0" xr:uid="{00000000-0006-0000-0000-00000C000000}">
      <text>
        <r>
          <rPr>
            <b/>
            <sz val="9"/>
            <color indexed="81"/>
            <rFont val="Tahoma"/>
            <family val="2"/>
          </rPr>
          <t xml:space="preserve">Total Maximum LV-Port Current:
</t>
        </r>
        <r>
          <rPr>
            <sz val="9"/>
            <color indexed="81"/>
            <rFont val="Tahoma"/>
            <family val="2"/>
          </rPr>
          <t xml:space="preserve">
Enter the maximum LV-Port current (The maximum current of output current for buck mode and input current for boost mode).  
This value is used to calculate the following component values:
</t>
        </r>
        <r>
          <rPr>
            <b/>
            <sz val="9"/>
            <color indexed="81"/>
            <rFont val="Tahoma"/>
            <family val="2"/>
          </rPr>
          <t>Current sense resistor</t>
        </r>
        <r>
          <rPr>
            <sz val="9"/>
            <color indexed="81"/>
            <rFont val="Tahoma"/>
            <family val="2"/>
          </rPr>
          <t>: R</t>
        </r>
        <r>
          <rPr>
            <vertAlign val="subscript"/>
            <sz val="9"/>
            <color indexed="81"/>
            <rFont val="Tahoma"/>
            <family val="2"/>
          </rPr>
          <t>CS1/2</t>
        </r>
        <r>
          <rPr>
            <sz val="9"/>
            <color indexed="81"/>
            <rFont val="Tahoma"/>
            <family val="2"/>
          </rPr>
          <t xml:space="preserve"> 
</t>
        </r>
        <r>
          <rPr>
            <b/>
            <sz val="9"/>
            <color indexed="81"/>
            <rFont val="Tahoma"/>
            <family val="2"/>
          </rPr>
          <t>Power train inductor</t>
        </r>
        <r>
          <rPr>
            <sz val="9"/>
            <color indexed="81"/>
            <rFont val="Tahoma"/>
            <family val="2"/>
          </rPr>
          <t>: L</t>
        </r>
        <r>
          <rPr>
            <vertAlign val="subscript"/>
            <sz val="9"/>
            <color indexed="81"/>
            <rFont val="Tahoma"/>
            <family val="2"/>
          </rPr>
          <t>M1/2</t>
        </r>
      </text>
    </comment>
    <comment ref="B27" authorId="1" shapeId="0" xr:uid="{7A13D91B-6400-40B0-B704-85AE1522C173}">
      <text>
        <r>
          <rPr>
            <b/>
            <sz val="9"/>
            <color indexed="81"/>
            <rFont val="Tahoma"/>
            <family val="2"/>
          </rPr>
          <t xml:space="preserve">Maximum Output Current in Boost Mode:
</t>
        </r>
        <r>
          <rPr>
            <sz val="9"/>
            <color indexed="81"/>
            <rFont val="Tahoma"/>
            <family val="2"/>
          </rPr>
          <t xml:space="preserve">
Enter the Maximum Output Current in Boost Mode.  
This value is used to calculate the load resistance in boost mode.</t>
        </r>
      </text>
    </comment>
    <comment ref="B28" authorId="0" shapeId="0" xr:uid="{00000000-0006-0000-0000-00000D000000}">
      <text>
        <r>
          <rPr>
            <b/>
            <sz val="9"/>
            <color indexed="81"/>
            <rFont val="Tahoma"/>
            <family val="2"/>
          </rPr>
          <t xml:space="preserve">Calculated Current Sense Resistor:
</t>
        </r>
        <r>
          <rPr>
            <sz val="9"/>
            <color indexed="81"/>
            <rFont val="Tahoma"/>
            <family val="2"/>
          </rPr>
          <t>The current sense resistor value (</t>
        </r>
        <r>
          <rPr>
            <b/>
            <sz val="9"/>
            <color indexed="81"/>
            <rFont val="Tahoma"/>
            <family val="2"/>
          </rPr>
          <t>R</t>
        </r>
        <r>
          <rPr>
            <b/>
            <vertAlign val="subscript"/>
            <sz val="9"/>
            <color indexed="81"/>
            <rFont val="Tahoma"/>
            <family val="2"/>
          </rPr>
          <t>CS1/2</t>
        </r>
        <r>
          <rPr>
            <sz val="9"/>
            <color indexed="81"/>
            <rFont val="Tahoma"/>
            <family val="2"/>
          </rPr>
          <t>) is calculated to produce 50mV at the maximum phase current (  Total LV-Port Current / Total Number of Phases  ).</t>
        </r>
      </text>
    </comment>
    <comment ref="B29" authorId="0" shapeId="0" xr:uid="{00000000-0006-0000-0000-00000E000000}">
      <text>
        <r>
          <rPr>
            <b/>
            <sz val="9"/>
            <color indexed="81"/>
            <rFont val="Tahoma"/>
            <family val="2"/>
          </rPr>
          <t xml:space="preserve">Selected (Chosen) Sense Resistor:
</t>
        </r>
        <r>
          <rPr>
            <sz val="9"/>
            <color indexed="81"/>
            <rFont val="Tahoma"/>
            <family val="2"/>
          </rPr>
          <t xml:space="preserve">Enter your chosen sense resistor in this cell.  Use the calculated sense resistor as a guideline.
</t>
        </r>
      </text>
    </comment>
    <comment ref="B30" authorId="0" shapeId="0" xr:uid="{00000000-0006-0000-0000-00000F000000}">
      <text>
        <r>
          <rPr>
            <b/>
            <sz val="9"/>
            <color indexed="81"/>
            <rFont val="Tahoma"/>
            <family val="2"/>
          </rPr>
          <t xml:space="preserve">Maximum Average Inductor Current Per Channel:
</t>
        </r>
        <r>
          <rPr>
            <sz val="9"/>
            <color indexed="81"/>
            <rFont val="Tahoma"/>
            <family val="2"/>
          </rPr>
          <t xml:space="preserve">
This value is calculated based on </t>
        </r>
        <r>
          <rPr>
            <b/>
            <sz val="9"/>
            <color indexed="81"/>
            <rFont val="Tahoma"/>
            <family val="2"/>
          </rPr>
          <t>50mV</t>
        </r>
        <r>
          <rPr>
            <sz val="9"/>
            <color indexed="81"/>
            <rFont val="Tahoma"/>
            <family val="2"/>
          </rPr>
          <t xml:space="preserve"> across the Selected Sense Resistor</t>
        </r>
      </text>
    </comment>
    <comment ref="B31" authorId="0" shapeId="0" xr:uid="{00000000-0006-0000-0000-000010000000}">
      <text>
        <r>
          <rPr>
            <b/>
            <sz val="9"/>
            <color indexed="81"/>
            <rFont val="Tahoma"/>
            <family val="2"/>
          </rPr>
          <t xml:space="preserve">Maximum LV-Port Rail Current:
</t>
        </r>
        <r>
          <rPr>
            <sz val="9"/>
            <color indexed="81"/>
            <rFont val="Tahoma"/>
            <family val="2"/>
          </rPr>
          <t xml:space="preserve">
This is the maximum current at the LV-Port.</t>
        </r>
      </text>
    </comment>
    <comment ref="B36" authorId="0" shapeId="0" xr:uid="{00000000-0006-0000-0000-000011000000}">
      <text>
        <r>
          <rPr>
            <b/>
            <sz val="9"/>
            <color indexed="81"/>
            <rFont val="Tahoma"/>
            <family val="2"/>
          </rPr>
          <t xml:space="preserve">Selected Peak-to-Peak Ripple Ratio:
</t>
        </r>
        <r>
          <rPr>
            <sz val="9"/>
            <color indexed="81"/>
            <rFont val="Tahoma"/>
            <family val="2"/>
          </rPr>
          <t>This is the ratio of peak-to-peak inductor ripple current to the maximum average inductor current. Typically this value should be 80% or less.
Once the Ripple Ratio has been selected it will be used to calculate the inductor value</t>
        </r>
      </text>
    </comment>
    <comment ref="B37" authorId="0" shapeId="0" xr:uid="{00000000-0006-0000-0000-000012000000}">
      <text>
        <r>
          <rPr>
            <b/>
            <sz val="9"/>
            <color indexed="81"/>
            <rFont val="Tahoma"/>
            <family val="2"/>
          </rPr>
          <t xml:space="preserve">Calculated Inductor
</t>
        </r>
        <r>
          <rPr>
            <sz val="9"/>
            <color indexed="81"/>
            <rFont val="Tahoma"/>
            <family val="2"/>
          </rPr>
          <t>This is the suggested powertrain inductor value that is based on the peak-to-peak inductor current ripple ratio. Decreasing the ripple ratio will yield a larger inductance value</t>
        </r>
      </text>
    </comment>
    <comment ref="B38" authorId="0" shapeId="0" xr:uid="{00000000-0006-0000-0000-000013000000}">
      <text>
        <r>
          <rPr>
            <b/>
            <sz val="9"/>
            <color indexed="81"/>
            <rFont val="Tahoma"/>
            <family val="2"/>
          </rPr>
          <t>Selected Inductor</t>
        </r>
        <r>
          <rPr>
            <sz val="9"/>
            <color indexed="81"/>
            <rFont val="Tahoma"/>
            <family val="2"/>
          </rPr>
          <t xml:space="preserve">
This is the selected inductance value of L</t>
        </r>
        <r>
          <rPr>
            <vertAlign val="subscript"/>
            <sz val="9"/>
            <color indexed="81"/>
            <rFont val="Tahoma"/>
            <family val="2"/>
          </rPr>
          <t>M1</t>
        </r>
        <r>
          <rPr>
            <sz val="9"/>
            <color indexed="81"/>
            <rFont val="Tahoma"/>
            <family val="2"/>
          </rPr>
          <t xml:space="preserve"> and L</t>
        </r>
        <r>
          <rPr>
            <vertAlign val="subscript"/>
            <sz val="9"/>
            <color indexed="81"/>
            <rFont val="Tahoma"/>
            <family val="2"/>
          </rPr>
          <t xml:space="preserve">M2. </t>
        </r>
        <r>
          <rPr>
            <sz val="9"/>
            <color indexed="81"/>
            <rFont val="Tahoma"/>
            <family val="2"/>
          </rPr>
          <t>The calculated inductance value should be used as a guide line to select the inductance value.</t>
        </r>
      </text>
    </comment>
    <comment ref="B39" authorId="0" shapeId="0" xr:uid="{00000000-0006-0000-0000-000014000000}">
      <text>
        <r>
          <rPr>
            <b/>
            <sz val="9"/>
            <color indexed="81"/>
            <rFont val="Tahoma"/>
            <family val="2"/>
          </rPr>
          <t>Inductor DCR</t>
        </r>
        <r>
          <rPr>
            <sz val="9"/>
            <color indexed="81"/>
            <rFont val="Tahoma"/>
            <family val="2"/>
          </rPr>
          <t xml:space="preserve">
This is the DC resistance of the inductor. This can be found on the datasheet of the selected inductor. Higher values of DCR will cause the efficiency to drop relative to a inductor will smaller DCR</t>
        </r>
      </text>
    </comment>
    <comment ref="B40" authorId="0" shapeId="0" xr:uid="{00000000-0006-0000-0000-000015000000}">
      <text>
        <r>
          <rPr>
            <b/>
            <sz val="9"/>
            <color indexed="81"/>
            <rFont val="Tahoma"/>
            <family val="2"/>
          </rPr>
          <t xml:space="preserve">Maximum Inductor Peak Current
</t>
        </r>
        <r>
          <rPr>
            <sz val="9"/>
            <color indexed="81"/>
            <rFont val="Tahoma"/>
            <family val="2"/>
          </rPr>
          <t xml:space="preserve">
Worst case maximum peak current based on the selected inductance value, maximum LV port current specified and each phase in operation.</t>
        </r>
      </text>
    </comment>
    <comment ref="B45" authorId="0" shapeId="0" xr:uid="{00000000-0006-0000-0000-000016000000}">
      <text>
        <r>
          <rPr>
            <b/>
            <sz val="9"/>
            <color indexed="81"/>
            <rFont val="Tahoma"/>
            <family val="2"/>
          </rPr>
          <t>Current Limit Margin</t>
        </r>
        <r>
          <rPr>
            <sz val="9"/>
            <color indexed="81"/>
            <rFont val="Tahoma"/>
            <family val="2"/>
          </rPr>
          <t xml:space="preserve">
The margin above the calculated peak inductor current. Normally this value should be in the 5% to 15% range.</t>
        </r>
      </text>
    </comment>
    <comment ref="B46" authorId="0" shapeId="0" xr:uid="{00000000-0006-0000-0000-000017000000}">
      <text>
        <r>
          <rPr>
            <b/>
            <sz val="9"/>
            <color indexed="81"/>
            <rFont val="Tahoma"/>
            <family val="2"/>
          </rPr>
          <t xml:space="preserve">Inductor Peak Current Limit
</t>
        </r>
        <r>
          <rPr>
            <sz val="9"/>
            <color indexed="81"/>
            <rFont val="Tahoma"/>
            <family val="2"/>
          </rPr>
          <t>This is the peak inductor current based on the amount of margin specified. It is important to ensure that the selected inductor is rated for this amount of current. If not the margin of the peak limit should be decreased or an inductor with a larger current rating should be selected.</t>
        </r>
      </text>
    </comment>
    <comment ref="B47" authorId="2" shapeId="0" xr:uid="{293FA9AB-C0A2-466C-879C-32A5CDC7CFB0}">
      <text>
        <r>
          <rPr>
            <b/>
            <sz val="9"/>
            <color indexed="81"/>
            <rFont val="Tahoma"/>
            <family val="2"/>
          </rPr>
          <t>Selected Inductor Peak Current Limit</t>
        </r>
        <r>
          <rPr>
            <sz val="9"/>
            <color indexed="81"/>
            <rFont val="Tahoma"/>
            <family val="2"/>
          </rPr>
          <t xml:space="preserve">
Inductor saturation current must exceed this value
</t>
        </r>
      </text>
    </comment>
    <comment ref="B49" authorId="0" shapeId="0" xr:uid="{445109C5-55C2-4D10-B804-2F27A5EEABE3}">
      <text>
        <r>
          <rPr>
            <b/>
            <sz val="9"/>
            <color indexed="81"/>
            <rFont val="Tahoma"/>
            <family val="2"/>
          </rPr>
          <t>Reference voltage for IPK</t>
        </r>
        <r>
          <rPr>
            <sz val="9"/>
            <color indexed="81"/>
            <rFont val="Tahoma"/>
            <family val="2"/>
          </rPr>
          <t xml:space="preserve">
You are suggested to use VREF (3.5V) for the voltage devider to set IPK voltage. You are suggested to draw ~0.1mA from VREF.
If VREF is not used, enter your reference voltage here.</t>
        </r>
      </text>
    </comment>
    <comment ref="B50" authorId="1" shapeId="0" xr:uid="{F5E4CD7F-B353-47F3-AA54-2CBE6B6AC3D7}">
      <text>
        <r>
          <rPr>
            <b/>
            <sz val="9"/>
            <color indexed="81"/>
            <rFont val="Tahoma"/>
            <family val="2"/>
          </rPr>
          <t>Suggested IPK low side resistor</t>
        </r>
        <r>
          <rPr>
            <sz val="9"/>
            <color indexed="81"/>
            <rFont val="Tahoma"/>
            <family val="2"/>
          </rPr>
          <t xml:space="preserve">
This is calculated by assuming 0.1mA is drawn.</t>
        </r>
      </text>
    </comment>
    <comment ref="B52" authorId="1" shapeId="0" xr:uid="{04A8402A-0C8C-4144-86C7-EF3EA7409E7B}">
      <text>
        <r>
          <rPr>
            <b/>
            <sz val="9"/>
            <color indexed="81"/>
            <rFont val="Tahoma"/>
            <family val="2"/>
          </rPr>
          <t xml:space="preserve">Suggested IPK high side resistor
</t>
        </r>
        <r>
          <rPr>
            <sz val="9"/>
            <color indexed="81"/>
            <rFont val="Tahoma"/>
            <family val="2"/>
          </rPr>
          <t xml:space="preserve">
This is calculated based on selected R</t>
        </r>
        <r>
          <rPr>
            <vertAlign val="subscript"/>
            <sz val="9"/>
            <color indexed="81"/>
            <rFont val="Tahoma"/>
            <family val="2"/>
          </rPr>
          <t>IPKB</t>
        </r>
      </text>
    </comment>
    <comment ref="B60" authorId="0" shapeId="0" xr:uid="{00000000-0006-0000-0000-00001B000000}">
      <text>
        <r>
          <rPr>
            <b/>
            <sz val="9"/>
            <color indexed="81"/>
            <rFont val="Tahoma"/>
            <family val="2"/>
          </rPr>
          <t>LV Rail Output Capacitance</t>
        </r>
        <r>
          <rPr>
            <sz val="9"/>
            <color indexed="81"/>
            <rFont val="Tahoma"/>
            <family val="2"/>
          </rPr>
          <t xml:space="preserve">
This is the selected output capacitance of the LV rail. This value will have an impact when calculating the voltage loop compensation for Buck Mode Operation</t>
        </r>
      </text>
    </comment>
    <comment ref="B61" authorId="0" shapeId="0" xr:uid="{00000000-0006-0000-0000-00001C000000}">
      <text>
        <r>
          <rPr>
            <b/>
            <sz val="9"/>
            <color indexed="81"/>
            <rFont val="Tahoma"/>
            <family val="2"/>
          </rPr>
          <t>LV Rail Output Capacitance ESR</t>
        </r>
        <r>
          <rPr>
            <sz val="9"/>
            <color indexed="81"/>
            <rFont val="Tahoma"/>
            <family val="2"/>
          </rPr>
          <t xml:space="preserve">
This is the resistance of the selected output capacitance for the LV rail. This value will have an impact when calculating the voltage loop compensation for Buck Mode Operation.</t>
        </r>
      </text>
    </comment>
    <comment ref="B63" authorId="0" shapeId="0" xr:uid="{00000000-0006-0000-0000-00001D000000}">
      <text>
        <r>
          <rPr>
            <sz val="9"/>
            <color indexed="81"/>
            <rFont val="Tahoma"/>
            <family val="2"/>
          </rPr>
          <t>HV Rail Output Capacitance
This is the selected output capacitance of the HV rail. This value will have an impact when calculating the voltage loop compensation for Boost Mode Operation</t>
        </r>
      </text>
    </comment>
    <comment ref="B64" authorId="0" shapeId="0" xr:uid="{00000000-0006-0000-0000-00001E000000}">
      <text>
        <r>
          <rPr>
            <b/>
            <sz val="9"/>
            <color indexed="81"/>
            <rFont val="Tahoma"/>
            <family val="2"/>
          </rPr>
          <t xml:space="preserve">HV Rail Output Capacitance ESR
</t>
        </r>
        <r>
          <rPr>
            <sz val="9"/>
            <color indexed="81"/>
            <rFont val="Tahoma"/>
            <family val="2"/>
          </rPr>
          <t xml:space="preserve">This is the resistance of the selected output capacitance for the HV rail. This value will have an impact when calculating the voltage loop compensation for Boost Mode Operation.
</t>
        </r>
      </text>
    </comment>
    <comment ref="B68" authorId="0" shapeId="0" xr:uid="{74BEB6FD-F82C-4BCB-9629-97F01197C41E}">
      <text>
        <r>
          <rPr>
            <b/>
            <sz val="9"/>
            <color indexed="81"/>
            <rFont val="Tahoma"/>
            <family val="2"/>
          </rPr>
          <t xml:space="preserve">Constant Voltage(CV) or Constant Current(CC) control Selection:
</t>
        </r>
        <r>
          <rPr>
            <sz val="9"/>
            <color indexed="81"/>
            <rFont val="Tahoma"/>
            <family val="2"/>
          </rPr>
          <t>Choose CV if the outer voltage loop is employed, the current loop is used as inner loop.
Choose CC if only current loop is used.</t>
        </r>
      </text>
    </comment>
    <comment ref="B70" authorId="0" shapeId="0" xr:uid="{00000000-0006-0000-0000-000025000000}">
      <text>
        <r>
          <rPr>
            <b/>
            <sz val="9"/>
            <color indexed="81"/>
            <rFont val="Tahoma"/>
            <family val="2"/>
          </rPr>
          <t>Selected Output Voltage Soft-Start Time</t>
        </r>
        <r>
          <rPr>
            <sz val="9"/>
            <color indexed="81"/>
            <rFont val="Tahoma"/>
            <family val="2"/>
          </rPr>
          <t xml:space="preserve">
This is the selected time that it will take to raise the output voltage to the steady state operating voltage. Increasing the value will result in a slower ramp to the  steady state operating voltage.</t>
        </r>
      </text>
    </comment>
    <comment ref="B71" authorId="0" shapeId="0" xr:uid="{BE26FCB6-1F13-4C20-9C02-A110F35BD70C}">
      <text>
        <r>
          <rPr>
            <b/>
            <sz val="9"/>
            <color indexed="81"/>
            <rFont val="Tahoma"/>
            <family val="2"/>
          </rPr>
          <t xml:space="preserve">External Reference Voltage
</t>
        </r>
        <r>
          <rPr>
            <sz val="9"/>
            <color indexed="81"/>
            <rFont val="Tahoma"/>
            <family val="2"/>
          </rPr>
          <t xml:space="preserve">
This is the reference voltage for the voltage loop error amplifier non-inverting input.</t>
        </r>
      </text>
    </comment>
    <comment ref="B72" authorId="0" shapeId="0" xr:uid="{C9B60166-D46E-43A1-BEFB-83B1383E928D}">
      <text>
        <r>
          <rPr>
            <b/>
            <sz val="9"/>
            <color indexed="81"/>
            <rFont val="Tahoma"/>
            <family val="2"/>
          </rPr>
          <t>Reference voltage for VSET</t>
        </r>
        <r>
          <rPr>
            <sz val="9"/>
            <color indexed="81"/>
            <rFont val="Tahoma"/>
            <family val="2"/>
          </rPr>
          <t xml:space="preserve">
A voltage devider is used to set VSET voltage from VREF (3.5V). You are suggested to draw ~0.1mA from VREF.
If VREF is not used, enter the reference voltage here.</t>
        </r>
      </text>
    </comment>
    <comment ref="B73" authorId="1" shapeId="0" xr:uid="{69FFBC0A-4632-494D-8B18-9C3497D7A1A3}">
      <text>
        <r>
          <rPr>
            <b/>
            <sz val="9"/>
            <color indexed="81"/>
            <rFont val="Tahoma"/>
            <family val="2"/>
          </rPr>
          <t>Low-Side Resistor for VSET</t>
        </r>
        <r>
          <rPr>
            <sz val="9"/>
            <color indexed="81"/>
            <rFont val="Tahoma"/>
            <family val="2"/>
          </rPr>
          <t xml:space="preserve">
This is calculated by assuming 0.1mA is drawn.</t>
        </r>
      </text>
    </comment>
    <comment ref="B75" authorId="1" shapeId="0" xr:uid="{1AC337B5-28F1-4BFC-88F3-5106B0553DE3}">
      <text>
        <r>
          <rPr>
            <b/>
            <sz val="9"/>
            <color indexed="81"/>
            <rFont val="Tahoma"/>
            <family val="2"/>
          </rPr>
          <t>High-Side Resistor for VSET</t>
        </r>
        <r>
          <rPr>
            <sz val="9"/>
            <color indexed="81"/>
            <rFont val="Tahoma"/>
            <family val="2"/>
          </rPr>
          <t xml:space="preserve">
This is calculated based on selected R</t>
        </r>
        <r>
          <rPr>
            <vertAlign val="subscript"/>
            <sz val="9"/>
            <color indexed="81"/>
            <rFont val="Tahoma"/>
            <family val="2"/>
          </rPr>
          <t>VSETB</t>
        </r>
      </text>
    </comment>
    <comment ref="B78" authorId="1" shapeId="0" xr:uid="{B777C559-EC1F-4D7B-83B8-1937D728C02E}">
      <text>
        <r>
          <rPr>
            <b/>
            <sz val="9"/>
            <color indexed="81"/>
            <rFont val="Tahoma"/>
            <family val="2"/>
          </rPr>
          <t>Voltage softstart capacitor for VSET</t>
        </r>
        <r>
          <rPr>
            <sz val="9"/>
            <color indexed="81"/>
            <rFont val="Tahoma"/>
            <family val="2"/>
          </rPr>
          <t xml:space="preserve">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xml:space="preserve"> and C</t>
        </r>
        <r>
          <rPr>
            <vertAlign val="subscript"/>
            <sz val="9"/>
            <color indexed="81"/>
            <rFont val="Tahoma"/>
            <family val="2"/>
          </rPr>
          <t>VSET</t>
        </r>
        <r>
          <rPr>
            <sz val="9"/>
            <color indexed="81"/>
            <rFont val="Tahoma"/>
            <family val="2"/>
          </rPr>
          <t xml:space="preserve"> determines the output voltage soft-start time.
2*RC is used as soft-start time here.</t>
        </r>
      </text>
    </comment>
    <comment ref="B80" authorId="0" shapeId="0" xr:uid="{00000000-0006-0000-0000-000028000000}">
      <text>
        <r>
          <rPr>
            <b/>
            <sz val="9"/>
            <color indexed="81"/>
            <rFont val="Tahoma"/>
            <family val="2"/>
          </rPr>
          <t xml:space="preserve">Actual Soft-Start Time
</t>
        </r>
        <r>
          <rPr>
            <sz val="9"/>
            <color indexed="81"/>
            <rFont val="Tahoma"/>
            <family val="2"/>
          </rPr>
          <t xml:space="preserve">
This is the output voltage soft-start time based on the selected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C</t>
        </r>
        <r>
          <rPr>
            <vertAlign val="subscript"/>
            <sz val="9"/>
            <color indexed="81"/>
            <rFont val="Tahoma"/>
            <family val="2"/>
          </rPr>
          <t>VSET</t>
        </r>
        <r>
          <rPr>
            <sz val="9"/>
            <color indexed="81"/>
            <rFont val="Tahoma"/>
            <family val="2"/>
          </rPr>
          <t xml:space="preserve"> value.</t>
        </r>
      </text>
    </comment>
    <comment ref="B82" authorId="0" shapeId="0" xr:uid="{6AEAFDA9-F508-4499-9337-153378F1D9E8}">
      <text>
        <r>
          <rPr>
            <b/>
            <sz val="9"/>
            <color indexed="81"/>
            <rFont val="Tahoma"/>
            <family val="2"/>
          </rPr>
          <t>Selected Soft-Start Time</t>
        </r>
        <r>
          <rPr>
            <sz val="9"/>
            <color indexed="81"/>
            <rFont val="Tahoma"/>
            <family val="2"/>
          </rPr>
          <t xml:space="preserve">
This is the selected time that it will take the SS pin to charge to the threshold voltage. Increasing the value will result in a slower ramp to full load current.</t>
        </r>
      </text>
    </comment>
    <comment ref="B83" authorId="0" shapeId="0" xr:uid="{99D5FAA1-835D-4477-A182-4530E3616A86}">
      <text>
        <r>
          <rPr>
            <b/>
            <sz val="9"/>
            <color indexed="81"/>
            <rFont val="Tahoma"/>
            <family val="2"/>
          </rPr>
          <t>Selected Soft-Start Capacitor C</t>
        </r>
        <r>
          <rPr>
            <b/>
            <vertAlign val="subscript"/>
            <sz val="9"/>
            <color indexed="81"/>
            <rFont val="Tahoma"/>
            <family val="2"/>
          </rPr>
          <t>SS</t>
        </r>
        <r>
          <rPr>
            <sz val="9"/>
            <color indexed="81"/>
            <rFont val="Tahoma"/>
            <family val="2"/>
          </rPr>
          <t xml:space="preserve">
This is the calculated soft-start capacitor that will result in the soft-start time specified in the selected soft-start time cell. 
 If outer voltage loop is employed, current soft start should be minimized. Select 100pF for for C</t>
        </r>
        <r>
          <rPr>
            <vertAlign val="subscript"/>
            <sz val="9"/>
            <color indexed="81"/>
            <rFont val="Tahoma"/>
            <family val="2"/>
          </rPr>
          <t>ss</t>
        </r>
        <r>
          <rPr>
            <sz val="9"/>
            <color indexed="81"/>
            <rFont val="Tahoma"/>
            <family val="2"/>
          </rPr>
          <t>.</t>
        </r>
      </text>
    </comment>
    <comment ref="B84" authorId="0" shapeId="0" xr:uid="{4FA3B359-07A3-4A10-AAE5-EA7A67EDCC65}">
      <text>
        <r>
          <rPr>
            <b/>
            <sz val="9"/>
            <color indexed="81"/>
            <rFont val="Tahoma"/>
            <family val="2"/>
          </rPr>
          <t>Selected C</t>
        </r>
        <r>
          <rPr>
            <b/>
            <vertAlign val="subscript"/>
            <sz val="9"/>
            <color indexed="81"/>
            <rFont val="Tahoma"/>
            <family val="2"/>
          </rPr>
          <t>SS</t>
        </r>
        <r>
          <rPr>
            <b/>
            <sz val="9"/>
            <color indexed="81"/>
            <rFont val="Tahoma"/>
            <family val="2"/>
          </rPr>
          <t xml:space="preserve"> Capacitance
</t>
        </r>
        <r>
          <rPr>
            <sz val="9"/>
            <color indexed="81"/>
            <rFont val="Tahoma"/>
            <family val="2"/>
          </rPr>
          <t>This is the selected current soft-start capacitance. This value should be based on the calculated C</t>
        </r>
        <r>
          <rPr>
            <vertAlign val="subscript"/>
            <sz val="9"/>
            <color indexed="81"/>
            <rFont val="Tahoma"/>
            <family val="2"/>
          </rPr>
          <t xml:space="preserve">SS </t>
        </r>
        <r>
          <rPr>
            <sz val="9"/>
            <color indexed="81"/>
            <rFont val="Tahoma"/>
            <family val="2"/>
          </rPr>
          <t>cell value.</t>
        </r>
      </text>
    </comment>
    <comment ref="B85" authorId="0" shapeId="0" xr:uid="{0CB79596-BBE7-4A4C-B0F8-18347A6E2E7B}">
      <text>
        <r>
          <rPr>
            <b/>
            <sz val="9"/>
            <color indexed="81"/>
            <rFont val="Tahoma"/>
            <family val="2"/>
          </rPr>
          <t xml:space="preserve">Actual Soft-Start Time
</t>
        </r>
        <r>
          <rPr>
            <sz val="9"/>
            <color indexed="81"/>
            <rFont val="Tahoma"/>
            <family val="2"/>
          </rPr>
          <t xml:space="preserve">
This is the current soft-start time of the converter based on the value of the selected C</t>
        </r>
        <r>
          <rPr>
            <vertAlign val="subscript"/>
            <sz val="9"/>
            <color indexed="81"/>
            <rFont val="Tahoma"/>
            <family val="2"/>
          </rPr>
          <t>SS</t>
        </r>
        <r>
          <rPr>
            <sz val="9"/>
            <color indexed="81"/>
            <rFont val="Tahoma"/>
            <family val="2"/>
          </rPr>
          <t xml:space="preserve"> value.</t>
        </r>
      </text>
    </comment>
    <comment ref="B90" authorId="0" shapeId="0" xr:uid="{00000000-0006-0000-0000-000031000000}">
      <text>
        <r>
          <rPr>
            <b/>
            <sz val="9"/>
            <color indexed="81"/>
            <rFont val="Tahoma"/>
            <family val="2"/>
          </rPr>
          <t xml:space="preserve">ULVO Control Type Selection:
</t>
        </r>
        <r>
          <rPr>
            <sz val="9"/>
            <color indexed="81"/>
            <rFont val="Tahoma"/>
            <family val="2"/>
          </rPr>
          <t xml:space="preserve">The UVLO signal can be configured in a number of ways. Below are two common configurations
1. </t>
        </r>
        <r>
          <rPr>
            <u/>
            <sz val="9"/>
            <color indexed="81"/>
            <rFont val="Tahoma"/>
            <family val="2"/>
          </rPr>
          <t>UVLO signal controlled by microcontroller (</t>
        </r>
        <r>
          <rPr>
            <u/>
            <sz val="9"/>
            <color indexed="81"/>
            <rFont val="Calibri"/>
            <family val="2"/>
          </rPr>
          <t>μ</t>
        </r>
        <r>
          <rPr>
            <u/>
            <sz val="9"/>
            <color indexed="81"/>
            <rFont val="Tahoma"/>
            <family val="2"/>
          </rPr>
          <t>C)</t>
        </r>
        <r>
          <rPr>
            <sz val="9"/>
            <color indexed="81"/>
            <rFont val="Tahoma"/>
            <family val="2"/>
          </rPr>
          <t xml:space="preserve">
In this configuration the UVLO signal is used as a main enable for the device. To ensure that LM5171 will respond correctly, the logic level high voltage should be greater than 2.5V. If the cells below are shaded grey, it indicate that the calculations are not needed.
2.</t>
        </r>
        <r>
          <rPr>
            <u/>
            <sz val="9"/>
            <color indexed="81"/>
            <rFont val="Tahoma"/>
            <family val="2"/>
          </rPr>
          <t xml:space="preserve"> UVLO Resistor Divider (Resistor Divider)</t>
        </r>
        <r>
          <rPr>
            <sz val="9"/>
            <color indexed="81"/>
            <rFont val="Tahoma"/>
            <family val="2"/>
          </rPr>
          <t xml:space="preserve">
In this configuration a Resistor divider is used to set enable or disable LM5170. When the UVLO pin is above 2.5V the LM5171 will be in power delivery mode. If the voltage on the UVLO pin is between 1.25V and 2.5V the LM5170 will be in standby mode. If the UVLO pin voltage is below 1.25V, LM5171 will be in shutdown mode and will draw a small amount of power.</t>
        </r>
      </text>
    </comment>
    <comment ref="B91" authorId="0" shapeId="0" xr:uid="{00000000-0006-0000-0000-000032000000}">
      <text>
        <r>
          <rPr>
            <b/>
            <sz val="9"/>
            <color indexed="81"/>
            <rFont val="Tahoma"/>
            <family val="2"/>
          </rPr>
          <t xml:space="preserve">UVLO Release Voltage
</t>
        </r>
        <r>
          <rPr>
            <sz val="9"/>
            <color indexed="81"/>
            <rFont val="Tahoma"/>
            <family val="2"/>
          </rPr>
          <t>This is the input voltage at which the LM5171 will start delivering current. This voltage rail is typically from the HV-PORT, LV-PORT of the VCC rail.</t>
        </r>
      </text>
    </comment>
    <comment ref="B92" authorId="0" shapeId="0" xr:uid="{00000000-0006-0000-0000-000033000000}">
      <text>
        <r>
          <rPr>
            <b/>
            <sz val="9"/>
            <color indexed="81"/>
            <rFont val="Tahoma"/>
            <family val="2"/>
          </rPr>
          <t>Selected R</t>
        </r>
        <r>
          <rPr>
            <b/>
            <vertAlign val="subscript"/>
            <sz val="9"/>
            <color indexed="81"/>
            <rFont val="Tahoma"/>
            <family val="2"/>
          </rPr>
          <t xml:space="preserve">UVLO2
</t>
        </r>
        <r>
          <rPr>
            <sz val="9"/>
            <color indexed="81"/>
            <rFont val="Tahoma"/>
            <family val="2"/>
          </rPr>
          <t xml:space="preserve">This is the selected bottom resistor of the UVLO resistor divider. The larger this value the less current will flow in the divider making the UVLO signal more susceptible to noise. </t>
        </r>
      </text>
    </comment>
    <comment ref="B93" authorId="0" shapeId="0" xr:uid="{00000000-0006-0000-0000-000034000000}">
      <text>
        <r>
          <rPr>
            <b/>
            <sz val="9"/>
            <color indexed="81"/>
            <rFont val="Tahoma"/>
            <family val="2"/>
          </rPr>
          <t>Calculated R</t>
        </r>
        <r>
          <rPr>
            <b/>
            <vertAlign val="subscript"/>
            <sz val="9"/>
            <color indexed="81"/>
            <rFont val="Tahoma"/>
            <family val="2"/>
          </rPr>
          <t xml:space="preserve">UVLO1
</t>
        </r>
        <r>
          <rPr>
            <sz val="9"/>
            <color indexed="81"/>
            <rFont val="Tahoma"/>
            <family val="2"/>
          </rPr>
          <t>This is the calculated top resistor of the UVLO resistor divider based on the datasheet equation</t>
        </r>
      </text>
    </comment>
    <comment ref="B94" authorId="0" shapeId="0" xr:uid="{00000000-0006-0000-0000-000035000000}">
      <text>
        <r>
          <rPr>
            <b/>
            <sz val="9"/>
            <color indexed="81"/>
            <rFont val="Tahoma"/>
            <family val="2"/>
          </rPr>
          <t>Selected R</t>
        </r>
        <r>
          <rPr>
            <b/>
            <vertAlign val="subscript"/>
            <sz val="9"/>
            <color indexed="81"/>
            <rFont val="Tahoma"/>
            <family val="2"/>
          </rPr>
          <t>UVLO1</t>
        </r>
        <r>
          <rPr>
            <b/>
            <sz val="9"/>
            <color indexed="81"/>
            <rFont val="Tahoma"/>
            <family val="2"/>
          </rPr>
          <t xml:space="preserve">
</t>
        </r>
        <r>
          <rPr>
            <sz val="9"/>
            <color indexed="81"/>
            <rFont val="Tahoma"/>
            <family val="2"/>
          </rPr>
          <t xml:space="preserve">
This is the selected value of R</t>
        </r>
        <r>
          <rPr>
            <vertAlign val="subscript"/>
            <sz val="9"/>
            <color indexed="81"/>
            <rFont val="Tahoma"/>
            <family val="2"/>
          </rPr>
          <t>UVLO1</t>
        </r>
        <r>
          <rPr>
            <sz val="9"/>
            <color indexed="81"/>
            <rFont val="Tahoma"/>
            <family val="2"/>
          </rPr>
          <t xml:space="preserve">. The selected value should be based on the calculated value above
</t>
        </r>
      </text>
    </comment>
    <comment ref="B95" authorId="0" shapeId="0" xr:uid="{00000000-0006-0000-0000-000036000000}">
      <text>
        <r>
          <rPr>
            <b/>
            <sz val="9"/>
            <color indexed="81"/>
            <rFont val="Tahoma"/>
            <family val="2"/>
          </rPr>
          <t xml:space="preserve">UVLO Hysteresis
</t>
        </r>
        <r>
          <rPr>
            <sz val="9"/>
            <color indexed="81"/>
            <rFont val="Tahoma"/>
            <family val="2"/>
          </rPr>
          <t>If a different amount of hysteresis is needed on the UVLO signal a resistor (R</t>
        </r>
        <r>
          <rPr>
            <vertAlign val="subscript"/>
            <sz val="9"/>
            <color indexed="81"/>
            <rFont val="Tahoma"/>
            <family val="2"/>
          </rPr>
          <t>UVLO3</t>
        </r>
        <r>
          <rPr>
            <sz val="9"/>
            <color indexed="81"/>
            <rFont val="Tahoma"/>
            <family val="2"/>
          </rPr>
          <t xml:space="preserve">) maybe added to adjust this accordingly. The two following options will help to calculate the correct UVLO resistor values.
</t>
        </r>
        <r>
          <rPr>
            <u/>
            <sz val="9"/>
            <color indexed="81"/>
            <rFont val="Tahoma"/>
            <family val="2"/>
          </rPr>
          <t xml:space="preserve">1. Additional </t>
        </r>
        <r>
          <rPr>
            <sz val="9"/>
            <color indexed="81"/>
            <rFont val="Tahoma"/>
            <family val="2"/>
          </rPr>
          <t xml:space="preserve">
This allows for a greater level of hysteresis to be implemented for the UVLO signal. Selecting this option will calculated the needed value for R</t>
        </r>
        <r>
          <rPr>
            <vertAlign val="subscript"/>
            <sz val="9"/>
            <color indexed="81"/>
            <rFont val="Tahoma"/>
            <family val="2"/>
          </rPr>
          <t>UVLO3</t>
        </r>
        <r>
          <rPr>
            <sz val="9"/>
            <color indexed="81"/>
            <rFont val="Tahoma"/>
            <family val="2"/>
          </rPr>
          <t xml:space="preserve"> 
</t>
        </r>
        <r>
          <rPr>
            <u/>
            <sz val="9"/>
            <color indexed="81"/>
            <rFont val="Tahoma"/>
            <family val="2"/>
          </rPr>
          <t>2. Normal</t>
        </r>
        <r>
          <rPr>
            <sz val="9"/>
            <color indexed="81"/>
            <rFont val="Tahoma"/>
            <family val="2"/>
          </rPr>
          <t xml:space="preserve">
This is the most common use case for the UVLO signal. The hysteresis will be set by the 25uA internal current source and the R</t>
        </r>
        <r>
          <rPr>
            <vertAlign val="subscript"/>
            <sz val="9"/>
            <color indexed="81"/>
            <rFont val="Tahoma"/>
            <family val="2"/>
          </rPr>
          <t>UVLO1</t>
        </r>
        <r>
          <rPr>
            <sz val="9"/>
            <color indexed="81"/>
            <rFont val="Tahoma"/>
            <family val="2"/>
          </rPr>
          <t xml:space="preserve"> resistor</t>
        </r>
      </text>
    </comment>
    <comment ref="B96" authorId="0" shapeId="0" xr:uid="{00000000-0006-0000-0000-000037000000}">
      <text>
        <r>
          <rPr>
            <b/>
            <sz val="9"/>
            <color indexed="81"/>
            <rFont val="Tahoma"/>
            <family val="2"/>
          </rPr>
          <t>Selected Amount of Hysteresis</t>
        </r>
        <r>
          <rPr>
            <sz val="9"/>
            <color indexed="81"/>
            <rFont val="Tahoma"/>
            <family val="2"/>
          </rPr>
          <t xml:space="preserve">
The amount of hysteresis that RUVLO3 will be calculated to provide. If the "Normal" option on the "UVLO Hysteresis Type" box is selected this box is void.</t>
        </r>
      </text>
    </comment>
    <comment ref="B97" authorId="0" shapeId="0" xr:uid="{00000000-0006-0000-0000-000038000000}">
      <text>
        <r>
          <rPr>
            <b/>
            <sz val="9"/>
            <color indexed="81"/>
            <rFont val="Tahoma"/>
            <family val="2"/>
          </rPr>
          <t>Calculated R</t>
        </r>
        <r>
          <rPr>
            <b/>
            <vertAlign val="subscript"/>
            <sz val="9"/>
            <color indexed="81"/>
            <rFont val="Tahoma"/>
            <family val="2"/>
          </rPr>
          <t>UVLO3</t>
        </r>
        <r>
          <rPr>
            <b/>
            <sz val="9"/>
            <color indexed="81"/>
            <rFont val="Tahoma"/>
            <family val="2"/>
          </rPr>
          <t xml:space="preserve"> Value</t>
        </r>
        <r>
          <rPr>
            <sz val="9"/>
            <color indexed="81"/>
            <rFont val="Tahoma"/>
            <family val="2"/>
          </rPr>
          <t xml:space="preserve">
The calculated value based on amount of selected UVLO hysteresis. The calculated value is based on the datasheet equation. If the "Normal" option on the "UVLO Hysteresis Type" box is selected this box is void.</t>
        </r>
      </text>
    </comment>
    <comment ref="B98" authorId="0" shapeId="0" xr:uid="{00000000-0006-0000-0000-000039000000}">
      <text>
        <r>
          <rPr>
            <b/>
            <sz val="9"/>
            <color indexed="81"/>
            <rFont val="Tahoma"/>
            <family val="2"/>
          </rPr>
          <t>Selected R</t>
        </r>
        <r>
          <rPr>
            <b/>
            <vertAlign val="subscript"/>
            <sz val="9"/>
            <color indexed="81"/>
            <rFont val="Tahoma"/>
            <family val="2"/>
          </rPr>
          <t>UVLO3</t>
        </r>
        <r>
          <rPr>
            <b/>
            <sz val="9"/>
            <color indexed="81"/>
            <rFont val="Tahoma"/>
            <family val="2"/>
          </rPr>
          <t xml:space="preserve"> Value
</t>
        </r>
        <r>
          <rPr>
            <sz val="9"/>
            <color indexed="81"/>
            <rFont val="Tahoma"/>
            <family val="2"/>
          </rPr>
          <t>The selected value should be based on the calculated value above. If the "Normal" option on the "UVLO Hysteresis Type" box is selected this box is void.</t>
        </r>
      </text>
    </comment>
    <comment ref="B99" authorId="0" shapeId="0" xr:uid="{00000000-0006-0000-0000-00003A000000}">
      <text>
        <r>
          <rPr>
            <b/>
            <sz val="9"/>
            <color indexed="81"/>
            <rFont val="Tahoma"/>
            <family val="2"/>
          </rPr>
          <t xml:space="preserve">UVLO Hysteresis
</t>
        </r>
        <r>
          <rPr>
            <sz val="9"/>
            <color indexed="81"/>
            <rFont val="Tahoma"/>
            <family val="2"/>
          </rPr>
          <t xml:space="preserve">
This is the amount of hysteresis that will be on the UVLO signal. This value is dependent on the selection of the "UVLO Hysteresis Type" cell.
</t>
        </r>
      </text>
    </comment>
    <comment ref="B100" authorId="0" shapeId="0" xr:uid="{00000000-0006-0000-0000-00003B000000}">
      <text>
        <r>
          <rPr>
            <b/>
            <sz val="9"/>
            <color indexed="81"/>
            <rFont val="Tahoma"/>
            <family val="2"/>
          </rPr>
          <t xml:space="preserve">UVLO Release Rising Edge
</t>
        </r>
        <r>
          <rPr>
            <sz val="9"/>
            <color indexed="81"/>
            <rFont val="Tahoma"/>
            <family val="2"/>
          </rPr>
          <t>This is the UVLO input rail voltage at which the Undervoltage event is cleared. If the input rail voltage is greater than this value the LM5171 is able to deliver current.</t>
        </r>
      </text>
    </comment>
    <comment ref="B101" authorId="0" shapeId="0" xr:uid="{00000000-0006-0000-0000-00003C000000}">
      <text>
        <r>
          <rPr>
            <b/>
            <sz val="9"/>
            <color indexed="81"/>
            <rFont val="Tahoma"/>
            <family val="2"/>
          </rPr>
          <t xml:space="preserve">UVLO Latch Falling Edge
</t>
        </r>
        <r>
          <rPr>
            <sz val="9"/>
            <color indexed="81"/>
            <rFont val="Tahoma"/>
            <family val="2"/>
          </rPr>
          <t xml:space="preserve">
This is the UVLO input rail voltage at which an Undervoltage event occurs. If the input rail voltage is less than this value the LM5171 is in standby mode.</t>
        </r>
      </text>
    </comment>
    <comment ref="B102" authorId="0" shapeId="0" xr:uid="{00000000-0006-0000-0000-00003D000000}">
      <text>
        <r>
          <rPr>
            <b/>
            <sz val="9"/>
            <color indexed="81"/>
            <rFont val="Tahoma"/>
            <family val="2"/>
          </rPr>
          <t xml:space="preserve">UVLO Shutdown Voltage
</t>
        </r>
        <r>
          <rPr>
            <sz val="9"/>
            <color indexed="81"/>
            <rFont val="Tahoma"/>
            <family val="2"/>
          </rPr>
          <t>This is the UVLO input rail voltage at which the LM5171 will enter shutdown mode.</t>
        </r>
        <r>
          <rPr>
            <b/>
            <sz val="9"/>
            <color indexed="81"/>
            <rFont val="Tahoma"/>
            <family val="2"/>
          </rPr>
          <t xml:space="preserve"> </t>
        </r>
      </text>
    </comment>
    <comment ref="B107" authorId="0" shapeId="0" xr:uid="{906617FE-5719-4FD5-862C-F1FA27642F7D}">
      <text>
        <r>
          <rPr>
            <b/>
            <sz val="9"/>
            <color indexed="81"/>
            <rFont val="Tahoma"/>
            <family val="2"/>
          </rPr>
          <t xml:space="preserve">Overvoltage Level
</t>
        </r>
        <r>
          <rPr>
            <sz val="9"/>
            <color indexed="81"/>
            <rFont val="Tahoma"/>
            <family val="2"/>
          </rPr>
          <t xml:space="preserve">
This is the desired overvoltage level.</t>
        </r>
      </text>
    </comment>
    <comment ref="B108" authorId="0" shapeId="0" xr:uid="{C4089310-CC7A-4F39-94C1-B731D4DA1C96}">
      <text>
        <r>
          <rPr>
            <b/>
            <sz val="9"/>
            <color indexed="81"/>
            <rFont val="Tahoma"/>
            <family val="2"/>
          </rPr>
          <t>Suggested Resistor for R</t>
        </r>
        <r>
          <rPr>
            <b/>
            <vertAlign val="subscript"/>
            <sz val="9"/>
            <color indexed="81"/>
            <rFont val="Tahoma"/>
            <family val="2"/>
          </rPr>
          <t>OPVB</t>
        </r>
        <r>
          <rPr>
            <sz val="9"/>
            <color indexed="81"/>
            <rFont val="Tahoma"/>
            <family val="2"/>
          </rPr>
          <t xml:space="preserve">
This is calculated by assuming 1mA is drawn.
0.1~1mA is a good starting point for selecting OVP resistors.</t>
        </r>
      </text>
    </comment>
    <comment ref="B110" authorId="0" shapeId="0" xr:uid="{D306EB4E-0A01-4EAC-B5E3-F99612E8074B}">
      <text>
        <r>
          <rPr>
            <b/>
            <sz val="9"/>
            <color indexed="81"/>
            <rFont val="Tahoma"/>
            <family val="2"/>
          </rPr>
          <t>Suggested R</t>
        </r>
        <r>
          <rPr>
            <b/>
            <vertAlign val="subscript"/>
            <sz val="9"/>
            <color indexed="81"/>
            <rFont val="Tahoma"/>
            <family val="2"/>
          </rPr>
          <t>OVPT</t>
        </r>
        <r>
          <rPr>
            <sz val="9"/>
            <color indexed="81"/>
            <rFont val="Tahoma"/>
            <family val="2"/>
          </rPr>
          <t xml:space="preserve">
This is calculated based on selected R</t>
        </r>
        <r>
          <rPr>
            <vertAlign val="subscript"/>
            <sz val="9"/>
            <color indexed="81"/>
            <rFont val="Tahoma"/>
            <family val="2"/>
          </rPr>
          <t>OVPB</t>
        </r>
      </text>
    </comment>
    <comment ref="B118" authorId="0" shapeId="0" xr:uid="{00000000-0006-0000-0000-00003E000000}">
      <text>
        <r>
          <rPr>
            <b/>
            <sz val="9"/>
            <color indexed="81"/>
            <rFont val="Tahoma"/>
            <family val="2"/>
          </rPr>
          <t>IMON Voltage at VCS = 50mV</t>
        </r>
        <r>
          <rPr>
            <sz val="9"/>
            <color indexed="81"/>
            <rFont val="Tahoma"/>
            <family val="2"/>
          </rPr>
          <t xml:space="preserve">
The maximum voltage that the IMONx pin will see at full load current. This is assuming that each channel (IMON1, IMON2,…) has an output that is not tied together. It is recommended to keep the IMONx pin </t>
        </r>
        <r>
          <rPr>
            <u/>
            <sz val="9"/>
            <color indexed="81"/>
            <rFont val="Tahoma"/>
            <family val="2"/>
          </rPr>
          <t xml:space="preserve">voltage below 3V </t>
        </r>
        <r>
          <rPr>
            <sz val="9"/>
            <color indexed="81"/>
            <rFont val="Tahoma"/>
            <family val="2"/>
          </rPr>
          <t>for accurate current measurements.</t>
        </r>
      </text>
    </comment>
    <comment ref="B119" authorId="0" shapeId="0" xr:uid="{00000000-0006-0000-0000-00003F000000}">
      <text>
        <r>
          <rPr>
            <b/>
            <sz val="9"/>
            <color indexed="81"/>
            <rFont val="Tahoma"/>
            <family val="2"/>
          </rPr>
          <t>Calculated R</t>
        </r>
        <r>
          <rPr>
            <b/>
            <vertAlign val="subscript"/>
            <sz val="9"/>
            <color indexed="81"/>
            <rFont val="Tahoma"/>
            <family val="2"/>
          </rPr>
          <t xml:space="preserve">IOUT </t>
        </r>
        <r>
          <rPr>
            <b/>
            <sz val="9"/>
            <color indexed="81"/>
            <rFont val="Tahoma"/>
            <family val="2"/>
          </rPr>
          <t>Values</t>
        </r>
        <r>
          <rPr>
            <sz val="9"/>
            <color indexed="81"/>
            <rFont val="Tahoma"/>
            <family val="2"/>
          </rPr>
          <t xml:space="preserve">
These values are assuming that no IMON signal is tied together. The calculated value of the resistor will give the specified maximum V</t>
        </r>
        <r>
          <rPr>
            <vertAlign val="subscript"/>
            <sz val="9"/>
            <color indexed="81"/>
            <rFont val="Tahoma"/>
            <family val="2"/>
          </rPr>
          <t>IMON</t>
        </r>
        <r>
          <rPr>
            <sz val="9"/>
            <color indexed="81"/>
            <rFont val="Tahoma"/>
            <family val="2"/>
          </rPr>
          <t xml:space="preserve"> based on the datasheet equation.</t>
        </r>
      </text>
    </comment>
    <comment ref="B120" authorId="0" shapeId="0" xr:uid="{00000000-0006-0000-0000-000040000000}">
      <text>
        <r>
          <rPr>
            <b/>
            <sz val="9"/>
            <color indexed="81"/>
            <rFont val="Tahoma"/>
            <family val="2"/>
          </rPr>
          <t>Selected RIOUT Value</t>
        </r>
        <r>
          <rPr>
            <sz val="9"/>
            <color indexed="81"/>
            <rFont val="Tahoma"/>
            <family val="2"/>
          </rPr>
          <t xml:space="preserve">
The selected value should be based on the calculated value for the RIOUT resistors</t>
        </r>
      </text>
    </comment>
    <comment ref="B121" authorId="0" shapeId="0" xr:uid="{00000000-0006-0000-0000-000041000000}">
      <text>
        <r>
          <rPr>
            <b/>
            <sz val="9"/>
            <color indexed="81"/>
            <rFont val="Tahoma"/>
            <family val="2"/>
          </rPr>
          <t>V</t>
        </r>
        <r>
          <rPr>
            <b/>
            <vertAlign val="subscript"/>
            <sz val="9"/>
            <color indexed="81"/>
            <rFont val="Tahoma"/>
            <family val="2"/>
          </rPr>
          <t>IOUT</t>
        </r>
        <r>
          <rPr>
            <b/>
            <sz val="9"/>
            <color indexed="81"/>
            <rFont val="Tahoma"/>
            <family val="2"/>
          </rPr>
          <t xml:space="preserve"> at full load</t>
        </r>
        <r>
          <rPr>
            <sz val="9"/>
            <color indexed="81"/>
            <rFont val="Tahoma"/>
            <family val="2"/>
          </rPr>
          <t xml:space="preserve">
This is the maximum value on the IMON pins based on the resistor selection made.</t>
        </r>
      </text>
    </comment>
    <comment ref="B122" authorId="0" shapeId="0" xr:uid="{00000000-0006-0000-0000-000042000000}">
      <text>
        <r>
          <rPr>
            <b/>
            <sz val="9"/>
            <color indexed="81"/>
            <rFont val="Tahoma"/>
            <family val="2"/>
          </rPr>
          <t>V</t>
        </r>
        <r>
          <rPr>
            <b/>
            <vertAlign val="subscript"/>
            <sz val="9"/>
            <color indexed="81"/>
            <rFont val="Tahoma"/>
            <family val="2"/>
          </rPr>
          <t>IOUT</t>
        </r>
        <r>
          <rPr>
            <b/>
            <sz val="9"/>
            <color indexed="81"/>
            <rFont val="Tahoma"/>
            <family val="2"/>
          </rPr>
          <t xml:space="preserve"> at no load
</t>
        </r>
        <r>
          <rPr>
            <sz val="9"/>
            <color indexed="81"/>
            <rFont val="Tahoma"/>
            <family val="2"/>
          </rPr>
          <t>This is the voltage on the IOUT pins at no load based on the resistor selection made. This is due to the 50uA offset current on the IMON pins</t>
        </r>
        <r>
          <rPr>
            <b/>
            <sz val="9"/>
            <color indexed="81"/>
            <rFont val="Tahoma"/>
            <family val="2"/>
          </rPr>
          <t>.</t>
        </r>
        <r>
          <rPr>
            <sz val="9"/>
            <color indexed="81"/>
            <rFont val="Tahoma"/>
            <family val="2"/>
          </rPr>
          <t xml:space="preserve">
</t>
        </r>
      </text>
    </comment>
    <comment ref="B123" authorId="0" shapeId="0" xr:uid="{00000000-0006-0000-0000-000043000000}">
      <text>
        <r>
          <rPr>
            <b/>
            <sz val="9"/>
            <color indexed="81"/>
            <rFont val="Tahoma"/>
            <family val="2"/>
          </rPr>
          <t>Calculated C</t>
        </r>
        <r>
          <rPr>
            <b/>
            <vertAlign val="subscript"/>
            <sz val="9"/>
            <color indexed="81"/>
            <rFont val="Tahoma"/>
            <family val="2"/>
          </rPr>
          <t>IMON</t>
        </r>
        <r>
          <rPr>
            <b/>
            <sz val="9"/>
            <color indexed="81"/>
            <rFont val="Tahoma"/>
            <family val="2"/>
          </rPr>
          <t xml:space="preserve">
</t>
        </r>
        <r>
          <rPr>
            <sz val="9"/>
            <color indexed="81"/>
            <rFont val="Tahoma"/>
            <family val="2"/>
          </rPr>
          <t xml:space="preserve">This is the capacitor that will filter out any noise on the IOUT pins. This value was calculated based on the recommendations of the datasheet.
</t>
        </r>
      </text>
    </comment>
    <comment ref="B124" authorId="0" shapeId="0" xr:uid="{00000000-0006-0000-0000-000044000000}">
      <text>
        <r>
          <rPr>
            <b/>
            <sz val="9"/>
            <color indexed="81"/>
            <rFont val="Tahoma"/>
            <family val="2"/>
          </rPr>
          <t>Selected C</t>
        </r>
        <r>
          <rPr>
            <b/>
            <vertAlign val="subscript"/>
            <sz val="9"/>
            <color indexed="81"/>
            <rFont val="Tahoma"/>
            <family val="2"/>
          </rPr>
          <t>IMON</t>
        </r>
        <r>
          <rPr>
            <b/>
            <sz val="9"/>
            <color indexed="81"/>
            <rFont val="Tahoma"/>
            <family val="2"/>
          </rPr>
          <t xml:space="preserve"> Capacitor</t>
        </r>
        <r>
          <rPr>
            <sz val="9"/>
            <color indexed="81"/>
            <rFont val="Tahoma"/>
            <family val="2"/>
          </rPr>
          <t xml:space="preserve">
This is the selected C</t>
        </r>
        <r>
          <rPr>
            <vertAlign val="subscript"/>
            <sz val="9"/>
            <color indexed="81"/>
            <rFont val="Tahoma"/>
            <family val="2"/>
          </rPr>
          <t>IMON</t>
        </r>
        <r>
          <rPr>
            <sz val="9"/>
            <color indexed="81"/>
            <rFont val="Tahoma"/>
            <family val="2"/>
          </rPr>
          <t xml:space="preserve"> capacitor. The selected value should be based on the calculated value above.</t>
        </r>
      </text>
    </comment>
    <comment ref="B125" authorId="0" shapeId="0" xr:uid="{00000000-0006-0000-0000-000045000000}">
      <text>
        <r>
          <rPr>
            <b/>
            <sz val="9"/>
            <color indexed="81"/>
            <rFont val="Tahoma"/>
            <family val="2"/>
          </rPr>
          <t>V</t>
        </r>
        <r>
          <rPr>
            <b/>
            <vertAlign val="subscript"/>
            <sz val="9"/>
            <color indexed="81"/>
            <rFont val="Tahoma"/>
            <family val="2"/>
          </rPr>
          <t>IMON</t>
        </r>
        <r>
          <rPr>
            <b/>
            <sz val="9"/>
            <color indexed="81"/>
            <rFont val="Tahoma"/>
            <family val="2"/>
          </rPr>
          <t xml:space="preserve"> Ripple
</t>
        </r>
        <r>
          <rPr>
            <sz val="9"/>
            <color indexed="81"/>
            <rFont val="Tahoma"/>
            <family val="2"/>
          </rPr>
          <t>This is the amount of voltage ripple on the IMON pin at full load. This can be decreased by increasing the C</t>
        </r>
        <r>
          <rPr>
            <vertAlign val="subscript"/>
            <sz val="9"/>
            <color indexed="81"/>
            <rFont val="Tahoma"/>
            <family val="2"/>
          </rPr>
          <t>IMON</t>
        </r>
        <r>
          <rPr>
            <sz val="9"/>
            <color indexed="81"/>
            <rFont val="Tahoma"/>
            <family val="2"/>
          </rPr>
          <t xml:space="preserve"> capacitance</t>
        </r>
      </text>
    </comment>
    <comment ref="B126" authorId="0" shapeId="0" xr:uid="{00000000-0006-0000-0000-000046000000}">
      <text>
        <r>
          <rPr>
            <b/>
            <sz val="9"/>
            <color indexed="81"/>
            <rFont val="Tahoma"/>
            <family val="2"/>
          </rPr>
          <t xml:space="preserve">Corner Frequency
</t>
        </r>
        <r>
          <rPr>
            <sz val="9"/>
            <color indexed="81"/>
            <rFont val="Tahoma"/>
            <family val="2"/>
          </rPr>
          <t>This is the corner frequency of the IMON resistor and capacitor.</t>
        </r>
      </text>
    </comment>
    <comment ref="B131" authorId="0" shapeId="0" xr:uid="{00000000-0006-0000-0000-000047000000}">
      <text>
        <r>
          <rPr>
            <b/>
            <sz val="9"/>
            <color indexed="81"/>
            <rFont val="Tahoma"/>
            <family val="2"/>
          </rPr>
          <t xml:space="preserve">Dead Time Configuration
</t>
        </r>
        <r>
          <rPr>
            <sz val="9"/>
            <color indexed="81"/>
            <rFont val="Tahoma"/>
            <family val="2"/>
          </rPr>
          <t>The dead time of the LM5170 can either be programmed or it can be set to adaptive. See the datasheet for more details</t>
        </r>
      </text>
    </comment>
    <comment ref="B132" authorId="0" shapeId="0" xr:uid="{00000000-0006-0000-0000-000048000000}">
      <text>
        <r>
          <rPr>
            <b/>
            <sz val="9"/>
            <color indexed="81"/>
            <rFont val="Tahoma"/>
            <family val="2"/>
          </rPr>
          <t>Selected Dead Time</t>
        </r>
        <r>
          <rPr>
            <sz val="9"/>
            <color indexed="81"/>
            <rFont val="Tahoma"/>
            <family val="2"/>
          </rPr>
          <t xml:space="preserve">
This is the dead time between the LO and HO signals
The </t>
        </r>
        <r>
          <rPr>
            <b/>
            <sz val="9"/>
            <color indexed="81"/>
            <rFont val="Tahoma"/>
            <family val="2"/>
          </rPr>
          <t>minimum</t>
        </r>
        <r>
          <rPr>
            <sz val="9"/>
            <color indexed="81"/>
            <rFont val="Tahoma"/>
            <family val="2"/>
          </rPr>
          <t xml:space="preserve"> value is: </t>
        </r>
        <r>
          <rPr>
            <b/>
            <sz val="9"/>
            <color indexed="81"/>
            <rFont val="Tahoma"/>
            <family val="2"/>
          </rPr>
          <t>15ns</t>
        </r>
        <r>
          <rPr>
            <sz val="9"/>
            <color indexed="81"/>
            <rFont val="Tahoma"/>
            <family val="2"/>
          </rPr>
          <t xml:space="preserve">
The </t>
        </r>
        <r>
          <rPr>
            <b/>
            <sz val="9"/>
            <color indexed="81"/>
            <rFont val="Tahoma"/>
            <family val="2"/>
          </rPr>
          <t>maximum</t>
        </r>
        <r>
          <rPr>
            <sz val="9"/>
            <color indexed="81"/>
            <rFont val="Tahoma"/>
            <family val="2"/>
          </rPr>
          <t xml:space="preserve"> values is: </t>
        </r>
        <r>
          <rPr>
            <b/>
            <sz val="9"/>
            <color indexed="81"/>
            <rFont val="Tahoma"/>
            <family val="2"/>
          </rPr>
          <t>200ns</t>
        </r>
      </text>
    </comment>
    <comment ref="B133" authorId="0" shapeId="0" xr:uid="{00000000-0006-0000-0000-000049000000}">
      <text>
        <r>
          <rPr>
            <b/>
            <sz val="9"/>
            <color indexed="81"/>
            <rFont val="Tahoma"/>
            <family val="2"/>
          </rPr>
          <t>Dead Time Resistor</t>
        </r>
        <r>
          <rPr>
            <sz val="9"/>
            <color indexed="81"/>
            <rFont val="Tahoma"/>
            <family val="2"/>
          </rPr>
          <t xml:space="preserve">
Calculated dead time resistor based on the above selected dead time value.</t>
        </r>
      </text>
    </comment>
    <comment ref="B134" authorId="0" shapeId="0" xr:uid="{00000000-0006-0000-0000-00004A000000}">
      <text>
        <r>
          <rPr>
            <b/>
            <sz val="9"/>
            <color indexed="81"/>
            <rFont val="Tahoma"/>
            <family val="2"/>
          </rPr>
          <t>Selected Dead Time Resistor</t>
        </r>
        <r>
          <rPr>
            <sz val="9"/>
            <color indexed="81"/>
            <rFont val="Tahoma"/>
            <family val="2"/>
          </rPr>
          <t xml:space="preserve">
This is the selected dead time resistor. The selection of this value should be based on the above calculated value</t>
        </r>
      </text>
    </comment>
    <comment ref="B135" authorId="0" shapeId="0" xr:uid="{00000000-0006-0000-0000-00004B000000}">
      <text>
        <r>
          <rPr>
            <b/>
            <sz val="9"/>
            <color indexed="81"/>
            <rFont val="Tahoma"/>
            <family val="2"/>
          </rPr>
          <t>LO falling to HO rising Dead Time</t>
        </r>
        <r>
          <rPr>
            <sz val="9"/>
            <color indexed="81"/>
            <rFont val="Tahoma"/>
            <family val="2"/>
          </rPr>
          <t xml:space="preserve">
This is the dead time between the LO and HO signal</t>
        </r>
      </text>
    </comment>
    <comment ref="B136" authorId="0" shapeId="0" xr:uid="{00000000-0006-0000-0000-00004C000000}">
      <text>
        <r>
          <rPr>
            <b/>
            <sz val="9"/>
            <color indexed="81"/>
            <rFont val="Tahoma"/>
            <family val="2"/>
          </rPr>
          <t xml:space="preserve">HO falling to LO rising Dead Time
</t>
        </r>
        <r>
          <rPr>
            <sz val="9"/>
            <color indexed="81"/>
            <rFont val="Tahoma"/>
            <family val="2"/>
          </rPr>
          <t xml:space="preserve">
This is the dead time between the LO and HO signal</t>
        </r>
      </text>
    </comment>
    <comment ref="B141" authorId="0" shapeId="0" xr:uid="{7A434734-0F83-42C8-ABE4-F7F801623F4D}">
      <text>
        <r>
          <rPr>
            <b/>
            <sz val="9"/>
            <color indexed="81"/>
            <rFont val="Tahoma"/>
            <family val="2"/>
          </rPr>
          <t>I</t>
        </r>
        <r>
          <rPr>
            <b/>
            <vertAlign val="superscript"/>
            <sz val="9"/>
            <color indexed="81"/>
            <rFont val="Tahoma"/>
            <family val="2"/>
          </rPr>
          <t>2</t>
        </r>
        <r>
          <rPr>
            <b/>
            <sz val="9"/>
            <color indexed="81"/>
            <rFont val="Tahoma"/>
            <family val="2"/>
          </rPr>
          <t>C Adress</t>
        </r>
        <r>
          <rPr>
            <sz val="9"/>
            <color indexed="81"/>
            <rFont val="Tahoma"/>
            <family val="2"/>
          </rPr>
          <t xml:space="preserve">
I2C Adress can be configured from 0x0 to 0x7.</t>
        </r>
      </text>
    </comment>
    <comment ref="B142" authorId="0" shapeId="0" xr:uid="{39D0AF20-32A5-4A0F-BEB5-9AC73C877007}">
      <text>
        <r>
          <rPr>
            <b/>
            <sz val="9"/>
            <color indexed="81"/>
            <rFont val="Tahoma"/>
            <family val="2"/>
          </rPr>
          <t xml:space="preserve">IMON option
</t>
        </r>
        <r>
          <rPr>
            <sz val="9"/>
            <color indexed="81"/>
            <rFont val="Tahoma"/>
            <family val="2"/>
          </rPr>
          <t xml:space="preserve">
Select </t>
        </r>
        <r>
          <rPr>
            <b/>
            <sz val="9"/>
            <color indexed="81"/>
            <rFont val="Tahoma"/>
            <family val="2"/>
          </rPr>
          <t>LV side current</t>
        </r>
        <r>
          <rPr>
            <sz val="9"/>
            <color indexed="81"/>
            <rFont val="Tahoma"/>
            <family val="2"/>
          </rPr>
          <t xml:space="preserve"> or </t>
        </r>
        <r>
          <rPr>
            <b/>
            <sz val="9"/>
            <color indexed="81"/>
            <rFont val="Tahoma"/>
            <family val="2"/>
          </rPr>
          <t>HV side current:</t>
        </r>
        <r>
          <rPr>
            <sz val="9"/>
            <color indexed="81"/>
            <rFont val="Tahoma"/>
            <family val="2"/>
          </rPr>
          <t xml:space="preserve">
</t>
        </r>
        <r>
          <rPr>
            <b/>
            <sz val="9"/>
            <color indexed="81"/>
            <rFont val="Tahoma"/>
            <family val="2"/>
          </rPr>
          <t>I_LV:</t>
        </r>
        <r>
          <rPr>
            <sz val="9"/>
            <color indexed="81"/>
            <rFont val="Tahoma"/>
            <family val="2"/>
          </rPr>
          <t xml:space="preserve"> LV side current i</t>
        </r>
        <r>
          <rPr>
            <vertAlign val="subscript"/>
            <sz val="9"/>
            <color indexed="81"/>
            <rFont val="Tahoma"/>
            <family val="2"/>
          </rPr>
          <t>LM</t>
        </r>
        <r>
          <rPr>
            <sz val="9"/>
            <color indexed="81"/>
            <rFont val="Tahoma"/>
            <family val="2"/>
          </rPr>
          <t xml:space="preserve">
</t>
        </r>
        <r>
          <rPr>
            <b/>
            <sz val="9"/>
            <color indexed="81"/>
            <rFont val="Tahoma"/>
            <family val="2"/>
          </rPr>
          <t xml:space="preserve">I_HV: </t>
        </r>
        <r>
          <rPr>
            <sz val="9"/>
            <color indexed="81"/>
            <rFont val="Tahoma"/>
            <family val="2"/>
          </rPr>
          <t>HV side current, that is D*i</t>
        </r>
        <r>
          <rPr>
            <vertAlign val="subscript"/>
            <sz val="9"/>
            <color indexed="81"/>
            <rFont val="Tahoma"/>
            <family val="2"/>
          </rPr>
          <t>LM</t>
        </r>
        <r>
          <rPr>
            <sz val="9"/>
            <color indexed="81"/>
            <rFont val="Tahoma"/>
            <family val="2"/>
          </rPr>
          <t xml:space="preserve"> for buck, (1-D)*i</t>
        </r>
        <r>
          <rPr>
            <vertAlign val="subscript"/>
            <sz val="9"/>
            <color indexed="81"/>
            <rFont val="Tahoma"/>
            <family val="2"/>
          </rPr>
          <t>LM</t>
        </r>
        <r>
          <rPr>
            <sz val="9"/>
            <color indexed="81"/>
            <rFont val="Tahoma"/>
            <family val="2"/>
          </rPr>
          <t xml:space="preserve"> for boost</t>
        </r>
      </text>
    </comment>
    <comment ref="B143" authorId="0" shapeId="0" xr:uid="{C28C21C7-A0F7-435E-9328-D49D23AEA223}">
      <text>
        <r>
          <rPr>
            <b/>
            <sz val="9"/>
            <color indexed="81"/>
            <rFont val="Tahoma"/>
            <family val="2"/>
          </rPr>
          <t xml:space="preserve">CFG Configuration
</t>
        </r>
        <r>
          <rPr>
            <sz val="9"/>
            <color indexed="81"/>
            <rFont val="Tahoma"/>
            <family val="2"/>
          </rPr>
          <t>Suggested R</t>
        </r>
        <r>
          <rPr>
            <vertAlign val="subscript"/>
            <sz val="9"/>
            <color indexed="81"/>
            <rFont val="Tahoma"/>
            <family val="2"/>
          </rPr>
          <t>CFG</t>
        </r>
        <r>
          <rPr>
            <sz val="9"/>
            <color indexed="81"/>
            <rFont val="Tahoma"/>
            <family val="2"/>
          </rPr>
          <t xml:space="preserve"> based on selected I</t>
        </r>
        <r>
          <rPr>
            <vertAlign val="superscript"/>
            <sz val="9"/>
            <color indexed="81"/>
            <rFont val="Tahoma"/>
            <family val="2"/>
          </rPr>
          <t>2</t>
        </r>
        <r>
          <rPr>
            <sz val="9"/>
            <color indexed="81"/>
            <rFont val="Tahoma"/>
            <family val="2"/>
          </rPr>
          <t>C adress and IMON option.</t>
        </r>
      </text>
    </comment>
    <comment ref="B145" authorId="0" shapeId="0" xr:uid="{F74E8B8A-1D7B-4330-9875-6C9882F18526}">
      <text>
        <r>
          <rPr>
            <b/>
            <sz val="9"/>
            <color indexed="81"/>
            <rFont val="Tahoma"/>
            <family val="2"/>
          </rPr>
          <t xml:space="preserve">Desired interleaving phase angle
</t>
        </r>
        <r>
          <rPr>
            <sz val="9"/>
            <color indexed="81"/>
            <rFont val="Tahoma"/>
            <family val="2"/>
          </rPr>
          <t xml:space="preserve">
Select 180° for 2*n phase interleaving.
Select 240° for 3*n phase interleaving.</t>
        </r>
      </text>
    </comment>
    <comment ref="B146" authorId="1" shapeId="0" xr:uid="{A390646E-E452-4CB3-BA9A-2C82BADBBC72}">
      <text>
        <r>
          <rPr>
            <b/>
            <sz val="9"/>
            <color indexed="81"/>
            <rFont val="Tahoma"/>
            <family val="2"/>
          </rPr>
          <t xml:space="preserve">OPT level:
</t>
        </r>
        <r>
          <rPr>
            <sz val="9"/>
            <color indexed="81"/>
            <rFont val="Tahoma"/>
            <family val="2"/>
          </rPr>
          <t>Set OPT to 0V ~ 1V for LOW.
Set OPT to 2V ~ 5V for HIGH.</t>
        </r>
      </text>
    </comment>
    <comment ref="B151" authorId="0" shapeId="0" xr:uid="{00000000-0006-0000-0000-00004D000000}">
      <text>
        <r>
          <rPr>
            <b/>
            <sz val="9"/>
            <color indexed="81"/>
            <rFont val="Tahoma"/>
            <family val="2"/>
          </rPr>
          <t xml:space="preserve">Path Resistance
</t>
        </r>
        <r>
          <rPr>
            <sz val="9"/>
            <color indexed="81"/>
            <rFont val="Tahoma"/>
            <family val="2"/>
          </rPr>
          <t>R</t>
        </r>
        <r>
          <rPr>
            <vertAlign val="subscript"/>
            <sz val="9"/>
            <color indexed="81"/>
            <rFont val="Tahoma"/>
            <family val="2"/>
          </rPr>
          <t>S</t>
        </r>
        <r>
          <rPr>
            <sz val="9"/>
            <color indexed="81"/>
            <rFont val="Tahoma"/>
            <family val="2"/>
          </rPr>
          <t xml:space="preserve"> is the equivalent total resistance along the current path excluding R</t>
        </r>
        <r>
          <rPr>
            <vertAlign val="subscript"/>
            <sz val="9"/>
            <color indexed="81"/>
            <rFont val="Tahoma"/>
            <family val="2"/>
          </rPr>
          <t>CS</t>
        </r>
        <r>
          <rPr>
            <sz val="9"/>
            <color indexed="81"/>
            <rFont val="Tahoma"/>
            <family val="2"/>
          </rPr>
          <t>. A reasonable estimate of this value is 10m</t>
        </r>
        <r>
          <rPr>
            <sz val="9"/>
            <color indexed="81"/>
            <rFont val="Calibri"/>
            <family val="2"/>
          </rPr>
          <t>Ω</t>
        </r>
        <r>
          <rPr>
            <sz val="9"/>
            <color indexed="81"/>
            <rFont val="Tahoma"/>
            <family val="2"/>
          </rPr>
          <t xml:space="preserve"> </t>
        </r>
      </text>
    </comment>
    <comment ref="B152" authorId="0" shapeId="0" xr:uid="{00000000-0006-0000-0000-00004F000000}">
      <text>
        <r>
          <rPr>
            <b/>
            <sz val="9"/>
            <color indexed="81"/>
            <rFont val="Tahoma"/>
            <family val="2"/>
          </rPr>
          <t>Suggested Cross Over Frequency</t>
        </r>
        <r>
          <rPr>
            <sz val="9"/>
            <color indexed="81"/>
            <rFont val="Tahoma"/>
            <family val="2"/>
          </rPr>
          <t xml:space="preserve">
This is estimated to be 1/6.28 of the switching frequency. This should allow for easy compensation and stability when adding voltage loop control.</t>
        </r>
      </text>
    </comment>
    <comment ref="B153" authorId="0" shapeId="0" xr:uid="{00000000-0006-0000-0000-000050000000}">
      <text>
        <r>
          <rPr>
            <b/>
            <sz val="9"/>
            <color indexed="81"/>
            <rFont val="Tahoma"/>
            <family val="2"/>
          </rPr>
          <t>Crossover Frequency</t>
        </r>
        <r>
          <rPr>
            <sz val="9"/>
            <color indexed="81"/>
            <rFont val="Tahoma"/>
            <family val="2"/>
          </rPr>
          <t xml:space="preserve">
This is the selected crossover frequency of the current loop. The compensation values will be set to this
</t>
        </r>
      </text>
    </comment>
    <comment ref="B154" authorId="0" shapeId="0" xr:uid="{00000000-0006-0000-0000-000051000000}">
      <text>
        <r>
          <rPr>
            <b/>
            <sz val="9"/>
            <color indexed="81"/>
            <rFont val="Tahoma"/>
            <family val="2"/>
          </rPr>
          <t>Calculated R</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5" authorId="0" shapeId="0" xr:uid="{00000000-0006-0000-0000-000052000000}">
      <text>
        <r>
          <rPr>
            <b/>
            <sz val="9"/>
            <color indexed="81"/>
            <rFont val="Tahoma"/>
            <family val="2"/>
          </rPr>
          <t>Selected R</t>
        </r>
        <r>
          <rPr>
            <b/>
            <vertAlign val="subscript"/>
            <sz val="9"/>
            <color indexed="81"/>
            <rFont val="Tahoma"/>
            <family val="2"/>
          </rPr>
          <t>COMP</t>
        </r>
        <r>
          <rPr>
            <b/>
            <sz val="9"/>
            <color indexed="81"/>
            <rFont val="Tahoma"/>
            <family val="2"/>
          </rPr>
          <t xml:space="preserve">
</t>
        </r>
        <r>
          <rPr>
            <sz val="9"/>
            <color indexed="81"/>
            <rFont val="Tahoma"/>
            <family val="2"/>
          </rPr>
          <t xml:space="preserve">This value should reflect the calculated value above. Adjusting this value will move the affect the pole and the zero location of the compensation.
</t>
        </r>
      </text>
    </comment>
    <comment ref="B156" authorId="0" shapeId="0" xr:uid="{00000000-0006-0000-0000-000053000000}">
      <text>
        <r>
          <rPr>
            <b/>
            <sz val="9"/>
            <color indexed="81"/>
            <rFont val="Tahoma"/>
            <family val="2"/>
          </rPr>
          <t>Calculated C</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7" authorId="0" shapeId="0" xr:uid="{00000000-0006-0000-0000-000054000000}">
      <text>
        <r>
          <rPr>
            <b/>
            <sz val="9"/>
            <color indexed="81"/>
            <rFont val="Tahoma"/>
            <family val="2"/>
          </rPr>
          <t>Selected C</t>
        </r>
        <r>
          <rPr>
            <b/>
            <vertAlign val="subscript"/>
            <sz val="9"/>
            <color indexed="81"/>
            <rFont val="Tahoma"/>
            <family val="2"/>
          </rPr>
          <t>COMP</t>
        </r>
        <r>
          <rPr>
            <b/>
            <sz val="9"/>
            <color indexed="81"/>
            <rFont val="Tahoma"/>
            <family val="2"/>
          </rPr>
          <t xml:space="preserve">
</t>
        </r>
        <r>
          <rPr>
            <sz val="9"/>
            <color indexed="81"/>
            <rFont val="Tahoma"/>
            <family val="2"/>
          </rPr>
          <t xml:space="preserve">
This value should reflect the calculated value above. Adjusting this value will move the affect the zero location of the compensation.</t>
        </r>
        <r>
          <rPr>
            <b/>
            <sz val="9"/>
            <color indexed="81"/>
            <rFont val="Tahoma"/>
            <family val="2"/>
          </rPr>
          <t xml:space="preserve">
</t>
        </r>
      </text>
    </comment>
    <comment ref="B158" authorId="0" shapeId="0" xr:uid="{00000000-0006-0000-0000-000055000000}">
      <text>
        <r>
          <rPr>
            <b/>
            <sz val="9"/>
            <color indexed="81"/>
            <rFont val="Tahoma"/>
            <family val="2"/>
          </rPr>
          <t>Calculated CHF</t>
        </r>
        <r>
          <rPr>
            <sz val="9"/>
            <color indexed="81"/>
            <rFont val="Tahoma"/>
            <family val="2"/>
          </rPr>
          <t xml:space="preserve">
See datasheet for details on how to calculate this value
</t>
        </r>
      </text>
    </comment>
    <comment ref="B159" authorId="0" shapeId="0" xr:uid="{00000000-0006-0000-0000-000056000000}">
      <text>
        <r>
          <rPr>
            <b/>
            <sz val="9"/>
            <color indexed="81"/>
            <rFont val="Tahoma"/>
            <family val="2"/>
          </rPr>
          <t>Selected C</t>
        </r>
        <r>
          <rPr>
            <b/>
            <vertAlign val="subscript"/>
            <sz val="9"/>
            <color indexed="81"/>
            <rFont val="Tahoma"/>
            <family val="2"/>
          </rPr>
          <t>HF</t>
        </r>
        <r>
          <rPr>
            <b/>
            <sz val="9"/>
            <color indexed="81"/>
            <rFont val="Tahoma"/>
            <family val="2"/>
          </rPr>
          <t xml:space="preserve">
</t>
        </r>
        <r>
          <rPr>
            <sz val="9"/>
            <color indexed="81"/>
            <rFont val="Tahoma"/>
            <family val="2"/>
          </rPr>
          <t xml:space="preserve">
This value should reflect the calculated value above. Adjusting this value will move the affect the pole location of the compensation network.
</t>
        </r>
      </text>
    </comment>
    <comment ref="B160" authorId="0" shapeId="0" xr:uid="{00000000-0006-0000-0000-000057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161" authorId="0" shapeId="0" xr:uid="{00000000-0006-0000-0000-000058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r>
          <rPr>
            <b/>
            <sz val="9"/>
            <color indexed="81"/>
            <rFont val="Tahoma"/>
            <family val="2"/>
          </rPr>
          <t>.</t>
        </r>
        <r>
          <rPr>
            <sz val="9"/>
            <color indexed="81"/>
            <rFont val="Tahoma"/>
            <family val="2"/>
          </rPr>
          <t xml:space="preserve">
</t>
        </r>
      </text>
    </comment>
    <comment ref="B166" authorId="1" shapeId="0" xr:uid="{63B5AAB1-56C0-477B-ADBD-1FCDE7DF5F00}">
      <text>
        <r>
          <rPr>
            <b/>
            <sz val="9"/>
            <color indexed="81"/>
            <rFont val="Tahoma"/>
            <family val="2"/>
          </rPr>
          <t>Suggested Resistor for R</t>
        </r>
        <r>
          <rPr>
            <b/>
            <vertAlign val="subscript"/>
            <sz val="9"/>
            <color indexed="81"/>
            <rFont val="Tahoma"/>
            <family val="2"/>
          </rPr>
          <t>ISETB</t>
        </r>
        <r>
          <rPr>
            <b/>
            <sz val="9"/>
            <color indexed="81"/>
            <rFont val="Tahoma"/>
            <family val="2"/>
          </rPr>
          <t xml:space="preserve">
</t>
        </r>
        <r>
          <rPr>
            <sz val="9"/>
            <color indexed="81"/>
            <rFont val="Tahoma"/>
            <family val="2"/>
          </rPr>
          <t>R</t>
        </r>
        <r>
          <rPr>
            <vertAlign val="subscript"/>
            <sz val="9"/>
            <color indexed="81"/>
            <rFont val="Tahoma"/>
            <family val="2"/>
          </rPr>
          <t>ISETB</t>
        </r>
        <r>
          <rPr>
            <sz val="9"/>
            <color indexed="81"/>
            <rFont val="Tahoma"/>
            <family val="2"/>
          </rPr>
          <t xml:space="preserve"> and R</t>
        </r>
        <r>
          <rPr>
            <vertAlign val="subscript"/>
            <sz val="9"/>
            <color indexed="81"/>
            <rFont val="Tahoma"/>
            <family val="2"/>
          </rPr>
          <t>ISETT</t>
        </r>
        <r>
          <rPr>
            <sz val="9"/>
            <color indexed="81"/>
            <rFont val="Tahoma"/>
            <family val="2"/>
          </rPr>
          <t xml:space="preserve"> are set to limit the maximum voltage on ISETx, thus the maximum average inductor current is limited.</t>
        </r>
        <r>
          <rPr>
            <b/>
            <sz val="9"/>
            <color indexed="81"/>
            <rFont val="Tahoma"/>
            <family val="2"/>
          </rPr>
          <t xml:space="preserve">
</t>
        </r>
        <r>
          <rPr>
            <sz val="9"/>
            <color indexed="81"/>
            <rFont val="Tahoma"/>
            <family val="2"/>
          </rPr>
          <t>This is calculated by assuming 1mA is drawn.
0.1~1mA is a good starting point for selecting R</t>
        </r>
        <r>
          <rPr>
            <vertAlign val="subscript"/>
            <sz val="9"/>
            <color indexed="81"/>
            <rFont val="Tahoma"/>
            <family val="2"/>
          </rPr>
          <t>ISETB</t>
        </r>
        <r>
          <rPr>
            <sz val="9"/>
            <color indexed="81"/>
            <rFont val="Tahoma"/>
            <family val="2"/>
          </rPr>
          <t xml:space="preserve"> resistors.</t>
        </r>
      </text>
    </comment>
    <comment ref="B168" authorId="1" shapeId="0" xr:uid="{7B841614-00E8-4962-A971-EAA3FBC31BAA}">
      <text>
        <r>
          <rPr>
            <b/>
            <sz val="9"/>
            <color indexed="81"/>
            <rFont val="Tahoma"/>
            <family val="2"/>
          </rPr>
          <t>Suggested R</t>
        </r>
        <r>
          <rPr>
            <b/>
            <vertAlign val="subscript"/>
            <sz val="9"/>
            <color indexed="81"/>
            <rFont val="Tahoma"/>
            <family val="2"/>
          </rPr>
          <t>ISETT</t>
        </r>
        <r>
          <rPr>
            <b/>
            <sz val="9"/>
            <color indexed="81"/>
            <rFont val="Tahoma"/>
            <family val="2"/>
          </rPr>
          <t xml:space="preserve">
</t>
        </r>
        <r>
          <rPr>
            <sz val="9"/>
            <color indexed="81"/>
            <rFont val="Tahoma"/>
            <family val="2"/>
          </rPr>
          <t>This is calculated based on selected R</t>
        </r>
        <r>
          <rPr>
            <vertAlign val="subscript"/>
            <sz val="9"/>
            <color indexed="81"/>
            <rFont val="Tahoma"/>
            <family val="2"/>
          </rPr>
          <t>ISETB</t>
        </r>
        <r>
          <rPr>
            <sz val="9"/>
            <color indexed="81"/>
            <rFont val="Tahoma"/>
            <family val="2"/>
          </rPr>
          <t xml:space="preserve">. </t>
        </r>
        <r>
          <rPr>
            <vertAlign val="subscript"/>
            <sz val="9"/>
            <color indexed="81"/>
            <rFont val="Tahoma"/>
            <family val="2"/>
          </rPr>
          <t xml:space="preserve">
</t>
        </r>
        <r>
          <rPr>
            <sz val="9"/>
            <color indexed="81"/>
            <rFont val="Tahoma"/>
            <family val="2"/>
          </rPr>
          <t>If this is negative, you may need to reduce R</t>
        </r>
        <r>
          <rPr>
            <vertAlign val="subscript"/>
            <sz val="9"/>
            <color indexed="81"/>
            <rFont val="Tahoma"/>
            <family val="2"/>
          </rPr>
          <t>cs</t>
        </r>
        <r>
          <rPr>
            <sz val="9"/>
            <color indexed="81"/>
            <rFont val="Tahoma"/>
            <family val="2"/>
          </rPr>
          <t xml:space="preserve"> so that the peak current can be reached.</t>
        </r>
      </text>
    </comment>
    <comment ref="B174" authorId="0" shapeId="0" xr:uid="{00000000-0006-0000-0000-000059000000}">
      <text>
        <r>
          <rPr>
            <b/>
            <sz val="9"/>
            <color indexed="81"/>
            <rFont val="Tahoma"/>
            <family val="2"/>
          </rPr>
          <t xml:space="preserve">External Reference Voltage
</t>
        </r>
        <r>
          <rPr>
            <sz val="9"/>
            <color indexed="81"/>
            <rFont val="Tahoma"/>
            <family val="2"/>
          </rPr>
          <t xml:space="preserve">
This is the reference voltage for the voltage loop. This value will be used to calculate the feedback resistors. </t>
        </r>
      </text>
    </comment>
    <comment ref="B175" authorId="0" shapeId="0" xr:uid="{00000000-0006-0000-0000-00005A000000}">
      <text>
        <r>
          <rPr>
            <b/>
            <sz val="9"/>
            <color indexed="81"/>
            <rFont val="Tahoma"/>
            <family val="2"/>
          </rPr>
          <t>Selected Bottom Resistor</t>
        </r>
        <r>
          <rPr>
            <sz val="9"/>
            <color indexed="81"/>
            <rFont val="Tahoma"/>
            <family val="2"/>
          </rPr>
          <t xml:space="preserve">
This is the selected bottom resistor of the FBLV resistor divider. 
A good starting point for this value is in the 1kΩ to 20k</t>
        </r>
        <r>
          <rPr>
            <sz val="9"/>
            <color indexed="81"/>
            <rFont val="Calibri"/>
            <family val="2"/>
          </rPr>
          <t>Ω</t>
        </r>
        <r>
          <rPr>
            <sz val="9"/>
            <color indexed="81"/>
            <rFont val="Tahoma"/>
            <family val="2"/>
          </rPr>
          <t xml:space="preserve"> range. 
The larger this value the less current will flow in the divider making the FBLV signal more susceptible to noise. However the current draw from the output will be smaller.</t>
        </r>
      </text>
    </comment>
    <comment ref="B176" authorId="0" shapeId="0" xr:uid="{00000000-0006-0000-0000-00005B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is the value calculated in order to set the feedback node at FBLV</t>
        </r>
        <r>
          <rPr>
            <sz val="9"/>
            <color indexed="81"/>
            <rFont val="Tahoma"/>
            <family val="2"/>
          </rPr>
          <t xml:space="preserve"> when the output voltage in buck mode is set to be the nominal value of the LV Port voltage.</t>
        </r>
      </text>
    </comment>
    <comment ref="B177" authorId="0" shapeId="0" xr:uid="{00000000-0006-0000-0000-00005C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
The selected value should reflect the calculated value above.</t>
        </r>
      </text>
    </comment>
    <comment ref="B178" authorId="0" shapeId="0" xr:uid="{00000000-0006-0000-0000-00005D000000}">
      <text>
        <r>
          <rPr>
            <b/>
            <sz val="9"/>
            <color indexed="81"/>
            <rFont val="Tahoma"/>
            <family val="2"/>
          </rPr>
          <t>Suggested Crossover Frequency</t>
        </r>
        <r>
          <rPr>
            <sz val="9"/>
            <color indexed="81"/>
            <rFont val="Tahoma"/>
            <family val="2"/>
          </rPr>
          <t xml:space="preserve">
This value is set to be around 1/10 that of the current loop cross over frequency. For best operation the voltage loop should be slower than that of the current loop.</t>
        </r>
      </text>
    </comment>
    <comment ref="B179" authorId="0" shapeId="0" xr:uid="{00000000-0006-0000-0000-00005E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80" authorId="0" shapeId="0" xr:uid="{00000000-0006-0000-0000-00005F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t>
        </r>
      </text>
    </comment>
    <comment ref="B182" authorId="0" shapeId="0" xr:uid="{00000000-0006-0000-0000-000060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84" authorId="0" shapeId="0" xr:uid="{00000000-0006-0000-0000-000061000000}">
      <text>
        <r>
          <rPr>
            <b/>
            <sz val="9"/>
            <color indexed="81"/>
            <rFont val="Tahoma"/>
            <family val="2"/>
          </rPr>
          <t>C</t>
        </r>
        <r>
          <rPr>
            <b/>
            <vertAlign val="subscript"/>
            <sz val="9"/>
            <color indexed="81"/>
            <rFont val="Tahoma"/>
            <family val="2"/>
          </rPr>
          <t>HF</t>
        </r>
        <r>
          <rPr>
            <b/>
            <sz val="9"/>
            <color indexed="81"/>
            <rFont val="Tahoma"/>
            <family val="2"/>
          </rPr>
          <t xml:space="preserve"> Calculated
</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86" authorId="0" shapeId="0" xr:uid="{00000000-0006-0000-0000-000062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187" authorId="0" shapeId="0" xr:uid="{00000000-0006-0000-0000-000063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text>
    </comment>
    <comment ref="B192" authorId="0" shapeId="0" xr:uid="{00000000-0006-0000-0000-000064000000}">
      <text>
        <r>
          <rPr>
            <b/>
            <sz val="9"/>
            <color indexed="81"/>
            <rFont val="Tahoma"/>
            <family val="2"/>
          </rPr>
          <t xml:space="preserve">External Reference Voltage
</t>
        </r>
        <r>
          <rPr>
            <sz val="9"/>
            <color indexed="81"/>
            <rFont val="Tahoma"/>
            <family val="2"/>
          </rPr>
          <t xml:space="preserve">
This is the external reference voltage for the voltage loop. This value will be used to calculate the feedback resistors. 
</t>
        </r>
      </text>
    </comment>
    <comment ref="B193" authorId="0" shapeId="0" xr:uid="{00000000-0006-0000-0000-000065000000}">
      <text>
        <r>
          <rPr>
            <b/>
            <sz val="9"/>
            <color indexed="81"/>
            <rFont val="Tahoma"/>
            <family val="2"/>
          </rPr>
          <t xml:space="preserve">Selected Bottom Resistor
</t>
        </r>
        <r>
          <rPr>
            <sz val="9"/>
            <color indexed="81"/>
            <rFont val="Tahoma"/>
            <family val="2"/>
          </rPr>
          <t>This is the selected bottom resistor of the FB resistor divider. 
A good starting point for this value is in the 1kΩ to 20kΩ range. 
The larger this value the less current will flow in the divider making the FBLV signal more susceptible to noise. However the current draw from the output will be smaller.</t>
        </r>
      </text>
    </comment>
    <comment ref="B194" authorId="0" shapeId="0" xr:uid="{00000000-0006-0000-0000-000066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is the value calculated in order to set the feedback node at FBHV when the output voltage in boost mode is set to be the nominal value of the HV Port voltage.</t>
        </r>
      </text>
    </comment>
    <comment ref="B195" authorId="0" shapeId="0" xr:uid="{00000000-0006-0000-0000-000067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The selected value should reflect the calculated value above.
</t>
        </r>
      </text>
    </comment>
    <comment ref="B196" authorId="0" shapeId="0" xr:uid="{00000000-0006-0000-0000-000068000000}">
      <text>
        <r>
          <rPr>
            <b/>
            <sz val="9"/>
            <color indexed="81"/>
            <rFont val="Tahoma"/>
            <family val="2"/>
          </rPr>
          <t xml:space="preserve">Suggested Crossover Frequency
</t>
        </r>
        <r>
          <rPr>
            <sz val="9"/>
            <color indexed="81"/>
            <rFont val="Tahoma"/>
            <family val="2"/>
          </rPr>
          <t>This is suggseted to be the lower value of:
    1/5 of the boost mode operation's RHP zero frequency (F</t>
        </r>
        <r>
          <rPr>
            <vertAlign val="subscript"/>
            <sz val="9"/>
            <color indexed="81"/>
            <rFont val="Tahoma"/>
            <family val="2"/>
          </rPr>
          <t>RHPzero</t>
        </r>
        <r>
          <rPr>
            <sz val="9"/>
            <color indexed="81"/>
            <rFont val="Tahoma"/>
            <family val="2"/>
          </rPr>
          <t>). 
    1/10 of the current loop crossover frequency.</t>
        </r>
      </text>
    </comment>
    <comment ref="B197" authorId="0" shapeId="0" xr:uid="{00000000-0006-0000-0000-000069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98" authorId="0" shapeId="0" xr:uid="{00000000-0006-0000-0000-00006A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
</t>
        </r>
      </text>
    </comment>
    <comment ref="B200" authorId="0" shapeId="0" xr:uid="{00000000-0006-0000-0000-00006B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202" authorId="0" shapeId="0" xr:uid="{00000000-0006-0000-0000-00006C000000}">
      <text>
        <r>
          <rPr>
            <b/>
            <sz val="9"/>
            <color indexed="81"/>
            <rFont val="Tahoma"/>
            <family val="2"/>
          </rPr>
          <t>C</t>
        </r>
        <r>
          <rPr>
            <b/>
            <vertAlign val="subscript"/>
            <sz val="9"/>
            <color indexed="81"/>
            <rFont val="Tahoma"/>
            <family val="2"/>
          </rPr>
          <t>HF</t>
        </r>
        <r>
          <rPr>
            <b/>
            <sz val="9"/>
            <color indexed="81"/>
            <rFont val="Tahoma"/>
            <family val="2"/>
          </rPr>
          <t xml:space="preserve"> Calculated</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204" authorId="0" shapeId="0" xr:uid="{00000000-0006-0000-0000-00006D000000}">
      <text>
        <r>
          <rPr>
            <b/>
            <sz val="9"/>
            <color indexed="81"/>
            <rFont val="Tahoma"/>
            <family val="2"/>
          </rPr>
          <t>Compensation Zero Location (F</t>
        </r>
        <r>
          <rPr>
            <b/>
            <vertAlign val="subscript"/>
            <sz val="9"/>
            <color indexed="81"/>
            <rFont val="Tahoma"/>
            <family val="2"/>
          </rPr>
          <t>Zcomp</t>
        </r>
        <r>
          <rPr>
            <b/>
            <sz val="9"/>
            <color indexed="81"/>
            <rFont val="Tahoma"/>
            <family val="2"/>
          </rPr>
          <t>)</t>
        </r>
        <r>
          <rPr>
            <sz val="9"/>
            <color indexed="81"/>
            <rFont val="Tahoma"/>
            <family val="2"/>
          </rPr>
          <t xml:space="preserve">
This is the location of the zero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bobe plot.</t>
        </r>
      </text>
    </comment>
    <comment ref="B205" authorId="0" shapeId="0" xr:uid="{00000000-0006-0000-0000-00006E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upon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xml:space="preserve">. The location of the pole can be seen on the bobe plot.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5" authorId="0" shapeId="0" xr:uid="{00000000-0006-0000-0100-000001000000}">
      <text>
        <r>
          <rPr>
            <b/>
            <sz val="9"/>
            <color indexed="81"/>
            <rFont val="Tahoma"/>
            <family val="2"/>
          </rPr>
          <t>PPD-NPS:</t>
        </r>
        <r>
          <rPr>
            <sz val="9"/>
            <color indexed="81"/>
            <rFont val="Tahoma"/>
            <family val="2"/>
          </rPr>
          <t xml:space="preserve">
These should be updated and double checked
</t>
        </r>
      </text>
    </comment>
    <comment ref="E68" authorId="0" shapeId="0" xr:uid="{00000000-0006-0000-0100-000002000000}">
      <text>
        <r>
          <rPr>
            <b/>
            <sz val="9"/>
            <color indexed="81"/>
            <rFont val="Tahoma"/>
            <family val="2"/>
          </rPr>
          <t>Assuming the nominal voltages are the setpoint voltages for the 12V and 48V rail</t>
        </r>
      </text>
    </comment>
    <comment ref="A69" authorId="0" shapeId="0" xr:uid="{00000000-0006-0000-0100-000003000000}">
      <text>
        <r>
          <rPr>
            <b/>
            <sz val="9"/>
            <color indexed="81"/>
            <rFont val="Tahoma"/>
            <family val="2"/>
          </rPr>
          <t xml:space="preserve">This is the worst case ripple for the selected Inductance value and the maximum designed for load per phase
</t>
        </r>
      </text>
    </comment>
    <comment ref="A106" authorId="0" shapeId="0" xr:uid="{00000000-0006-0000-0100-000005000000}">
      <text>
        <r>
          <rPr>
            <b/>
            <sz val="9"/>
            <color indexed="81"/>
            <rFont val="Tahoma"/>
            <family val="2"/>
          </rPr>
          <t>PPD-NPS:</t>
        </r>
        <r>
          <rPr>
            <sz val="9"/>
            <color indexed="81"/>
            <rFont val="Tahoma"/>
            <family val="2"/>
          </rPr>
          <t xml:space="preserve">
This is calculated at Full Load (ISETA = 2.5V). For over ISETA values  the soft start time will be less due to the SS capacitor charging to a lower voltage</t>
        </r>
      </text>
    </comment>
    <comment ref="E139" authorId="0" shapeId="0" xr:uid="{00000000-0006-0000-0100-000006000000}">
      <text>
        <r>
          <rPr>
            <b/>
            <sz val="9"/>
            <color indexed="81"/>
            <rFont val="Tahoma"/>
            <family val="2"/>
          </rPr>
          <t>PPD-NPS:</t>
        </r>
        <r>
          <rPr>
            <sz val="9"/>
            <color indexed="81"/>
            <rFont val="Tahoma"/>
            <family val="2"/>
          </rPr>
          <t xml:space="preserve">
This is due to the internal circuitry of the LM5170. Around 4.5V on the IOUTx pin the current source becomes less accurate and will cause error
</t>
        </r>
      </text>
    </comment>
    <comment ref="E142" authorId="0" shapeId="0" xr:uid="{00000000-0006-0000-0100-000007000000}">
      <text>
        <r>
          <rPr>
            <b/>
            <sz val="9"/>
            <color indexed="81"/>
            <rFont val="Tahoma"/>
            <family val="2"/>
          </rPr>
          <t>PPD-NPS:</t>
        </r>
        <r>
          <rPr>
            <sz val="9"/>
            <color indexed="81"/>
            <rFont val="Tahoma"/>
            <family val="2"/>
          </rPr>
          <t xml:space="preserve">
PPD-NPS:
This is due to the internal circuitry of the LM5170. Around 4.5V on the IOUTx pin the current source becomes less accurate and will cause error</t>
        </r>
      </text>
    </comment>
    <comment ref="A167" authorId="0" shapeId="0" xr:uid="{00000000-0006-0000-0100-000008000000}">
      <text>
        <r>
          <rPr>
            <b/>
            <sz val="9"/>
            <color indexed="81"/>
            <rFont val="Tahoma"/>
            <family val="2"/>
          </rPr>
          <t>PPD-NPS:</t>
        </r>
        <r>
          <rPr>
            <sz val="9"/>
            <color indexed="81"/>
            <rFont val="Tahoma"/>
            <family val="2"/>
          </rPr>
          <t xml:space="preserve">
This will need to be altered in the future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G5" authorId="0" shapeId="0" xr:uid="{00000000-0006-0000-0200-000001000000}">
      <text>
        <r>
          <rPr>
            <b/>
            <sz val="9"/>
            <color indexed="81"/>
            <rFont val="Tahoma"/>
            <family val="2"/>
          </rPr>
          <t xml:space="preserve">Follows Equation 28 of the datasheet
</t>
        </r>
      </text>
    </comment>
    <comment ref="AF76" authorId="0" shapeId="0" xr:uid="{00000000-0006-0000-0200-000002000000}">
      <text>
        <r>
          <rPr>
            <b/>
            <sz val="9"/>
            <color indexed="81"/>
            <rFont val="Tahoma"/>
            <family val="2"/>
          </rPr>
          <t>PPD-NPS:</t>
        </r>
        <r>
          <rPr>
            <sz val="9"/>
            <color indexed="81"/>
            <rFont val="Tahoma"/>
            <family val="2"/>
          </rPr>
          <t xml:space="preserve">
Multiplied by feedforward ramp already to save step</t>
        </r>
      </text>
    </comment>
    <comment ref="A134" authorId="0" shapeId="0" xr:uid="{00000000-0006-0000-0200-000003000000}">
      <text>
        <r>
          <rPr>
            <b/>
            <sz val="9"/>
            <color indexed="81"/>
            <rFont val="Tahoma"/>
            <family val="2"/>
          </rPr>
          <t>PPD-NPS:</t>
        </r>
        <r>
          <rPr>
            <sz val="9"/>
            <color indexed="81"/>
            <rFont val="Tahoma"/>
            <family val="2"/>
          </rPr>
          <t xml:space="preserve">
This is the Modulcator Gain at the Selected Crossover Frequncy of the </t>
        </r>
      </text>
    </comment>
    <comment ref="BD166" authorId="0" shapeId="0" xr:uid="{00000000-0006-0000-0200-000004000000}">
      <text>
        <r>
          <rPr>
            <b/>
            <sz val="9"/>
            <color indexed="81"/>
            <rFont val="Tahoma"/>
            <family val="2"/>
          </rPr>
          <t>PPD-NPS:</t>
        </r>
        <r>
          <rPr>
            <sz val="9"/>
            <color indexed="81"/>
            <rFont val="Tahoma"/>
            <family val="2"/>
          </rPr>
          <t xml:space="preserve">
Multiplied by feedforward ramp already to save step</t>
        </r>
      </text>
    </comment>
    <comment ref="A224" authorId="0" shapeId="0" xr:uid="{00000000-0006-0000-0200-000005000000}">
      <text>
        <r>
          <rPr>
            <b/>
            <sz val="9"/>
            <color indexed="81"/>
            <rFont val="Tahoma"/>
            <family val="2"/>
          </rPr>
          <t xml:space="preserve">PPD-NPS:
</t>
        </r>
        <r>
          <rPr>
            <sz val="9"/>
            <color indexed="81"/>
            <rFont val="Tahoma"/>
            <family val="2"/>
          </rPr>
          <t xml:space="preserve">Selected Cross over Frequency for Boost Mode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3" authorId="0" shapeId="0" xr:uid="{00000000-0006-0000-0400-000001000000}">
      <text>
        <r>
          <rPr>
            <b/>
            <sz val="9"/>
            <color indexed="81"/>
            <rFont val="Tahoma"/>
            <family val="2"/>
          </rPr>
          <t xml:space="preserve">ABS Max voltage on the RAMP pin
</t>
        </r>
      </text>
    </comment>
    <comment ref="A44" authorId="0" shapeId="0" xr:uid="{00000000-0006-0000-0400-000002000000}">
      <text>
        <r>
          <rPr>
            <b/>
            <sz val="9"/>
            <color indexed="81"/>
            <rFont val="Tahoma"/>
            <family val="2"/>
          </rPr>
          <t xml:space="preserve">Minimum RAMPx Voltage that will define an invalid signal
</t>
        </r>
      </text>
    </comment>
  </commentList>
</comments>
</file>

<file path=xl/sharedStrings.xml><?xml version="1.0" encoding="utf-8"?>
<sst xmlns="http://schemas.openxmlformats.org/spreadsheetml/2006/main" count="1149" uniqueCount="596">
  <si>
    <t>V12 Nom</t>
  </si>
  <si>
    <t>V</t>
  </si>
  <si>
    <t>Switching Frequency</t>
  </si>
  <si>
    <t>kHz</t>
  </si>
  <si>
    <t>A</t>
  </si>
  <si>
    <t>Selected Inductor</t>
  </si>
  <si>
    <t>uH</t>
  </si>
  <si>
    <r>
      <t>m</t>
    </r>
    <r>
      <rPr>
        <sz val="11"/>
        <color theme="1"/>
        <rFont val="Calibri"/>
        <family val="2"/>
      </rPr>
      <t>Ω</t>
    </r>
  </si>
  <si>
    <t>Selected Sense Resistor</t>
  </si>
  <si>
    <t>Inductor Selection</t>
  </si>
  <si>
    <t>DCM Boundaries</t>
  </si>
  <si>
    <t>Current Sense Voltage</t>
  </si>
  <si>
    <t>Peak Current</t>
  </si>
  <si>
    <t>Ripple Current</t>
  </si>
  <si>
    <t>LO Duty Cycle</t>
  </si>
  <si>
    <t>HO Duty Cycle</t>
  </si>
  <si>
    <r>
      <t>k</t>
    </r>
    <r>
      <rPr>
        <sz val="11"/>
        <color theme="1"/>
        <rFont val="Calibri"/>
        <family val="2"/>
      </rPr>
      <t>Ω</t>
    </r>
  </si>
  <si>
    <t>Spec Name</t>
  </si>
  <si>
    <t xml:space="preserve">Min </t>
  </si>
  <si>
    <t>Nom</t>
  </si>
  <si>
    <t>Max</t>
  </si>
  <si>
    <t>Unit</t>
  </si>
  <si>
    <t>Minimum Off Time</t>
  </si>
  <si>
    <t>s</t>
  </si>
  <si>
    <t>V48_Nom to V12_Nom</t>
  </si>
  <si>
    <t>Buck Channel Current</t>
  </si>
  <si>
    <t>%</t>
  </si>
  <si>
    <t>Total Number of Phases</t>
  </si>
  <si>
    <t>Value V Load Current</t>
  </si>
  <si>
    <t>Inductor DCR</t>
  </si>
  <si>
    <t>V48</t>
  </si>
  <si>
    <t>Output Impedance</t>
  </si>
  <si>
    <t>uF</t>
  </si>
  <si>
    <t>Frequency</t>
  </si>
  <si>
    <t>Frequency (rad/s)</t>
  </si>
  <si>
    <t>Frequency (Hz)</t>
  </si>
  <si>
    <t>Gain (dB)</t>
  </si>
  <si>
    <t>Phase (Degree)</t>
  </si>
  <si>
    <t>Complex Impedance</t>
  </si>
  <si>
    <t>kOhm</t>
  </si>
  <si>
    <t>nF</t>
  </si>
  <si>
    <t>gm (Error Amp)</t>
  </si>
  <si>
    <t>V/V</t>
  </si>
  <si>
    <t>Current Sense Amp Gain</t>
  </si>
  <si>
    <t>V12 Output Current</t>
  </si>
  <si>
    <t>ISETA to IL constant</t>
  </si>
  <si>
    <t>IOUT offset</t>
  </si>
  <si>
    <t>IOUT gm</t>
  </si>
  <si>
    <t>ohm</t>
  </si>
  <si>
    <t>ohm*Hz</t>
  </si>
  <si>
    <t>Oscillator Factor</t>
  </si>
  <si>
    <t>OVPA Resistance</t>
  </si>
  <si>
    <t>OVPB Resistance</t>
  </si>
  <si>
    <t>Ohm</t>
  </si>
  <si>
    <t>IPK Source Current</t>
  </si>
  <si>
    <t>BRK SYNCOUT Level: No Fault Check</t>
  </si>
  <si>
    <t>BRK SYNCOUT Level: Fault Check &gt;</t>
  </si>
  <si>
    <t>Dead Time Constant</t>
  </si>
  <si>
    <t>s/Ohm</t>
  </si>
  <si>
    <t>R IPK Calculation Voltage Constant</t>
  </si>
  <si>
    <t>R IPK Calculation Current Constant</t>
  </si>
  <si>
    <t>ISETD Resistance</t>
  </si>
  <si>
    <t>VCC UV Threshold</t>
  </si>
  <si>
    <t>UVLO Shutdown Thresold</t>
  </si>
  <si>
    <t>SS current</t>
  </si>
  <si>
    <t>Dead Time Adaptive Threshold</t>
  </si>
  <si>
    <t>UVLO Release Threshold</t>
  </si>
  <si>
    <t>Maximmum Ripple Current</t>
  </si>
  <si>
    <t>mV</t>
  </si>
  <si>
    <t>Inductor Ripple Currents</t>
  </si>
  <si>
    <t>V48_Nom to V12_Nom (Current Sense Voltage)</t>
  </si>
  <si>
    <t>V48_Max to V12_Nom</t>
  </si>
  <si>
    <t>V12_Min</t>
  </si>
  <si>
    <t>V12_Nom</t>
  </si>
  <si>
    <t>V12_Max</t>
  </si>
  <si>
    <t>Full Load V12 Calculations vs V48</t>
  </si>
  <si>
    <t>Ω</t>
  </si>
  <si>
    <t>V48_Nom to V12_Nom (Inductor AVG Current)</t>
  </si>
  <si>
    <t>V48_Min to V12_Nom (Current Sense Voltage)</t>
  </si>
  <si>
    <t>V48_Min to V12_Nom (Inductor AVG Current)</t>
  </si>
  <si>
    <t>V48_Max to V12_Nom (Current Sense Voltage)</t>
  </si>
  <si>
    <t>V48_Max to V12_Nom (Inductor AVG Current)</t>
  </si>
  <si>
    <t>Switching Parameters</t>
  </si>
  <si>
    <t>Hz</t>
  </si>
  <si>
    <t>Minmum Off Time (Buck)</t>
  </si>
  <si>
    <t>Minmum Off Time (Boost)</t>
  </si>
  <si>
    <t>Spec Violation</t>
  </si>
  <si>
    <t>Parameters</t>
  </si>
  <si>
    <t>V12 Port (Buck)</t>
  </si>
  <si>
    <t>V12 Port (Boost)</t>
  </si>
  <si>
    <t>V48 Port</t>
  </si>
  <si>
    <t>Oscillator Frequency</t>
  </si>
  <si>
    <t>Dead Time</t>
  </si>
  <si>
    <t>ns</t>
  </si>
  <si>
    <t>x</t>
  </si>
  <si>
    <t>kΩ</t>
  </si>
  <si>
    <t>Max V RAMPx</t>
  </si>
  <si>
    <t>Min V RAMPx</t>
  </si>
  <si>
    <t>V12</t>
  </si>
  <si>
    <t>V48_Min</t>
  </si>
  <si>
    <t>V48_Nom</t>
  </si>
  <si>
    <t>V48_Max</t>
  </si>
  <si>
    <t>UVLO</t>
  </si>
  <si>
    <t>ms</t>
  </si>
  <si>
    <t>Calculated SS Value</t>
  </si>
  <si>
    <t>ISETA MAX</t>
  </si>
  <si>
    <t>UVLO Type Selection</t>
  </si>
  <si>
    <t>V48 Rail Selection</t>
  </si>
  <si>
    <t>Minimum 48V Rail Voltage</t>
  </si>
  <si>
    <t>Nominal 48V Rail Voltage</t>
  </si>
  <si>
    <t>V12 Rail Selection</t>
  </si>
  <si>
    <t>Minimum 12V Rail Voltage</t>
  </si>
  <si>
    <t>Nominal 12V Rail Voltage</t>
  </si>
  <si>
    <t>Maximum 12V rail Voltage</t>
  </si>
  <si>
    <t>Maximum 48V rail Voltage</t>
  </si>
  <si>
    <t>User Input</t>
  </si>
  <si>
    <t>Calculated Value</t>
  </si>
  <si>
    <t>Fsw</t>
  </si>
  <si>
    <t>Converter switching frequency</t>
  </si>
  <si>
    <t>Current Selection</t>
  </si>
  <si>
    <t xml:space="preserve">V48 Output Current (Max) </t>
  </si>
  <si>
    <t>Occurs at V12=(V12_Max) and V48=(V48_Max)</t>
  </si>
  <si>
    <t>Number of Phase</t>
  </si>
  <si>
    <t>This is the number of phases that the total design will use</t>
  </si>
  <si>
    <t>W</t>
  </si>
  <si>
    <t>mOhm</t>
  </si>
  <si>
    <t>Spec Values</t>
  </si>
  <si>
    <t>Calculated Current Sense Resistor</t>
  </si>
  <si>
    <t>Calculated to have full load be 50mV</t>
  </si>
  <si>
    <t>Rcs</t>
  </si>
  <si>
    <t>Per phase Max Power current (based on RCS)</t>
  </si>
  <si>
    <t xml:space="preserve">V12 Output Current Per Phase </t>
  </si>
  <si>
    <t>I_Channel</t>
  </si>
  <si>
    <t>Variable</t>
  </si>
  <si>
    <t>Total Output Current</t>
  </si>
  <si>
    <t xml:space="preserve">Total Maximum Output Power </t>
  </si>
  <si>
    <t>Inductor  Calculations</t>
  </si>
  <si>
    <t>RT</t>
  </si>
  <si>
    <t>Oscilator set resistor Resistor</t>
  </si>
  <si>
    <t>Selected Ripple Ratio</t>
  </si>
  <si>
    <t>Conditions for worst case ripple</t>
  </si>
  <si>
    <t>Load Values where the Converter will enter DCM</t>
  </si>
  <si>
    <t>SS Voltage Threshold</t>
  </si>
  <si>
    <t>UVLO Calculations</t>
  </si>
  <si>
    <t>UVLO Enabled?</t>
  </si>
  <si>
    <t>UVLO Enable</t>
  </si>
  <si>
    <t>μC Input</t>
  </si>
  <si>
    <t>Resistor Divider</t>
  </si>
  <si>
    <t>UVLO Power Delivery Voltage</t>
  </si>
  <si>
    <t>Top Resistor Value</t>
  </si>
  <si>
    <t>Suggested Bottom Resistor</t>
  </si>
  <si>
    <t>Selected Bottom Resistor</t>
  </si>
  <si>
    <t>UVLO Shutdown Voltage</t>
  </si>
  <si>
    <t>UVLO Power Delivery Hystersis</t>
  </si>
  <si>
    <t>UVLO Release Hyst Current</t>
  </si>
  <si>
    <t>Selected Softstart Capacitor</t>
  </si>
  <si>
    <t>Actual Softstart Time</t>
  </si>
  <si>
    <t>Current Sense Voltage at Full load</t>
  </si>
  <si>
    <t>Selected IOUT Resistance</t>
  </si>
  <si>
    <t>IOUT MAX (Recommened to keep accuracy high)</t>
  </si>
  <si>
    <t>IOUT ranges</t>
  </si>
  <si>
    <t>Buck Mode Voltage Loop Transfer Functions</t>
  </si>
  <si>
    <t>V48 Max and V12Nom</t>
  </si>
  <si>
    <t xml:space="preserve">Maximum Per phase IL current (based on Selected RCS) </t>
  </si>
  <si>
    <t>Design Parameter for per phase current</t>
  </si>
  <si>
    <t>Typical Power Per Phase</t>
  </si>
  <si>
    <t>The 12V output power at full designed load and nominal 12V</t>
  </si>
  <si>
    <t>Maximum per phase power based on Rcs selection (Nominal 12V)</t>
  </si>
  <si>
    <t>Maximum total 12V Current based on Rcs selection</t>
  </si>
  <si>
    <t>Total output power based on Rcs selection</t>
  </si>
  <si>
    <t>Peak to Peak ripple Ratio based on full designed load parameter</t>
  </si>
  <si>
    <t>Based on Maximum per phase design parameter</t>
  </si>
  <si>
    <t>Maximmum Peak Current</t>
  </si>
  <si>
    <t xml:space="preserve">Selected Inductor Peak Current Limit </t>
  </si>
  <si>
    <t>Deisred  SS time</t>
  </si>
  <si>
    <t>Maximum IOUTx Voltage (VCS =50mV)</t>
  </si>
  <si>
    <t>Recommened IOUT Resistance (VCS = 50mV)</t>
  </si>
  <si>
    <t>Actual VIOUTx at full load (VCS=50mV)</t>
  </si>
  <si>
    <t>Actual VIOUTx at no-load (VCS = 0mV)</t>
  </si>
  <si>
    <t>Suggested CIOUT</t>
  </si>
  <si>
    <t>Selected CIOUT</t>
  </si>
  <si>
    <t>based to set the RIOUT and CIOUT delay time to 100us</t>
  </si>
  <si>
    <t>Corner Frequency of RIOUT and CIOUT</t>
  </si>
  <si>
    <t>Ripple on VIOUT at full Load</t>
  </si>
  <si>
    <t>0 = MCU input, 1 = Normal Resistor Divider</t>
  </si>
  <si>
    <t>UVLO Hysterisis</t>
  </si>
  <si>
    <t>Dead Time Calculations</t>
  </si>
  <si>
    <t>Dead Time Configuration</t>
  </si>
  <si>
    <t>Adaptive</t>
  </si>
  <si>
    <t>Programed</t>
  </si>
  <si>
    <t>Selected Dead Time Type</t>
  </si>
  <si>
    <t>0=Adaptive, 1 = Programed</t>
  </si>
  <si>
    <t>Programed dead time</t>
  </si>
  <si>
    <t>Dead Time Off Set</t>
  </si>
  <si>
    <t>Cacluated Dead Time Resistor</t>
  </si>
  <si>
    <t>Selected Deatd Time Resistor</t>
  </si>
  <si>
    <t>LO falling to HO Rising Dead Time</t>
  </si>
  <si>
    <t>HO falling to LO Rising Dead Time</t>
  </si>
  <si>
    <t>Dead Time Adaptive LO to HO</t>
  </si>
  <si>
    <t>Dead Time Adaptive HO to LO</t>
  </si>
  <si>
    <t>LO falling to HO rising Dead-Time</t>
  </si>
  <si>
    <t>HO falling to LO rising Dead-Time</t>
  </si>
  <si>
    <t>0 = Nominal Hysteresis, 1 = Programable Hysteresis</t>
  </si>
  <si>
    <t>Increased Hysteresis Selected?</t>
  </si>
  <si>
    <t>Selected Amount of Hysteresis</t>
  </si>
  <si>
    <t>Selected Amount Of Hysteresis</t>
  </si>
  <si>
    <t>Cacluated Rhysteresis Resistor</t>
  </si>
  <si>
    <t>Selected Rhysteresis Value</t>
  </si>
  <si>
    <t>UVLO Power Delivery Voltage Rising Edge</t>
  </si>
  <si>
    <t>UVLO Power Delivery Voltage Falling Edge</t>
  </si>
  <si>
    <t>Flag if not between 15ns and 200ns as specified in the ROC of the Datasheet</t>
  </si>
  <si>
    <t>Dead Time Prog Min Value</t>
  </si>
  <si>
    <t>Dead Time Prog Max Value</t>
  </si>
  <si>
    <t>Path Resistance</t>
  </si>
  <si>
    <t>mΩ</t>
  </si>
  <si>
    <t>Inner Loop Simple Compensation</t>
  </si>
  <si>
    <t>Current Loop Power Plant Pole Location</t>
  </si>
  <si>
    <t>Kff</t>
  </si>
  <si>
    <t>1/V</t>
  </si>
  <si>
    <t>DC Gain of Current Power Plant</t>
  </si>
  <si>
    <t>Suggested Loop Crossover Frequency</t>
  </si>
  <si>
    <t>Selected Crossover Frequency</t>
  </si>
  <si>
    <t>Calculated RCOMP</t>
  </si>
  <si>
    <t>Selected RCOMP</t>
  </si>
  <si>
    <t>Calculated CCOMP</t>
  </si>
  <si>
    <t>Selected CCOMP</t>
  </si>
  <si>
    <t>Calculated CHF</t>
  </si>
  <si>
    <t>Selected CHF</t>
  </si>
  <si>
    <t>Suggested Compensation Zero</t>
  </si>
  <si>
    <t>Compensation Zero Location</t>
  </si>
  <si>
    <t>Compensation Pole Location</t>
  </si>
  <si>
    <t xml:space="preserve">Simple Current Loop Calcualtion </t>
  </si>
  <si>
    <t>Based on Datasheet Caclualtion Method</t>
  </si>
  <si>
    <t>Power Plant Function</t>
  </si>
  <si>
    <t>Complex Impedence</t>
  </si>
  <si>
    <t>Gain</t>
  </si>
  <si>
    <t>Phase</t>
  </si>
  <si>
    <t>Error Amp</t>
  </si>
  <si>
    <t>Closed Current Loop</t>
  </si>
  <si>
    <t>Typical Application Schematic</t>
  </si>
  <si>
    <t>Current Range/ Number of Phases</t>
  </si>
  <si>
    <t>2. Inductor Selection</t>
  </si>
  <si>
    <t>ABOUT</t>
  </si>
  <si>
    <t>Terms of Use</t>
  </si>
  <si>
    <t>Inductor Peak Current Limit</t>
  </si>
  <si>
    <t>Margin above Peak Current</t>
  </si>
  <si>
    <t>4. Output Capacitance</t>
  </si>
  <si>
    <t>Power Stage Pol</t>
  </si>
  <si>
    <t>Error Amp Zero</t>
  </si>
  <si>
    <t>Error Amp Pole</t>
  </si>
  <si>
    <t>RAD</t>
  </si>
  <si>
    <t>Impedance</t>
  </si>
  <si>
    <t>5. Soft-Start</t>
  </si>
  <si>
    <t>COMP1/COMP2</t>
  </si>
  <si>
    <r>
      <t>Selected Low-Side Resistor (R</t>
    </r>
    <r>
      <rPr>
        <vertAlign val="subscript"/>
        <sz val="11"/>
        <color theme="1"/>
        <rFont val="Calibri"/>
        <family val="2"/>
        <scheme val="minor"/>
      </rPr>
      <t>UVLO2</t>
    </r>
    <r>
      <rPr>
        <sz val="11"/>
        <color theme="1"/>
        <rFont val="Calibri"/>
        <family val="2"/>
        <scheme val="minor"/>
      </rPr>
      <t>)</t>
    </r>
  </si>
  <si>
    <r>
      <t>Selected High-Side Resistor (R</t>
    </r>
    <r>
      <rPr>
        <vertAlign val="subscript"/>
        <sz val="11"/>
        <color theme="1"/>
        <rFont val="Calibri"/>
        <family val="2"/>
        <scheme val="minor"/>
      </rPr>
      <t>UVLO1</t>
    </r>
    <r>
      <rPr>
        <sz val="11"/>
        <color theme="1"/>
        <rFont val="Calibri"/>
        <family val="2"/>
        <scheme val="minor"/>
      </rPr>
      <t>)</t>
    </r>
  </si>
  <si>
    <t>Additional</t>
  </si>
  <si>
    <r>
      <t>Calculated Hysteresis Resistor (R</t>
    </r>
    <r>
      <rPr>
        <vertAlign val="subscript"/>
        <sz val="11"/>
        <color theme="1"/>
        <rFont val="Calibri"/>
        <family val="2"/>
        <scheme val="minor"/>
      </rPr>
      <t>UVLO3</t>
    </r>
    <r>
      <rPr>
        <sz val="11"/>
        <color theme="1"/>
        <rFont val="Calibri"/>
        <family val="2"/>
        <scheme val="minor"/>
      </rPr>
      <t>)</t>
    </r>
  </si>
  <si>
    <r>
      <t>Selected Hysteresis Resistor (R</t>
    </r>
    <r>
      <rPr>
        <vertAlign val="subscript"/>
        <sz val="11"/>
        <color theme="1"/>
        <rFont val="Calibri"/>
        <family val="2"/>
        <scheme val="minor"/>
      </rPr>
      <t>UVLO3</t>
    </r>
    <r>
      <rPr>
        <sz val="11"/>
        <color theme="1"/>
        <rFont val="Calibri"/>
        <family val="2"/>
        <scheme val="minor"/>
      </rPr>
      <t>)</t>
    </r>
  </si>
  <si>
    <t>UVLO Hysteresis</t>
  </si>
  <si>
    <t>UVLO Hysteresis Type</t>
  </si>
  <si>
    <t>UVLO Release Voltage Rising Edge</t>
  </si>
  <si>
    <t>Selected UVLO Release Voltage</t>
  </si>
  <si>
    <t>UVLO Latch Voltage Falling Edge</t>
  </si>
  <si>
    <t>High Voltage Input Parameters</t>
  </si>
  <si>
    <t>Selected Switching Frequency</t>
  </si>
  <si>
    <t>LV Port Minimum Voltage</t>
  </si>
  <si>
    <t>LV Port Nominal Voltage</t>
  </si>
  <si>
    <t>LV Port Maximum Voltage</t>
  </si>
  <si>
    <t>HV Port Minimum Voltage</t>
  </si>
  <si>
    <t>HV Port Nominal Voltage</t>
  </si>
  <si>
    <t>HV Port Maximum Voltage</t>
  </si>
  <si>
    <t>Need to Add flags for input voltage range</t>
  </si>
  <si>
    <t>Low Voltage Port</t>
  </si>
  <si>
    <t>High Voltage Port</t>
  </si>
  <si>
    <t>Low Voltage Capacitance ESR</t>
  </si>
  <si>
    <t>High Voltage Capacitance ESR</t>
  </si>
  <si>
    <t>Selected Programmed Dead Time</t>
  </si>
  <si>
    <r>
      <t>Selected Dead Time Resistor (R</t>
    </r>
    <r>
      <rPr>
        <vertAlign val="subscript"/>
        <sz val="11"/>
        <color theme="1"/>
        <rFont val="Calibri"/>
        <family val="2"/>
        <scheme val="minor"/>
      </rPr>
      <t>DT</t>
    </r>
    <r>
      <rPr>
        <sz val="11"/>
        <color theme="1"/>
        <rFont val="Calibri"/>
        <family val="2"/>
        <scheme val="minor"/>
      </rPr>
      <t>)</t>
    </r>
  </si>
  <si>
    <r>
      <t>Compensation Pole Location (F</t>
    </r>
    <r>
      <rPr>
        <vertAlign val="subscript"/>
        <sz val="11"/>
        <color theme="1"/>
        <rFont val="Calibri"/>
        <family val="2"/>
        <scheme val="minor"/>
      </rPr>
      <t>Pcomp</t>
    </r>
    <r>
      <rPr>
        <sz val="11"/>
        <color theme="1"/>
        <rFont val="Calibri"/>
        <family val="2"/>
        <scheme val="minor"/>
      </rPr>
      <t>)</t>
    </r>
  </si>
  <si>
    <t>V48_Min to V12_NOM</t>
  </si>
  <si>
    <t>V12_Min to V48_Nom</t>
  </si>
  <si>
    <t>V12_Nom to V48_Nom</t>
  </si>
  <si>
    <t>V12_Max to V48_Nom</t>
  </si>
  <si>
    <t>V48_Nom to V12_Max (Inductor AVG Current)</t>
  </si>
  <si>
    <t>V48_Nom to V12_Max (Current Sense Voltage)</t>
  </si>
  <si>
    <t>V48_Nom to V12_Min (Inductor AVG Current)</t>
  </si>
  <si>
    <t>V48_Nom to V12_Min (Current Sense Voltage)</t>
  </si>
  <si>
    <t>Duty Cycle</t>
  </si>
  <si>
    <t>DCM Boundary</t>
  </si>
  <si>
    <t>V48 Nom / V12 Min</t>
  </si>
  <si>
    <t>Current Loop</t>
  </si>
  <si>
    <t>Voltage Loop</t>
  </si>
  <si>
    <t>Feedforward Gain</t>
  </si>
  <si>
    <t>Current Sense Gain</t>
  </si>
  <si>
    <t>Constants</t>
  </si>
  <si>
    <t>ISETA to VO</t>
  </si>
  <si>
    <t>Boost Mode Voltage Loop Transfer Functions</t>
  </si>
  <si>
    <t>Voltage Loop Error Amp</t>
  </si>
  <si>
    <t>Current Loop Error Amp</t>
  </si>
  <si>
    <t>Total Loop</t>
  </si>
  <si>
    <t>Boost Mode RHP Zero</t>
  </si>
  <si>
    <t>Boost Mode Low Frequency Pole</t>
  </si>
  <si>
    <t>Selected Boost Mode Crossover Frequnecy</t>
  </si>
  <si>
    <t>Suggest Boost Mode Crossover Frequnecy</t>
  </si>
  <si>
    <t>Type II Compensation Design</t>
  </si>
  <si>
    <t>Simplified system based on assuming that the inductor is an ideal current source</t>
  </si>
  <si>
    <t>Output impedance at full load</t>
  </si>
  <si>
    <t>Boost Crossover Frequency</t>
  </si>
  <si>
    <t>Modulator Gain at Selected Crossover Frequency</t>
  </si>
  <si>
    <t>dB</t>
  </si>
  <si>
    <t>Load Resistance</t>
  </si>
  <si>
    <t>Buck Mode Low Frequency Pole</t>
  </si>
  <si>
    <t>Suggest that the cross over frequency be 1/5 of the RHP Zero</t>
  </si>
  <si>
    <t>Calculated Rcomp</t>
  </si>
  <si>
    <t>Suggested Zero Location</t>
  </si>
  <si>
    <t>Just set this a switching frequency</t>
  </si>
  <si>
    <t>Suggested Pole Location</t>
  </si>
  <si>
    <t>Selected Top Feedback Resistor</t>
  </si>
  <si>
    <t>Selected Bottom Feedback Resistor</t>
  </si>
  <si>
    <t>Selected Rcomp Value</t>
  </si>
  <si>
    <t>Selected Ccomp Value</t>
  </si>
  <si>
    <t>Calculated Ccomp value</t>
  </si>
  <si>
    <t>Calculated Chf Value</t>
  </si>
  <si>
    <t>Selected CHF value</t>
  </si>
  <si>
    <t>F</t>
  </si>
  <si>
    <t>Suggested Crossover Frequency</t>
  </si>
  <si>
    <t>Selected Reference Voltage</t>
  </si>
  <si>
    <t>Calculated Top Feedback Resistor</t>
  </si>
  <si>
    <t>Actual Zero Location</t>
  </si>
  <si>
    <t>Actual Pole Location</t>
  </si>
  <si>
    <t>Assuming that the current loop gain is large enough. Simple equation</t>
  </si>
  <si>
    <t>Buck Mode High Frequency Zero</t>
  </si>
  <si>
    <t>Suggest Buck Mode Crossover Frequnecy</t>
  </si>
  <si>
    <t>Selected Buck Mode Crossover Frequnecy</t>
  </si>
  <si>
    <t>ESR Zero Location</t>
  </si>
  <si>
    <t>Set the Cross over Frequency to 1/10 of the selected current loop crossover frequency</t>
  </si>
  <si>
    <t>Buck Crossover Frequency</t>
  </si>
  <si>
    <t>Current Loop Error Armp</t>
  </si>
  <si>
    <t>ISETA to VOUT Plant</t>
  </si>
  <si>
    <t>Compensator Zero</t>
  </si>
  <si>
    <t>Compensator Pole</t>
  </si>
  <si>
    <t>Plant Low Frequency Pole</t>
  </si>
  <si>
    <t>Compensation Zero</t>
  </si>
  <si>
    <t>Compensation Pole</t>
  </si>
  <si>
    <t xml:space="preserve">Low Frequency Pole </t>
  </si>
  <si>
    <t xml:space="preserve">RHP Zero </t>
  </si>
  <si>
    <t>Buck Mode Type II Compensation</t>
  </si>
  <si>
    <t>Boost Mode Type II Compensation</t>
  </si>
  <si>
    <t>7. Undervoltage Protection</t>
  </si>
  <si>
    <r>
      <t>Calculated High-Side Resistor (R</t>
    </r>
    <r>
      <rPr>
        <vertAlign val="subscript"/>
        <sz val="11"/>
        <color theme="1"/>
        <rFont val="Calibri"/>
        <family val="2"/>
        <scheme val="minor"/>
      </rPr>
      <t>UVLO1</t>
    </r>
    <r>
      <rPr>
        <sz val="11"/>
        <color theme="1"/>
        <rFont val="Calibri"/>
        <family val="2"/>
        <scheme val="minor"/>
      </rPr>
      <t>)</t>
    </r>
  </si>
  <si>
    <r>
      <t>Calculated Dead Time Resistor (R</t>
    </r>
    <r>
      <rPr>
        <vertAlign val="subscript"/>
        <sz val="11"/>
        <color theme="1"/>
        <rFont val="Calibri"/>
        <family val="2"/>
        <scheme val="minor"/>
      </rPr>
      <t>DT</t>
    </r>
    <r>
      <rPr>
        <sz val="11"/>
        <color theme="1"/>
        <rFont val="Calibri"/>
        <family val="2"/>
        <scheme val="minor"/>
      </rPr>
      <t>)</t>
    </r>
  </si>
  <si>
    <t xml:space="preserve">1. Design Parameters </t>
  </si>
  <si>
    <t xml:space="preserve">                              LM5171 Bi-Directional DC/DC Converter Design Tool</t>
  </si>
  <si>
    <t>Km = 1/Vpk = 32/V48</t>
  </si>
  <si>
    <t>Suggested Compensation Pole Location</t>
  </si>
  <si>
    <t>Max ISET voltage for pk limit</t>
  </si>
  <si>
    <t>Feedback Gain</t>
  </si>
  <si>
    <t>Output pole by load effect</t>
  </si>
  <si>
    <t>Power plant gain at Fco</t>
  </si>
  <si>
    <t>Voltage loop DC gain</t>
  </si>
  <si>
    <t>Suggested Rcomp</t>
  </si>
  <si>
    <t>Selected Rcomp</t>
  </si>
  <si>
    <t>Suggested Ccomp</t>
  </si>
  <si>
    <t>Selected Ccomp</t>
  </si>
  <si>
    <t>Suggested Chf</t>
  </si>
  <si>
    <t>Selected Chf</t>
  </si>
  <si>
    <t>pF</t>
  </si>
  <si>
    <r>
      <t>Compensation Zero Location (F</t>
    </r>
    <r>
      <rPr>
        <vertAlign val="subscript"/>
        <sz val="11"/>
        <rFont val="Calibri"/>
        <family val="2"/>
        <scheme val="minor"/>
      </rPr>
      <t>Zcomp</t>
    </r>
    <r>
      <rPr>
        <sz val="11"/>
        <rFont val="Calibri"/>
        <family val="2"/>
        <scheme val="minor"/>
      </rPr>
      <t>)</t>
    </r>
  </si>
  <si>
    <r>
      <t>Compensation Pole Location (F</t>
    </r>
    <r>
      <rPr>
        <vertAlign val="subscript"/>
        <sz val="11"/>
        <rFont val="Calibri"/>
        <family val="2"/>
        <scheme val="minor"/>
      </rPr>
      <t>Pcomp</t>
    </r>
    <r>
      <rPr>
        <sz val="11"/>
        <rFont val="Calibri"/>
        <family val="2"/>
        <scheme val="minor"/>
      </rPr>
      <t>)</t>
    </r>
  </si>
  <si>
    <t>ISET Divider Gain</t>
  </si>
  <si>
    <t>V48 Output Current</t>
  </si>
  <si>
    <t>V48 Output Current Per Phase</t>
  </si>
  <si>
    <r>
      <t>Oscillator Set Resistor (R</t>
    </r>
    <r>
      <rPr>
        <vertAlign val="subscript"/>
        <sz val="11"/>
        <rFont val="Calibri"/>
        <family val="2"/>
        <scheme val="minor"/>
      </rPr>
      <t>OSC</t>
    </r>
    <r>
      <rPr>
        <sz val="11"/>
        <rFont val="Calibri"/>
        <family val="2"/>
        <scheme val="minor"/>
      </rPr>
      <t>)</t>
    </r>
  </si>
  <si>
    <r>
      <t>Calculated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</si>
  <si>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t>Maximum Average Inductor Current Per Channel</t>
  </si>
  <si>
    <t>Peak-to-Peak Ripple Ratio</t>
  </si>
  <si>
    <t>Note that buck and boost share the same current ripple equation given the same HV and LV, but their worst case is different</t>
  </si>
  <si>
    <t>Worst case (requrie high L) buck mode</t>
  </si>
  <si>
    <t>Worst case (requrie high L) boost mode</t>
  </si>
  <si>
    <t>Calculated worst case inductor</t>
  </si>
  <si>
    <t>Calculated Inductance Value</t>
  </si>
  <si>
    <t>Calculated inductor based on full load  design parameters, Nominal V12 and Maximum V48 Voltages, max V48 gives higher calculated inductance</t>
  </si>
  <si>
    <t>Maximum Ripple Current in buck mode</t>
  </si>
  <si>
    <t>Maximum Ripple Current in boost mode</t>
  </si>
  <si>
    <t>Maximum Peak Current in boost mode</t>
  </si>
  <si>
    <t>Maximum Peak Current in buck mode</t>
  </si>
  <si>
    <t>Just for internal information, max ripple does not mean max peak</t>
  </si>
  <si>
    <t>Ripple Current in boost mode at Vin_min</t>
  </si>
  <si>
    <t>I.e. the inductor current</t>
  </si>
  <si>
    <t>Maximum Inductor Peak Current</t>
  </si>
  <si>
    <t>Current Limit Margin Above Maximum Inductor Current</t>
  </si>
  <si>
    <t>Selected Inductor Peak Current Limit</t>
  </si>
  <si>
    <t>Calculated Inductor Peak Current Limit</t>
  </si>
  <si>
    <t xml:space="preserve">Calculated Inductor Peak Current Limit </t>
  </si>
  <si>
    <t>Calculated Peak Current Limit based on the selected margin</t>
  </si>
  <si>
    <t>Directly selected Peak Current Limit by the user</t>
  </si>
  <si>
    <t>Calculated SS Voltage</t>
  </si>
  <si>
    <r>
      <t>Selected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</si>
  <si>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r>
      <t>Selected Inductance Value (L</t>
    </r>
    <r>
      <rPr>
        <vertAlign val="subscript"/>
        <sz val="11"/>
        <rFont val="Calibri"/>
        <family val="2"/>
        <scheme val="minor"/>
      </rPr>
      <t>M1</t>
    </r>
    <r>
      <rPr>
        <sz val="11"/>
        <rFont val="Calibri"/>
        <family val="2"/>
        <scheme val="minor"/>
      </rPr>
      <t>,L</t>
    </r>
    <r>
      <rPr>
        <vertAlign val="subscript"/>
        <sz val="11"/>
        <rFont val="Calibri"/>
        <family val="2"/>
        <scheme val="minor"/>
      </rPr>
      <t>M2</t>
    </r>
    <r>
      <rPr>
        <sz val="11"/>
        <rFont val="Calibri"/>
        <family val="2"/>
        <scheme val="minor"/>
      </rPr>
      <t>)</t>
    </r>
  </si>
  <si>
    <r>
      <t>Selected Low Voltage Port Capacitance (C</t>
    </r>
    <r>
      <rPr>
        <vertAlign val="subscript"/>
        <sz val="11"/>
        <rFont val="Calibri"/>
        <family val="2"/>
        <scheme val="minor"/>
      </rPr>
      <t>OUT_LV</t>
    </r>
    <r>
      <rPr>
        <sz val="11"/>
        <rFont val="Calibri"/>
        <family val="2"/>
        <scheme val="minor"/>
      </rPr>
      <t>)</t>
    </r>
  </si>
  <si>
    <r>
      <t>Selected High Voltage Port Capacitance (C</t>
    </r>
    <r>
      <rPr>
        <vertAlign val="subscript"/>
        <sz val="11"/>
        <rFont val="Calibri"/>
        <family val="2"/>
        <scheme val="minor"/>
      </rPr>
      <t>OUT_HV</t>
    </r>
    <r>
      <rPr>
        <sz val="11"/>
        <rFont val="Calibri"/>
        <family val="2"/>
        <scheme val="minor"/>
      </rPr>
      <t>)</t>
    </r>
  </si>
  <si>
    <r>
      <t>Suggested Loop Crossover Frequency (F</t>
    </r>
    <r>
      <rPr>
        <vertAlign val="subscript"/>
        <sz val="11"/>
        <rFont val="Calibri"/>
        <family val="2"/>
        <scheme val="minor"/>
      </rPr>
      <t>CO</t>
    </r>
    <r>
      <rPr>
        <sz val="11"/>
        <rFont val="Calibri"/>
        <family val="2"/>
        <scheme val="minor"/>
      </rPr>
      <t>)</t>
    </r>
  </si>
  <si>
    <r>
      <t>Selected Loop Crossover Frequency (F</t>
    </r>
    <r>
      <rPr>
        <vertAlign val="subscript"/>
        <sz val="11"/>
        <rFont val="Calibri"/>
        <family val="2"/>
        <scheme val="minor"/>
      </rPr>
      <t>CO</t>
    </r>
    <r>
      <rPr>
        <sz val="11"/>
        <rFont val="Calibri"/>
        <family val="2"/>
        <scheme val="minor"/>
      </rPr>
      <t>)</t>
    </r>
  </si>
  <si>
    <r>
      <t>Calculated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</si>
  <si>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Selected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</si>
  <si>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Calculated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</si>
  <si>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Selected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</si>
  <si>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Calculated C</t>
    </r>
    <r>
      <rPr>
        <vertAlign val="subscript"/>
        <sz val="11"/>
        <rFont val="Calibri"/>
        <family val="2"/>
        <scheme val="minor"/>
      </rPr>
      <t>HF1</t>
    </r>
    <r>
      <rPr>
        <sz val="11"/>
        <rFont val="Calibri"/>
        <family val="2"/>
        <scheme val="minor"/>
      </rPr>
      <t>, C</t>
    </r>
    <r>
      <rPr>
        <vertAlign val="subscript"/>
        <sz val="11"/>
        <rFont val="Calibri"/>
        <family val="2"/>
        <scheme val="minor"/>
      </rPr>
      <t>HF2</t>
    </r>
  </si>
  <si>
    <r>
      <t>Selected C</t>
    </r>
    <r>
      <rPr>
        <vertAlign val="subscript"/>
        <sz val="11"/>
        <rFont val="Calibri"/>
        <family val="2"/>
        <scheme val="minor"/>
      </rPr>
      <t>HF1</t>
    </r>
    <r>
      <rPr>
        <sz val="11"/>
        <rFont val="Calibri"/>
        <family val="2"/>
        <scheme val="minor"/>
      </rPr>
      <t>, C</t>
    </r>
    <r>
      <rPr>
        <vertAlign val="subscript"/>
        <sz val="11"/>
        <rFont val="Calibri"/>
        <family val="2"/>
        <scheme val="minor"/>
      </rPr>
      <t>HF2</t>
    </r>
  </si>
  <si>
    <r>
      <t>Calculated R</t>
    </r>
    <r>
      <rPr>
        <vertAlign val="subscript"/>
        <sz val="11"/>
        <rFont val="Calibri"/>
        <family val="2"/>
        <scheme val="minor"/>
      </rPr>
      <t>COMP Buck</t>
    </r>
  </si>
  <si>
    <r>
      <t>Selected R</t>
    </r>
    <r>
      <rPr>
        <vertAlign val="subscript"/>
        <sz val="11"/>
        <rFont val="Calibri"/>
        <family val="2"/>
        <scheme val="minor"/>
      </rPr>
      <t>COMP Buck</t>
    </r>
  </si>
  <si>
    <r>
      <t>Calculated C</t>
    </r>
    <r>
      <rPr>
        <vertAlign val="subscript"/>
        <sz val="11"/>
        <rFont val="Calibri"/>
        <family val="2"/>
        <scheme val="minor"/>
      </rPr>
      <t>COMP Buck</t>
    </r>
  </si>
  <si>
    <r>
      <t>Selected C</t>
    </r>
    <r>
      <rPr>
        <vertAlign val="subscript"/>
        <sz val="11"/>
        <rFont val="Calibri"/>
        <family val="2"/>
        <scheme val="minor"/>
      </rPr>
      <t>COMP Buck</t>
    </r>
  </si>
  <si>
    <r>
      <t>Calculated C</t>
    </r>
    <r>
      <rPr>
        <vertAlign val="subscript"/>
        <sz val="11"/>
        <rFont val="Calibri"/>
        <family val="2"/>
        <scheme val="minor"/>
      </rPr>
      <t>HF Buck</t>
    </r>
  </si>
  <si>
    <r>
      <t>Selected C</t>
    </r>
    <r>
      <rPr>
        <vertAlign val="subscript"/>
        <sz val="11"/>
        <rFont val="Calibri"/>
        <family val="2"/>
        <scheme val="minor"/>
      </rPr>
      <t>HF Buck</t>
    </r>
  </si>
  <si>
    <r>
      <t>Calculated R</t>
    </r>
    <r>
      <rPr>
        <vertAlign val="subscript"/>
        <sz val="11"/>
        <rFont val="Calibri"/>
        <family val="2"/>
        <scheme val="minor"/>
      </rPr>
      <t>COMP Boost</t>
    </r>
  </si>
  <si>
    <r>
      <t>Selected R</t>
    </r>
    <r>
      <rPr>
        <vertAlign val="subscript"/>
        <sz val="11"/>
        <rFont val="Calibri"/>
        <family val="2"/>
        <scheme val="minor"/>
      </rPr>
      <t>COMP Boost</t>
    </r>
  </si>
  <si>
    <r>
      <t>Calculated C</t>
    </r>
    <r>
      <rPr>
        <vertAlign val="subscript"/>
        <sz val="11"/>
        <rFont val="Calibri"/>
        <family val="2"/>
        <scheme val="minor"/>
      </rPr>
      <t>COMP Boost</t>
    </r>
  </si>
  <si>
    <r>
      <t>Selected C</t>
    </r>
    <r>
      <rPr>
        <vertAlign val="subscript"/>
        <sz val="11"/>
        <rFont val="Calibri"/>
        <family val="2"/>
        <scheme val="minor"/>
      </rPr>
      <t>COMP Boost</t>
    </r>
  </si>
  <si>
    <r>
      <t>Calculated C</t>
    </r>
    <r>
      <rPr>
        <vertAlign val="subscript"/>
        <sz val="11"/>
        <rFont val="Calibri"/>
        <family val="2"/>
        <scheme val="minor"/>
      </rPr>
      <t>HF Boost</t>
    </r>
  </si>
  <si>
    <r>
      <t>Selected C</t>
    </r>
    <r>
      <rPr>
        <vertAlign val="subscript"/>
        <sz val="11"/>
        <rFont val="Calibri"/>
        <family val="2"/>
        <scheme val="minor"/>
      </rPr>
      <t>HF Boost</t>
    </r>
  </si>
  <si>
    <r>
      <t xml:space="preserve">Buck Mode Loop Compensation </t>
    </r>
    <r>
      <rPr>
        <b/>
        <sz val="11"/>
        <rFont val="Calibri"/>
        <family val="2"/>
        <scheme val="minor"/>
      </rPr>
      <t>Simple Method</t>
    </r>
  </si>
  <si>
    <t xml:space="preserve">Buck Mode Loop Compensation (LM5170 method) </t>
  </si>
  <si>
    <t>Boost Mode Voltage Loop Compensation (LM5170 method)</t>
  </si>
  <si>
    <r>
      <t xml:space="preserve">BoostMode Loop Compensation </t>
    </r>
    <r>
      <rPr>
        <b/>
        <sz val="11"/>
        <rFont val="Calibri"/>
        <family val="2"/>
        <scheme val="minor"/>
      </rPr>
      <t>Simple Method</t>
    </r>
  </si>
  <si>
    <t>Version Number</t>
  </si>
  <si>
    <t>1.0.0</t>
  </si>
  <si>
    <t>Version History</t>
  </si>
  <si>
    <t>Version</t>
  </si>
  <si>
    <t>Change List Description</t>
  </si>
  <si>
    <t>Initial Release</t>
  </si>
  <si>
    <t>Normal UVLO</t>
  </si>
  <si>
    <t>Additional Hysteresis</t>
  </si>
  <si>
    <t>Microcontroller Input</t>
  </si>
  <si>
    <t>IMON1/ IMON2</t>
  </si>
  <si>
    <t>Flag if &gt;3V</t>
  </si>
  <si>
    <r>
      <t>Calculated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</si>
  <si>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Selected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</si>
  <si>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V</t>
    </r>
    <r>
      <rPr>
        <vertAlign val="subscript"/>
        <sz val="11"/>
        <color theme="1"/>
        <rFont val="Calibri"/>
        <family val="2"/>
        <scheme val="minor"/>
      </rPr>
      <t>IMON</t>
    </r>
    <r>
      <rPr>
        <sz val="11"/>
        <color theme="1"/>
        <rFont val="Calibri"/>
        <family val="2"/>
        <scheme val="minor"/>
      </rPr>
      <t xml:space="preserve"> at Full Load (V</t>
    </r>
    <r>
      <rPr>
        <vertAlign val="subscript"/>
        <sz val="11"/>
        <color theme="1"/>
        <rFont val="Calibri"/>
        <family val="2"/>
        <scheme val="minor"/>
      </rPr>
      <t>RCS</t>
    </r>
    <r>
      <rPr>
        <sz val="11"/>
        <color theme="1"/>
        <rFont val="Calibri"/>
        <family val="2"/>
        <scheme val="minor"/>
      </rPr>
      <t xml:space="preserve"> = 50mV)</t>
    </r>
  </si>
  <si>
    <r>
      <t>V</t>
    </r>
    <r>
      <rPr>
        <vertAlign val="subscript"/>
        <sz val="11"/>
        <color theme="1"/>
        <rFont val="Calibri"/>
        <family val="2"/>
        <scheme val="minor"/>
      </rPr>
      <t>IMON</t>
    </r>
    <r>
      <rPr>
        <sz val="11"/>
        <color theme="1"/>
        <rFont val="Calibri"/>
        <family val="2"/>
        <scheme val="minor"/>
      </rPr>
      <t xml:space="preserve"> at No Load (V</t>
    </r>
    <r>
      <rPr>
        <vertAlign val="subscript"/>
        <sz val="11"/>
        <color theme="1"/>
        <rFont val="Calibri"/>
        <family val="2"/>
        <scheme val="minor"/>
      </rPr>
      <t>RCS</t>
    </r>
    <r>
      <rPr>
        <sz val="11"/>
        <color theme="1"/>
        <rFont val="Calibri"/>
        <family val="2"/>
        <scheme val="minor"/>
      </rPr>
      <t xml:space="preserve"> = 0mV)</t>
    </r>
  </si>
  <si>
    <r>
      <t>Calculated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</si>
  <si>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Selected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</si>
  <si>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Delta V</t>
    </r>
    <r>
      <rPr>
        <vertAlign val="subscript"/>
        <sz val="11"/>
        <color theme="1"/>
        <rFont val="Calibri"/>
        <family val="2"/>
        <scheme val="minor"/>
      </rPr>
      <t xml:space="preserve">IMON </t>
    </r>
    <r>
      <rPr>
        <sz val="11"/>
        <color theme="1"/>
        <rFont val="Calibri"/>
        <family val="2"/>
        <scheme val="minor"/>
      </rPr>
      <t>at Full Load</t>
    </r>
  </si>
  <si>
    <r>
      <t>R</t>
    </r>
    <r>
      <rPr>
        <vertAlign val="subscript"/>
        <sz val="11"/>
        <color theme="1"/>
        <rFont val="Calibri"/>
        <family val="2"/>
        <scheme val="minor"/>
      </rPr>
      <t>IMON</t>
    </r>
    <r>
      <rPr>
        <sz val="11"/>
        <color theme="1"/>
        <rFont val="Calibri"/>
        <family val="2"/>
        <scheme val="minor"/>
      </rPr>
      <t xml:space="preserve"> C</t>
    </r>
    <r>
      <rPr>
        <vertAlign val="subscript"/>
        <sz val="11"/>
        <color theme="1"/>
        <rFont val="Calibri"/>
        <family val="2"/>
        <scheme val="minor"/>
      </rPr>
      <t>IMON</t>
    </r>
    <r>
      <rPr>
        <sz val="11"/>
        <color theme="1"/>
        <rFont val="Calibri"/>
        <family val="2"/>
        <scheme val="minor"/>
      </rPr>
      <t xml:space="preserve"> Corner Frequency</t>
    </r>
  </si>
  <si>
    <t>Adaptive Dead Time</t>
  </si>
  <si>
    <t>Programmed Dead Time</t>
  </si>
  <si>
    <t>A/V</t>
  </si>
  <si>
    <t xml:space="preserve">V12 Input Current Per Phase (Boost) </t>
  </si>
  <si>
    <t>Place zero at 0.2 fco</t>
  </si>
  <si>
    <t>fco</t>
  </si>
  <si>
    <t>Place pole at 3 fco</t>
  </si>
  <si>
    <t>Calucated Voltage at IPK Pin</t>
  </si>
  <si>
    <t>Select reference voltage for IPK Pin</t>
  </si>
  <si>
    <t>Suggested RIPKB</t>
  </si>
  <si>
    <t>Suggested RIPKT</t>
  </si>
  <si>
    <t>Selected RIPKB</t>
  </si>
  <si>
    <t>Selected RIPKT</t>
  </si>
  <si>
    <t>Actual VIPK</t>
  </si>
  <si>
    <t xml:space="preserve">Actual Inductor Peak Current Limit </t>
  </si>
  <si>
    <t>3. Inductor Peak Current Limiting</t>
  </si>
  <si>
    <r>
      <t>R</t>
    </r>
    <r>
      <rPr>
        <b/>
        <vertAlign val="subscript"/>
        <sz val="11"/>
        <color theme="1"/>
        <rFont val="Calibri"/>
        <family val="2"/>
        <scheme val="minor"/>
      </rPr>
      <t>ISETB</t>
    </r>
    <r>
      <rPr>
        <b/>
        <sz val="11"/>
        <color theme="1"/>
        <rFont val="Calibri"/>
        <family val="2"/>
        <scheme val="minor"/>
      </rPr>
      <t>/R</t>
    </r>
    <r>
      <rPr>
        <b/>
        <vertAlign val="subscript"/>
        <sz val="11"/>
        <color theme="1"/>
        <rFont val="Calibri"/>
        <family val="2"/>
        <scheme val="minor"/>
      </rPr>
      <t>ISETT</t>
    </r>
  </si>
  <si>
    <t>Output Voltage Soft Start</t>
  </si>
  <si>
    <t>Selected Output Voltage Soft-Start Time</t>
  </si>
  <si>
    <t>Current Soft Start</t>
  </si>
  <si>
    <r>
      <t>Selected Reference Voltage (V</t>
    </r>
    <r>
      <rPr>
        <vertAlign val="subscript"/>
        <sz val="11"/>
        <rFont val="Calibri"/>
        <family val="2"/>
        <scheme val="minor"/>
      </rPr>
      <t>VSET</t>
    </r>
    <r>
      <rPr>
        <sz val="11"/>
        <rFont val="Calibri"/>
        <family val="2"/>
        <scheme val="minor"/>
      </rPr>
      <t>)</t>
    </r>
  </si>
  <si>
    <r>
      <t>Selected R</t>
    </r>
    <r>
      <rPr>
        <vertAlign val="subscript"/>
        <sz val="11"/>
        <color theme="1"/>
        <rFont val="Calibri"/>
        <family val="2"/>
        <scheme val="minor"/>
      </rPr>
      <t>VSETT</t>
    </r>
  </si>
  <si>
    <r>
      <t>Suggested R</t>
    </r>
    <r>
      <rPr>
        <vertAlign val="subscript"/>
        <sz val="11"/>
        <color theme="1"/>
        <rFont val="Calibri"/>
        <family val="2"/>
        <scheme val="minor"/>
      </rPr>
      <t>VSETB</t>
    </r>
  </si>
  <si>
    <r>
      <t>Selected R</t>
    </r>
    <r>
      <rPr>
        <vertAlign val="subscript"/>
        <sz val="11"/>
        <color theme="1"/>
        <rFont val="Calibri"/>
        <family val="2"/>
        <scheme val="minor"/>
      </rPr>
      <t>VSETB</t>
    </r>
  </si>
  <si>
    <r>
      <t>Suggested R</t>
    </r>
    <r>
      <rPr>
        <vertAlign val="subscript"/>
        <sz val="11"/>
        <color theme="1"/>
        <rFont val="Calibri"/>
        <family val="2"/>
        <scheme val="minor"/>
      </rPr>
      <t>VSETT</t>
    </r>
  </si>
  <si>
    <r>
      <t>Suggested C</t>
    </r>
    <r>
      <rPr>
        <vertAlign val="subscript"/>
        <sz val="11"/>
        <color theme="1"/>
        <rFont val="Calibri"/>
        <family val="2"/>
        <scheme val="minor"/>
      </rPr>
      <t>VSET</t>
    </r>
  </si>
  <si>
    <r>
      <t>Selected C</t>
    </r>
    <r>
      <rPr>
        <vertAlign val="subscript"/>
        <sz val="11"/>
        <color theme="1"/>
        <rFont val="Calibri"/>
        <family val="2"/>
        <scheme val="minor"/>
      </rPr>
      <t>VSET</t>
    </r>
  </si>
  <si>
    <t>Soft start time</t>
  </si>
  <si>
    <t>Select reference voltage for VSET Pin</t>
  </si>
  <si>
    <r>
      <t>Selected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</si>
  <si>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CC</t>
  </si>
  <si>
    <t>CV</t>
  </si>
  <si>
    <t>CC or CV?</t>
  </si>
  <si>
    <t>0 = CV, 1 = CC</t>
  </si>
  <si>
    <r>
      <t>Suggested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</si>
  <si>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Constant Voltage(CV) or Constant Current(CC) control</t>
  </si>
  <si>
    <t>Internal VREF</t>
  </si>
  <si>
    <t>DT/SD</t>
  </si>
  <si>
    <t>Normal</t>
  </si>
  <si>
    <t>OVP Caculations</t>
  </si>
  <si>
    <t>Suggested ROVPB</t>
  </si>
  <si>
    <t>Selected ROVPB</t>
  </si>
  <si>
    <t>Suggested ROVPT</t>
  </si>
  <si>
    <t>Selected ROVPT</t>
  </si>
  <si>
    <t>Deisred OVP voltage</t>
  </si>
  <si>
    <t>Actual OVP voltage</t>
  </si>
  <si>
    <t>OVP Threshold</t>
  </si>
  <si>
    <t>8. Overvoltage Protection</t>
  </si>
  <si>
    <t>OVP</t>
  </si>
  <si>
    <t>CFG</t>
  </si>
  <si>
    <t>0.649 or 0.665</t>
  </si>
  <si>
    <t>1.10 or 1.13</t>
  </si>
  <si>
    <t>1.65 or 1.69</t>
  </si>
  <si>
    <t>2.43 or 2.49</t>
  </si>
  <si>
    <t>3.32 or 3.40</t>
  </si>
  <si>
    <t>4.53 or 4.64</t>
  </si>
  <si>
    <t>6.65 or 6.81</t>
  </si>
  <si>
    <t>10.2 or 10.5</t>
  </si>
  <si>
    <t>18.7 or 19.1</t>
  </si>
  <si>
    <t>26.1 or 26.7</t>
  </si>
  <si>
    <t>37.4 or 38.3</t>
  </si>
  <si>
    <t>60.4 or 61.9</t>
  </si>
  <si>
    <t>95.3 or 97.6</t>
  </si>
  <si>
    <t>13.7 or 14.0</t>
  </si>
  <si>
    <t>0.316 or 0.324</t>
  </si>
  <si>
    <t>&lt;0.1</t>
  </si>
  <si>
    <t>I2C Adress</t>
  </si>
  <si>
    <t>IMON</t>
  </si>
  <si>
    <t>0x0</t>
  </si>
  <si>
    <t>0x1</t>
  </si>
  <si>
    <t>0x2</t>
  </si>
  <si>
    <t>0x3</t>
  </si>
  <si>
    <t>0x4</t>
  </si>
  <si>
    <t>0x5</t>
  </si>
  <si>
    <t>0x6</t>
  </si>
  <si>
    <t>0x7</t>
  </si>
  <si>
    <t>OPT</t>
  </si>
  <si>
    <t>180°</t>
  </si>
  <si>
    <t>240°</t>
  </si>
  <si>
    <t>9. Channel Current Monitoring</t>
  </si>
  <si>
    <t>10. MOSFET Dead Time Selection</t>
  </si>
  <si>
    <t>11. CFG Resistor Selection and OPT</t>
  </si>
  <si>
    <t>12. Current Loop Compensation</t>
  </si>
  <si>
    <r>
      <t>13. Select R</t>
    </r>
    <r>
      <rPr>
        <b/>
        <vertAlign val="subscript"/>
        <sz val="14"/>
        <color rgb="FF0070C0"/>
        <rFont val="Calibri"/>
        <family val="2"/>
        <scheme val="minor"/>
      </rPr>
      <t xml:space="preserve">ISETB </t>
    </r>
    <r>
      <rPr>
        <b/>
        <sz val="14"/>
        <color rgb="FF0070C0"/>
        <rFont val="Calibri"/>
        <family val="2"/>
        <scheme val="minor"/>
      </rPr>
      <t>and R</t>
    </r>
    <r>
      <rPr>
        <b/>
        <vertAlign val="subscript"/>
        <sz val="14"/>
        <color rgb="FF0070C0"/>
        <rFont val="Calibri"/>
        <family val="2"/>
        <scheme val="minor"/>
      </rPr>
      <t>ISETT</t>
    </r>
    <r>
      <rPr>
        <b/>
        <sz val="14"/>
        <color rgb="FF0070C0"/>
        <rFont val="Calibri"/>
        <family val="2"/>
        <scheme val="minor"/>
      </rPr>
      <t xml:space="preserve"> (Shared by Buck and Boost)</t>
    </r>
  </si>
  <si>
    <t>14. Buck Mode Voltage Loop Compensation</t>
  </si>
  <si>
    <t>15. Boost Mode Voltage Loop Compensation</t>
  </si>
  <si>
    <t>Set OPT to</t>
  </si>
  <si>
    <r>
      <t>Selected VSET Voltage (V</t>
    </r>
    <r>
      <rPr>
        <vertAlign val="subscript"/>
        <sz val="11"/>
        <rFont val="Calibri"/>
        <family val="2"/>
        <scheme val="minor"/>
      </rPr>
      <t>VSET</t>
    </r>
    <r>
      <rPr>
        <sz val="11"/>
        <rFont val="Calibri"/>
        <family val="2"/>
        <scheme val="minor"/>
      </rPr>
      <t>)</t>
    </r>
  </si>
  <si>
    <t>Select voltage divider input for VSET</t>
  </si>
  <si>
    <t>Select voltage divider input for IPK</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</si>
  <si>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</si>
  <si>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Calucated IPK Voltage (V</t>
    </r>
    <r>
      <rPr>
        <vertAlign val="subscript"/>
        <sz val="11"/>
        <rFont val="Calibri"/>
        <family val="2"/>
        <scheme val="minor"/>
      </rPr>
      <t>IPK</t>
    </r>
    <r>
      <rPr>
        <sz val="11"/>
        <rFont val="Calibri"/>
        <family val="2"/>
        <scheme val="minor"/>
      </rPr>
      <t>)</t>
    </r>
  </si>
  <si>
    <r>
      <t>Suggested  Low-Side Resistor (R</t>
    </r>
    <r>
      <rPr>
        <vertAlign val="subscript"/>
        <sz val="11"/>
        <color theme="1"/>
        <rFont val="Calibri"/>
        <family val="2"/>
        <scheme val="minor"/>
      </rPr>
      <t>IPKB</t>
    </r>
    <r>
      <rPr>
        <sz val="11"/>
        <color theme="1"/>
        <rFont val="Calibri"/>
        <family val="2"/>
        <scheme val="minor"/>
      </rPr>
      <t>)</t>
    </r>
  </si>
  <si>
    <r>
      <t>Selected Low-Side Resistor (R</t>
    </r>
    <r>
      <rPr>
        <vertAlign val="subscript"/>
        <sz val="11"/>
        <color theme="1"/>
        <rFont val="Calibri"/>
        <family val="2"/>
        <scheme val="minor"/>
      </rPr>
      <t>IPKB</t>
    </r>
    <r>
      <rPr>
        <sz val="11"/>
        <color theme="1"/>
        <rFont val="Calibri"/>
        <family val="2"/>
        <scheme val="minor"/>
      </rPr>
      <t>)</t>
    </r>
  </si>
  <si>
    <r>
      <t>Suggested High-Side Resistor (R</t>
    </r>
    <r>
      <rPr>
        <vertAlign val="subscript"/>
        <sz val="11"/>
        <color theme="1"/>
        <rFont val="Calibri"/>
        <family val="2"/>
        <scheme val="minor"/>
      </rPr>
      <t>IPKT</t>
    </r>
    <r>
      <rPr>
        <sz val="11"/>
        <color theme="1"/>
        <rFont val="Calibri"/>
        <family val="2"/>
        <scheme val="minor"/>
      </rPr>
      <t>)</t>
    </r>
  </si>
  <si>
    <r>
      <t>Selected High-Side Resistor (R</t>
    </r>
    <r>
      <rPr>
        <vertAlign val="subscript"/>
        <sz val="11"/>
        <color theme="1"/>
        <rFont val="Calibri"/>
        <family val="2"/>
        <scheme val="minor"/>
      </rPr>
      <t>IPKT</t>
    </r>
    <r>
      <rPr>
        <sz val="11"/>
        <color theme="1"/>
        <rFont val="Calibri"/>
        <family val="2"/>
        <scheme val="minor"/>
      </rPr>
      <t>)</t>
    </r>
  </si>
  <si>
    <r>
      <t>Suggested Low-Side Resistor (R</t>
    </r>
    <r>
      <rPr>
        <vertAlign val="subscript"/>
        <sz val="11"/>
        <color theme="1"/>
        <rFont val="Calibri"/>
        <family val="2"/>
        <scheme val="minor"/>
      </rPr>
      <t>VSETB</t>
    </r>
    <r>
      <rPr>
        <sz val="11"/>
        <color theme="1"/>
        <rFont val="Calibri"/>
        <family val="2"/>
        <scheme val="minor"/>
      </rPr>
      <t>)</t>
    </r>
  </si>
  <si>
    <r>
      <t>Selected Low-Side Resistor  (R</t>
    </r>
    <r>
      <rPr>
        <vertAlign val="subscript"/>
        <sz val="11"/>
        <color theme="1"/>
        <rFont val="Calibri"/>
        <family val="2"/>
        <scheme val="minor"/>
      </rPr>
      <t>VSETB</t>
    </r>
    <r>
      <rPr>
        <sz val="11"/>
        <color theme="1"/>
        <rFont val="Calibri"/>
        <family val="2"/>
        <scheme val="minor"/>
      </rPr>
      <t>)</t>
    </r>
  </si>
  <si>
    <r>
      <t>Selected High-Side Resistor  (R</t>
    </r>
    <r>
      <rPr>
        <vertAlign val="subscript"/>
        <sz val="11"/>
        <color theme="1"/>
        <rFont val="Calibri"/>
        <family val="2"/>
        <scheme val="minor"/>
      </rPr>
      <t>VSETT</t>
    </r>
    <r>
      <rPr>
        <sz val="11"/>
        <color theme="1"/>
        <rFont val="Calibri"/>
        <family val="2"/>
        <scheme val="minor"/>
      </rPr>
      <t>)</t>
    </r>
  </si>
  <si>
    <r>
      <t>Suggested High-Side Resistor  (R</t>
    </r>
    <r>
      <rPr>
        <vertAlign val="subscript"/>
        <sz val="11"/>
        <color theme="1"/>
        <rFont val="Calibri"/>
        <family val="2"/>
        <scheme val="minor"/>
      </rPr>
      <t>VSETT</t>
    </r>
    <r>
      <rPr>
        <sz val="11"/>
        <color theme="1"/>
        <rFont val="Calibri"/>
        <family val="2"/>
        <scheme val="minor"/>
      </rPr>
      <t>)</t>
    </r>
  </si>
  <si>
    <r>
      <t>Suggested Output Voltage Soft-Start Capacitor (C</t>
    </r>
    <r>
      <rPr>
        <vertAlign val="subscript"/>
        <sz val="11"/>
        <color theme="1"/>
        <rFont val="Calibri"/>
        <family val="2"/>
        <scheme val="minor"/>
      </rPr>
      <t>VSET</t>
    </r>
    <r>
      <rPr>
        <sz val="11"/>
        <color theme="1"/>
        <rFont val="Calibri"/>
        <family val="2"/>
        <scheme val="minor"/>
      </rPr>
      <t>)</t>
    </r>
  </si>
  <si>
    <r>
      <t>Selected Output Voltage Soft-Start (C</t>
    </r>
    <r>
      <rPr>
        <vertAlign val="subscript"/>
        <sz val="11"/>
        <color theme="1"/>
        <rFont val="Calibri"/>
        <family val="2"/>
        <scheme val="minor"/>
      </rPr>
      <t>VSET</t>
    </r>
    <r>
      <rPr>
        <sz val="11"/>
        <color theme="1"/>
        <rFont val="Calibri"/>
        <family val="2"/>
        <scheme val="minor"/>
      </rPr>
      <t>)</t>
    </r>
  </si>
  <si>
    <t>Selected Current Soft-Start Time</t>
  </si>
  <si>
    <t>Actual Current Soft-Start Time</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</si>
  <si>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</si>
  <si>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t>Actual Output Voltage Soft Start Time</t>
  </si>
  <si>
    <r>
      <t>Actual IPK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</si>
  <si>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Suggested Low-Side Resistor (R</t>
    </r>
    <r>
      <rPr>
        <vertAlign val="subscript"/>
        <sz val="11"/>
        <color theme="1"/>
        <rFont val="Calibri"/>
        <family val="2"/>
        <scheme val="minor"/>
      </rPr>
      <t>OVPB</t>
    </r>
    <r>
      <rPr>
        <sz val="11"/>
        <color theme="1"/>
        <rFont val="Calibri"/>
        <family val="2"/>
        <scheme val="minor"/>
      </rPr>
      <t>)</t>
    </r>
  </si>
  <si>
    <t>Deisred OVP Trigger Voltage</t>
  </si>
  <si>
    <t>Actual OVP Trigger Voltage</t>
  </si>
  <si>
    <r>
      <t>Selected Bottom Feedback Resistor(R</t>
    </r>
    <r>
      <rPr>
        <vertAlign val="subscript"/>
        <sz val="11"/>
        <rFont val="Calibri"/>
        <family val="2"/>
        <scheme val="minor"/>
      </rPr>
      <t>FBB</t>
    </r>
    <r>
      <rPr>
        <sz val="11"/>
        <rFont val="Calibri"/>
        <family val="2"/>
        <scheme val="minor"/>
      </rPr>
      <t>)</t>
    </r>
  </si>
  <si>
    <r>
      <t>Suggested Top Feedback Resistor (R</t>
    </r>
    <r>
      <rPr>
        <vertAlign val="subscript"/>
        <sz val="11"/>
        <rFont val="Calibri"/>
        <family val="2"/>
        <scheme val="minor"/>
      </rPr>
      <t>FBT</t>
    </r>
    <r>
      <rPr>
        <sz val="11"/>
        <rFont val="Calibri"/>
        <family val="2"/>
        <scheme val="minor"/>
      </rPr>
      <t>)</t>
    </r>
  </si>
  <si>
    <r>
      <t>Selected Resistor Top Feedback Resistor (R</t>
    </r>
    <r>
      <rPr>
        <vertAlign val="subscript"/>
        <sz val="11"/>
        <rFont val="Calibri"/>
        <family val="2"/>
        <scheme val="minor"/>
      </rPr>
      <t>FBT</t>
    </r>
    <r>
      <rPr>
        <sz val="11"/>
        <rFont val="Calibri"/>
        <family val="2"/>
        <scheme val="minor"/>
      </rPr>
      <t>)</t>
    </r>
  </si>
  <si>
    <t>IMONx Calculations</t>
  </si>
  <si>
    <r>
      <t>Selected Low-Side Resistor (R</t>
    </r>
    <r>
      <rPr>
        <vertAlign val="subscript"/>
        <sz val="11"/>
        <color theme="1"/>
        <rFont val="Calibri"/>
        <family val="2"/>
        <scheme val="minor"/>
      </rPr>
      <t>OVPB</t>
    </r>
    <r>
      <rPr>
        <sz val="11"/>
        <color theme="1"/>
        <rFont val="Calibri"/>
        <family val="2"/>
        <scheme val="minor"/>
      </rPr>
      <t>)</t>
    </r>
  </si>
  <si>
    <r>
      <t>Suggested High-Side Resistor (R</t>
    </r>
    <r>
      <rPr>
        <vertAlign val="subscript"/>
        <sz val="11"/>
        <color theme="1"/>
        <rFont val="Calibri"/>
        <family val="2"/>
        <scheme val="minor"/>
      </rPr>
      <t>OVPT</t>
    </r>
    <r>
      <rPr>
        <sz val="11"/>
        <color theme="1"/>
        <rFont val="Calibri"/>
        <family val="2"/>
        <scheme val="minor"/>
      </rPr>
      <t>)</t>
    </r>
  </si>
  <si>
    <r>
      <t>Selected High-Side Resistor (R</t>
    </r>
    <r>
      <rPr>
        <vertAlign val="subscript"/>
        <sz val="11"/>
        <color theme="1"/>
        <rFont val="Calibri"/>
        <family val="2"/>
        <scheme val="minor"/>
      </rPr>
      <t>OVPT</t>
    </r>
    <r>
      <rPr>
        <sz val="11"/>
        <color theme="1"/>
        <rFont val="Calibri"/>
        <family val="2"/>
        <scheme val="minor"/>
      </rPr>
      <t>)</t>
    </r>
  </si>
  <si>
    <t>ISET Resistor Divider for max load deliver RISETT</t>
  </si>
  <si>
    <t>Suggested low side res RISETB</t>
  </si>
  <si>
    <t>Selected ISET low resistor RISETB</t>
  </si>
  <si>
    <t>Suggested high side RISETT</t>
  </si>
  <si>
    <t>Selected ISET high resistor RISETT</t>
  </si>
  <si>
    <r>
      <t>Selected ISET High-Side Resistor (R</t>
    </r>
    <r>
      <rPr>
        <vertAlign val="subscript"/>
        <sz val="11"/>
        <rFont val="Calibri"/>
        <family val="2"/>
        <scheme val="minor"/>
      </rPr>
      <t>ISETT</t>
    </r>
    <r>
      <rPr>
        <sz val="11"/>
        <rFont val="Calibri"/>
        <family val="2"/>
        <scheme val="minor"/>
      </rPr>
      <t>)</t>
    </r>
  </si>
  <si>
    <r>
      <t>Selected ISET Low-Side Resistor (R</t>
    </r>
    <r>
      <rPr>
        <vertAlign val="subscript"/>
        <sz val="11"/>
        <rFont val="Calibri"/>
        <family val="2"/>
        <scheme val="minor"/>
      </rPr>
      <t>ISETB</t>
    </r>
    <r>
      <rPr>
        <sz val="11"/>
        <rFont val="Calibri"/>
        <family val="2"/>
        <scheme val="minor"/>
      </rPr>
      <t>)</t>
    </r>
  </si>
  <si>
    <r>
      <t>Suggested  ISET Low-Side Resistor (R</t>
    </r>
    <r>
      <rPr>
        <vertAlign val="subscript"/>
        <sz val="11"/>
        <rFont val="Calibri"/>
        <family val="2"/>
        <scheme val="minor"/>
      </rPr>
      <t>ISETB</t>
    </r>
    <r>
      <rPr>
        <sz val="11"/>
        <rFont val="Calibri"/>
        <family val="2"/>
        <scheme val="minor"/>
      </rPr>
      <t>)</t>
    </r>
  </si>
  <si>
    <r>
      <t>Suggested ISET High-Side Resistor (R</t>
    </r>
    <r>
      <rPr>
        <vertAlign val="subscript"/>
        <sz val="11"/>
        <rFont val="Calibri"/>
        <family val="2"/>
        <scheme val="minor"/>
      </rPr>
      <t>ISETT</t>
    </r>
    <r>
      <rPr>
        <sz val="11"/>
        <rFont val="Calibri"/>
        <family val="2"/>
        <scheme val="minor"/>
      </rPr>
      <t>)</t>
    </r>
  </si>
  <si>
    <t>System Load Resistance</t>
  </si>
  <si>
    <t>VO/ISET</t>
  </si>
  <si>
    <t xml:space="preserve">crossover </t>
  </si>
  <si>
    <t>gain</t>
  </si>
  <si>
    <t>f</t>
  </si>
  <si>
    <t>p</t>
  </si>
  <si>
    <t>Maximum Low Voltage Port Current</t>
  </si>
  <si>
    <t>Low Voltage Port Parameters</t>
  </si>
  <si>
    <r>
      <t>Path Resistance (R</t>
    </r>
    <r>
      <rPr>
        <vertAlign val="subscript"/>
        <sz val="11"/>
        <rFont val="Calibri"/>
        <family val="2"/>
        <scheme val="minor"/>
      </rPr>
      <t>S</t>
    </r>
    <r>
      <rPr>
        <sz val="11"/>
        <rFont val="Calibri"/>
        <family val="2"/>
        <scheme val="minor"/>
      </rPr>
      <t>)</t>
    </r>
  </si>
  <si>
    <t>I_LV</t>
  </si>
  <si>
    <t>I_HV</t>
  </si>
  <si>
    <r>
      <t>Maximum V</t>
    </r>
    <r>
      <rPr>
        <vertAlign val="subscript"/>
        <sz val="11"/>
        <color theme="1"/>
        <rFont val="Calibri"/>
        <family val="2"/>
        <scheme val="minor"/>
      </rPr>
      <t>IMON</t>
    </r>
    <r>
      <rPr>
        <sz val="11"/>
        <color theme="1"/>
        <rFont val="Calibri"/>
        <family val="2"/>
        <scheme val="minor"/>
      </rPr>
      <t xml:space="preserve"> V</t>
    </r>
    <r>
      <rPr>
        <vertAlign val="subscript"/>
        <sz val="11"/>
        <color theme="1"/>
        <rFont val="Calibri"/>
        <family val="2"/>
        <scheme val="minor"/>
      </rPr>
      <t>RCS</t>
    </r>
    <r>
      <rPr>
        <sz val="11"/>
        <color theme="1"/>
        <rFont val="Calibri"/>
        <family val="2"/>
        <scheme val="minor"/>
      </rPr>
      <t xml:space="preserve"> = 50mV</t>
    </r>
  </si>
  <si>
    <r>
      <t>Selected I</t>
    </r>
    <r>
      <rPr>
        <vertAlign val="superscript"/>
        <sz val="11"/>
        <color theme="1"/>
        <rFont val="Calibri"/>
        <family val="2"/>
        <scheme val="minor"/>
      </rPr>
      <t>2</t>
    </r>
    <r>
      <rPr>
        <sz val="11"/>
        <color theme="1"/>
        <rFont val="Calibri"/>
        <family val="2"/>
        <scheme val="minor"/>
      </rPr>
      <t>C Adress</t>
    </r>
  </si>
  <si>
    <t>Selected IMON option</t>
  </si>
  <si>
    <t>Suggested interleaving phase angle</t>
  </si>
  <si>
    <r>
      <t>CFG Resistor Selection (R</t>
    </r>
    <r>
      <rPr>
        <vertAlign val="subscript"/>
        <sz val="11"/>
        <color theme="1"/>
        <rFont val="Calibri"/>
        <family val="2"/>
        <scheme val="minor"/>
      </rPr>
      <t>CFG</t>
    </r>
    <r>
      <rPr>
        <sz val="11"/>
        <color theme="1"/>
        <rFont val="Calibri"/>
        <family val="2"/>
        <scheme val="minor"/>
      </rPr>
      <t>, 1% Resistor, kΩ )</t>
    </r>
  </si>
  <si>
    <t>LOW</t>
  </si>
  <si>
    <t>HIGH</t>
  </si>
  <si>
    <t>Total LV Port Current</t>
  </si>
  <si>
    <t>Total HV Port Current in Boost Mode</t>
  </si>
  <si>
    <t>Useful links</t>
  </si>
  <si>
    <t>MOSFET power loss calculator for synchronous buck converter</t>
  </si>
  <si>
    <t>MOSFET power loss calculator for synchronous boost converter</t>
  </si>
  <si>
    <t>1.0.1</t>
  </si>
  <si>
    <r>
      <t>Corrected suggested boost mode voltage loop crossover frequency; Hide R</t>
    </r>
    <r>
      <rPr>
        <vertAlign val="subscript"/>
        <sz val="10"/>
        <color theme="1"/>
        <rFont val="Arial"/>
        <family val="2"/>
      </rPr>
      <t>UVLO3</t>
    </r>
    <r>
      <rPr>
        <sz val="10"/>
        <color theme="1"/>
        <rFont val="Arial"/>
        <family val="2"/>
      </rPr>
      <t xml:space="preserve"> calculation when selecting Normal for UVLO Hysteresis Type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</si>
</sst>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00"/>
    <numFmt numFmtId="167" formatCode="0.0000"/>
    <numFmt numFmtId="168" formatCode="0.00000"/>
  </numFmts>
  <fonts count="41">
    <font>
      <sz val="11"/>
      <color theme="1"/>
      <name val="Calibri"/>
      <family val="2"/>
      <scheme val="minor"/>
    </font>
    <font>
      <sz val="11"/>
      <color theme="1"/>
      <name val="Calibri"/>
      <family val="2"/>
    </font>
    <font>
      <sz val="9"/>
      <color indexed="81"/>
      <name val="Tahoma"/>
      <family val="2"/>
    </font>
    <font>
      <b/>
      <sz val="9"/>
      <color indexed="81"/>
      <name val="Tahoma"/>
      <family val="2"/>
    </font>
    <font>
      <sz val="24"/>
      <color theme="1"/>
      <name val="Calibri"/>
      <family val="2"/>
      <scheme val="minor"/>
    </font>
    <font>
      <b/>
      <sz val="14"/>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sz val="28"/>
      <color theme="0"/>
      <name val="Calibri"/>
      <family val="2"/>
      <scheme val="minor"/>
    </font>
    <font>
      <b/>
      <sz val="14"/>
      <color rgb="FF0070C0"/>
      <name val="Calibri"/>
      <family val="2"/>
      <scheme val="minor"/>
    </font>
    <font>
      <vertAlign val="subscript"/>
      <sz val="11"/>
      <color theme="1"/>
      <name val="Calibri"/>
      <family val="2"/>
      <scheme val="minor"/>
    </font>
    <font>
      <b/>
      <sz val="16"/>
      <color theme="1"/>
      <name val="Calibri"/>
      <family val="2"/>
      <scheme val="minor"/>
    </font>
    <font>
      <b/>
      <u/>
      <sz val="9"/>
      <color indexed="81"/>
      <name val="Tahoma"/>
      <family val="2"/>
    </font>
    <font>
      <b/>
      <vertAlign val="subscript"/>
      <sz val="9"/>
      <color indexed="81"/>
      <name val="Tahoma"/>
      <family val="2"/>
    </font>
    <font>
      <vertAlign val="subscript"/>
      <sz val="9"/>
      <color indexed="81"/>
      <name val="Tahoma"/>
      <family val="2"/>
    </font>
    <font>
      <u/>
      <sz val="9"/>
      <color indexed="81"/>
      <name val="Tahoma"/>
      <family val="2"/>
    </font>
    <font>
      <u/>
      <sz val="9"/>
      <color indexed="81"/>
      <name val="Calibri"/>
      <family val="2"/>
    </font>
    <font>
      <sz val="9"/>
      <color indexed="81"/>
      <name val="Calibri"/>
      <family val="2"/>
    </font>
    <font>
      <sz val="11"/>
      <name val="Calibri"/>
      <family val="2"/>
      <scheme val="minor"/>
    </font>
    <font>
      <b/>
      <sz val="11"/>
      <name val="Calibri"/>
      <family val="2"/>
      <scheme val="minor"/>
    </font>
    <font>
      <sz val="11"/>
      <color theme="0" tint="-0.499984740745262"/>
      <name val="Calibri"/>
      <family val="2"/>
      <scheme val="minor"/>
    </font>
    <font>
      <vertAlign val="subscript"/>
      <sz val="11"/>
      <name val="Calibri"/>
      <family val="2"/>
      <scheme val="minor"/>
    </font>
    <font>
      <sz val="9"/>
      <name val="Calibri"/>
      <family val="3"/>
      <charset val="134"/>
      <scheme val="minor"/>
    </font>
    <font>
      <sz val="11"/>
      <color theme="1"/>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sz val="10"/>
      <name val="Arial"/>
      <family val="2"/>
    </font>
    <font>
      <b/>
      <sz val="10"/>
      <color theme="0"/>
      <name val="Arial"/>
      <family val="2"/>
    </font>
    <font>
      <b/>
      <u/>
      <sz val="11"/>
      <color theme="10"/>
      <name val="Arial"/>
      <family val="2"/>
    </font>
    <font>
      <b/>
      <vertAlign val="subscript"/>
      <sz val="11"/>
      <color theme="1"/>
      <name val="Calibri"/>
      <family val="2"/>
      <scheme val="minor"/>
    </font>
    <font>
      <b/>
      <vertAlign val="subscript"/>
      <sz val="14"/>
      <color rgb="FF0070C0"/>
      <name val="Calibri"/>
      <family val="2"/>
      <scheme val="minor"/>
    </font>
    <font>
      <vertAlign val="superscript"/>
      <sz val="9"/>
      <color indexed="81"/>
      <name val="Tahoma"/>
      <family val="2"/>
    </font>
    <font>
      <b/>
      <vertAlign val="superscript"/>
      <sz val="9"/>
      <color indexed="81"/>
      <name val="Tahoma"/>
      <family val="2"/>
    </font>
    <font>
      <vertAlign val="superscript"/>
      <sz val="11"/>
      <color theme="1"/>
      <name val="Calibri"/>
      <family val="2"/>
      <scheme val="minor"/>
    </font>
    <font>
      <u/>
      <sz val="10"/>
      <color theme="10"/>
      <name val="Calibri"/>
      <family val="2"/>
      <scheme val="minor"/>
    </font>
    <font>
      <vertAlign val="subscript"/>
      <sz val="10"/>
      <color theme="1"/>
      <name val="Arial"/>
      <family val="2"/>
    </font>
  </fonts>
  <fills count="13">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DE0000"/>
        <bgColor indexed="64"/>
      </patternFill>
    </fill>
    <fill>
      <patternFill patternType="solid">
        <fgColor theme="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s>
  <cellStyleXfs count="4">
    <xf numFmtId="0" fontId="0" fillId="0" borderId="0"/>
    <xf numFmtId="0" fontId="25" fillId="0" borderId="0"/>
    <xf numFmtId="0" fontId="29" fillId="0" borderId="0" applyNumberFormat="0" applyFill="0" applyBorder="0" applyAlignment="0" applyProtection="0"/>
    <xf numFmtId="0" fontId="29" fillId="0" borderId="0" applyNumberFormat="0" applyFill="0" applyBorder="0" applyAlignment="0" applyProtection="0"/>
  </cellStyleXfs>
  <cellXfs count="288">
    <xf numFmtId="0" fontId="0" fillId="0" borderId="0" xfId="0"/>
    <xf numFmtId="0" fontId="0" fillId="0" borderId="1" xfId="0" applyBorder="1"/>
    <xf numFmtId="0" fontId="0" fillId="0" borderId="0" xfId="0"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center" wrapText="1"/>
    </xf>
    <xf numFmtId="0" fontId="0" fillId="0" borderId="0" xfId="0" applyAlignment="1">
      <alignment wrapText="1"/>
    </xf>
    <xf numFmtId="0" fontId="0" fillId="0" borderId="0" xfId="0" applyAlignment="1">
      <alignment horizontal="center" vertical="center" wrapText="1"/>
    </xf>
    <xf numFmtId="0" fontId="0" fillId="0" borderId="28" xfId="0" applyBorder="1"/>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5" fontId="0" fillId="0" borderId="8" xfId="0" applyNumberFormat="1" applyBorder="1"/>
    <xf numFmtId="0" fontId="0" fillId="0" borderId="6" xfId="0" applyBorder="1"/>
    <xf numFmtId="0" fontId="0" fillId="0" borderId="29" xfId="0" applyBorder="1"/>
    <xf numFmtId="0" fontId="4" fillId="0" borderId="0" xfId="0" applyFont="1"/>
    <xf numFmtId="0" fontId="4" fillId="0" borderId="0" xfId="0" applyFont="1" applyAlignment="1">
      <alignment horizontal="left" vertical="center"/>
    </xf>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left" vertical="center" wrapText="1"/>
    </xf>
    <xf numFmtId="0" fontId="0" fillId="5" borderId="0" xfId="0" applyFill="1"/>
    <xf numFmtId="0" fontId="0" fillId="6" borderId="0" xfId="0" applyFill="1"/>
    <xf numFmtId="0" fontId="0" fillId="2" borderId="0" xfId="0" applyFill="1"/>
    <xf numFmtId="0" fontId="0" fillId="7" borderId="0" xfId="0" applyFill="1"/>
    <xf numFmtId="0" fontId="0" fillId="0" borderId="9" xfId="0" applyBorder="1" applyAlignment="1">
      <alignment horizontal="left"/>
    </xf>
    <xf numFmtId="0" fontId="1" fillId="0" borderId="0" xfId="0" applyFont="1"/>
    <xf numFmtId="0" fontId="0" fillId="0" borderId="0" xfId="0" applyAlignment="1">
      <alignment horizontal="left" wrapText="1"/>
    </xf>
    <xf numFmtId="0" fontId="0" fillId="5" borderId="1" xfId="0" applyFill="1" applyBorder="1" applyAlignment="1">
      <alignment horizontal="right"/>
    </xf>
    <xf numFmtId="0" fontId="0" fillId="6" borderId="1" xfId="0" applyFill="1" applyBorder="1" applyAlignment="1">
      <alignment horizontal="right"/>
    </xf>
    <xf numFmtId="48" fontId="0" fillId="2" borderId="1" xfId="0" applyNumberFormat="1" applyFill="1" applyBorder="1" applyAlignment="1">
      <alignment horizontal="right"/>
    </xf>
    <xf numFmtId="0" fontId="0" fillId="7" borderId="1" xfId="0" applyFill="1" applyBorder="1" applyAlignment="1">
      <alignment horizontal="right"/>
    </xf>
    <xf numFmtId="0" fontId="0" fillId="0" borderId="1" xfId="0" applyBorder="1" applyAlignment="1">
      <alignment horizontal="right"/>
    </xf>
    <xf numFmtId="2" fontId="0" fillId="6" borderId="1" xfId="0" applyNumberFormat="1" applyFill="1" applyBorder="1" applyAlignment="1">
      <alignment horizontal="right"/>
    </xf>
    <xf numFmtId="164" fontId="0" fillId="5" borderId="1" xfId="0" applyNumberFormat="1" applyFill="1" applyBorder="1" applyAlignment="1">
      <alignment horizontal="right"/>
    </xf>
    <xf numFmtId="164" fontId="0" fillId="6" borderId="1" xfId="0" applyNumberFormat="1" applyFill="1" applyBorder="1" applyAlignment="1">
      <alignment horizontal="right"/>
    </xf>
    <xf numFmtId="165" fontId="0" fillId="6" borderId="1" xfId="0" applyNumberFormat="1" applyFill="1" applyBorder="1" applyAlignment="1">
      <alignment horizontal="right"/>
    </xf>
    <xf numFmtId="166" fontId="0" fillId="6" borderId="1" xfId="0" applyNumberFormat="1" applyFill="1" applyBorder="1" applyAlignment="1">
      <alignment horizontal="right"/>
    </xf>
    <xf numFmtId="2" fontId="0" fillId="5" borderId="1" xfId="0" applyNumberFormat="1" applyFill="1" applyBorder="1" applyAlignment="1">
      <alignment horizontal="right"/>
    </xf>
    <xf numFmtId="2" fontId="0" fillId="0" borderId="1" xfId="0" applyNumberFormat="1" applyBorder="1" applyAlignment="1">
      <alignment horizontal="right"/>
    </xf>
    <xf numFmtId="167" fontId="0" fillId="6" borderId="1" xfId="0" applyNumberFormat="1" applyFill="1" applyBorder="1" applyAlignment="1">
      <alignment horizontal="right"/>
    </xf>
    <xf numFmtId="165" fontId="0" fillId="0" borderId="1" xfId="0" applyNumberFormat="1" applyBorder="1" applyAlignment="1">
      <alignment horizontal="right"/>
    </xf>
    <xf numFmtId="0" fontId="6" fillId="0" borderId="0" xfId="0" applyFont="1" applyAlignment="1">
      <alignment horizontal="left"/>
    </xf>
    <xf numFmtId="0" fontId="1" fillId="0" borderId="1" xfId="0" applyFont="1" applyBorder="1" applyAlignment="1">
      <alignment horizontal="left"/>
    </xf>
    <xf numFmtId="0" fontId="0" fillId="0" borderId="1" xfId="0" applyBorder="1" applyAlignment="1">
      <alignment horizontal="left" vertical="center" wrapText="1"/>
    </xf>
    <xf numFmtId="2" fontId="0" fillId="0" borderId="1" xfId="0" applyNumberFormat="1"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168" fontId="0" fillId="0" borderId="1" xfId="0" applyNumberFormat="1" applyBorder="1"/>
    <xf numFmtId="0" fontId="7" fillId="0" borderId="0" xfId="0" applyFont="1" applyAlignment="1">
      <alignment horizontal="left"/>
    </xf>
    <xf numFmtId="0" fontId="0" fillId="0" borderId="13" xfId="0" applyBorder="1" applyAlignment="1">
      <alignment horizontal="left"/>
    </xf>
    <xf numFmtId="164" fontId="0" fillId="6" borderId="14" xfId="0" applyNumberFormat="1" applyFill="1" applyBorder="1" applyAlignment="1">
      <alignment horizontal="right"/>
    </xf>
    <xf numFmtId="0" fontId="0" fillId="0" borderId="15" xfId="0" applyBorder="1" applyAlignment="1">
      <alignment horizontal="left"/>
    </xf>
    <xf numFmtId="0" fontId="0" fillId="0" borderId="8" xfId="0" applyBorder="1" applyAlignment="1">
      <alignment horizontal="left"/>
    </xf>
    <xf numFmtId="0" fontId="0" fillId="0" borderId="10" xfId="0" applyBorder="1" applyAlignment="1">
      <alignment horizontal="left"/>
    </xf>
    <xf numFmtId="0" fontId="0" fillId="0" borderId="12" xfId="0" applyBorder="1" applyAlignment="1">
      <alignment horizontal="left"/>
    </xf>
    <xf numFmtId="0" fontId="0" fillId="4" borderId="4" xfId="0" applyFill="1" applyBorder="1"/>
    <xf numFmtId="0" fontId="0" fillId="9" borderId="0" xfId="0" applyFill="1"/>
    <xf numFmtId="165" fontId="0" fillId="0" borderId="1" xfId="0" applyNumberFormat="1" applyBorder="1"/>
    <xf numFmtId="0" fontId="0" fillId="0" borderId="28"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xf numFmtId="0" fontId="0" fillId="0" borderId="12" xfId="0" applyBorder="1"/>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xf numFmtId="165" fontId="0" fillId="5" borderId="1" xfId="0" applyNumberFormat="1" applyFill="1" applyBorder="1"/>
    <xf numFmtId="0" fontId="0" fillId="5" borderId="11" xfId="0" applyFill="1" applyBorder="1"/>
    <xf numFmtId="0" fontId="0" fillId="5" borderId="12" xfId="0" applyFill="1" applyBorder="1"/>
    <xf numFmtId="0" fontId="0" fillId="5" borderId="8" xfId="0" applyFill="1" applyBorder="1"/>
    <xf numFmtId="0" fontId="0" fillId="5" borderId="10" xfId="0" applyFill="1" applyBorder="1"/>
    <xf numFmtId="0" fontId="0" fillId="0" borderId="37" xfId="0" applyBorder="1"/>
    <xf numFmtId="0" fontId="0" fillId="0" borderId="32" xfId="0" applyBorder="1"/>
    <xf numFmtId="165" fontId="0" fillId="0" borderId="38" xfId="0" applyNumberFormat="1" applyBorder="1"/>
    <xf numFmtId="0" fontId="0" fillId="0" borderId="39" xfId="0" applyBorder="1"/>
    <xf numFmtId="0" fontId="0" fillId="0" borderId="38" xfId="0" applyBorder="1"/>
    <xf numFmtId="164" fontId="0" fillId="0" borderId="1" xfId="0" applyNumberFormat="1" applyBorder="1" applyAlignment="1">
      <alignment horizontal="right"/>
    </xf>
    <xf numFmtId="165" fontId="0" fillId="0" borderId="1" xfId="0" applyNumberFormat="1" applyBorder="1" applyAlignment="1">
      <alignment horizontal="left"/>
    </xf>
    <xf numFmtId="165" fontId="0" fillId="5" borderId="1" xfId="0" applyNumberFormat="1" applyFill="1" applyBorder="1" applyAlignment="1">
      <alignment horizontal="right"/>
    </xf>
    <xf numFmtId="0" fontId="0" fillId="5" borderId="13" xfId="0" applyFill="1" applyBorder="1"/>
    <xf numFmtId="0" fontId="0" fillId="5" borderId="14" xfId="0" applyFill="1" applyBorder="1"/>
    <xf numFmtId="165" fontId="0" fillId="5" borderId="14" xfId="0" applyNumberFormat="1" applyFill="1" applyBorder="1"/>
    <xf numFmtId="165" fontId="0" fillId="5" borderId="11" xfId="0" applyNumberFormat="1" applyFill="1" applyBorder="1"/>
    <xf numFmtId="0" fontId="0" fillId="5" borderId="15" xfId="0" applyFill="1" applyBorder="1"/>
    <xf numFmtId="0" fontId="0" fillId="5" borderId="9" xfId="0" applyFill="1" applyBorder="1"/>
    <xf numFmtId="2" fontId="0" fillId="0" borderId="0" xfId="0" applyNumberFormat="1"/>
    <xf numFmtId="2" fontId="0" fillId="0" borderId="6" xfId="0" applyNumberFormat="1" applyBorder="1"/>
    <xf numFmtId="0" fontId="0" fillId="10" borderId="6" xfId="0" applyFill="1" applyBorder="1" applyAlignment="1" applyProtection="1">
      <alignment horizontal="right"/>
      <protection hidden="1"/>
    </xf>
    <xf numFmtId="0" fontId="0" fillId="10" borderId="0" xfId="0" applyFill="1" applyProtection="1">
      <protection hidden="1"/>
    </xf>
    <xf numFmtId="0" fontId="0" fillId="10" borderId="0" xfId="0" applyFill="1" applyAlignment="1" applyProtection="1">
      <alignment vertical="center"/>
      <protection hidden="1"/>
    </xf>
    <xf numFmtId="0" fontId="0" fillId="10" borderId="35" xfId="0" applyFill="1" applyBorder="1" applyAlignment="1" applyProtection="1">
      <alignment vertical="center"/>
      <protection hidden="1"/>
    </xf>
    <xf numFmtId="0" fontId="0" fillId="10" borderId="6" xfId="0" applyFill="1" applyBorder="1" applyAlignment="1" applyProtection="1">
      <alignment horizontal="left"/>
      <protection hidden="1"/>
    </xf>
    <xf numFmtId="0" fontId="0" fillId="9" borderId="34" xfId="0" applyFill="1" applyBorder="1" applyProtection="1">
      <protection hidden="1"/>
    </xf>
    <xf numFmtId="0" fontId="8" fillId="10" borderId="0" xfId="0" applyFont="1" applyFill="1" applyProtection="1">
      <protection hidden="1"/>
    </xf>
    <xf numFmtId="0" fontId="8" fillId="10" borderId="0" xfId="0" applyFont="1" applyFill="1" applyAlignment="1" applyProtection="1">
      <alignment vertical="center"/>
      <protection hidden="1"/>
    </xf>
    <xf numFmtId="0" fontId="0" fillId="10" borderId="29" xfId="0" applyFill="1" applyBorder="1" applyAlignment="1" applyProtection="1">
      <alignment horizontal="right"/>
      <protection hidden="1"/>
    </xf>
    <xf numFmtId="0" fontId="0" fillId="10" borderId="27" xfId="0" applyFill="1" applyBorder="1" applyProtection="1">
      <protection hidden="1"/>
    </xf>
    <xf numFmtId="0" fontId="0" fillId="10" borderId="27" xfId="0" applyFill="1" applyBorder="1" applyAlignment="1" applyProtection="1">
      <alignment vertical="center"/>
      <protection hidden="1"/>
    </xf>
    <xf numFmtId="0" fontId="0" fillId="10" borderId="40" xfId="0" applyFill="1" applyBorder="1" applyAlignment="1" applyProtection="1">
      <alignment vertical="center"/>
      <protection hidden="1"/>
    </xf>
    <xf numFmtId="0" fontId="0" fillId="8" borderId="0" xfId="0" applyFill="1" applyAlignment="1" applyProtection="1">
      <alignment horizontal="right"/>
      <protection hidden="1"/>
    </xf>
    <xf numFmtId="0" fontId="0" fillId="8" borderId="0" xfId="0" applyFill="1" applyProtection="1">
      <protection hidden="1"/>
    </xf>
    <xf numFmtId="0" fontId="0" fillId="8" borderId="0" xfId="0" applyFill="1" applyAlignment="1" applyProtection="1">
      <alignment vertical="center"/>
      <protection hidden="1"/>
    </xf>
    <xf numFmtId="0" fontId="0" fillId="8" borderId="35" xfId="0" applyFill="1" applyBorder="1" applyAlignment="1" applyProtection="1">
      <alignment vertical="center"/>
      <protection hidden="1"/>
    </xf>
    <xf numFmtId="0" fontId="11" fillId="8" borderId="0" xfId="0" applyFont="1" applyFill="1" applyAlignment="1" applyProtection="1">
      <alignment horizontal="left"/>
      <protection hidden="1"/>
    </xf>
    <xf numFmtId="0" fontId="9" fillId="8" borderId="0" xfId="0" applyFont="1" applyFill="1" applyAlignment="1" applyProtection="1">
      <alignment horizontal="center" vertical="center"/>
      <protection hidden="1"/>
    </xf>
    <xf numFmtId="0" fontId="0" fillId="8" borderId="6" xfId="0" applyFill="1" applyBorder="1" applyAlignment="1" applyProtection="1">
      <alignment horizontal="right"/>
      <protection hidden="1"/>
    </xf>
    <xf numFmtId="0" fontId="0" fillId="8" borderId="7" xfId="0" applyFill="1" applyBorder="1" applyProtection="1">
      <protection hidden="1"/>
    </xf>
    <xf numFmtId="0" fontId="0" fillId="8" borderId="29" xfId="0" applyFill="1" applyBorder="1" applyAlignment="1" applyProtection="1">
      <alignment horizontal="right"/>
      <protection hidden="1"/>
    </xf>
    <xf numFmtId="0" fontId="0" fillId="8" borderId="30" xfId="0" applyFill="1" applyBorder="1" applyProtection="1">
      <protection hidden="1"/>
    </xf>
    <xf numFmtId="0" fontId="0" fillId="0" borderId="0" xfId="0" applyProtection="1">
      <protection hidden="1"/>
    </xf>
    <xf numFmtId="0" fontId="0" fillId="8" borderId="27" xfId="0" applyFill="1" applyBorder="1" applyProtection="1">
      <protection hidden="1"/>
    </xf>
    <xf numFmtId="165" fontId="0" fillId="8" borderId="0" xfId="0" applyNumberFormat="1" applyFill="1" applyProtection="1">
      <protection hidden="1"/>
    </xf>
    <xf numFmtId="0" fontId="5" fillId="8" borderId="0" xfId="0" applyFont="1" applyFill="1" applyAlignment="1" applyProtection="1">
      <alignment horizontal="center"/>
      <protection hidden="1"/>
    </xf>
    <xf numFmtId="0" fontId="0" fillId="8" borderId="7" xfId="0" applyFill="1" applyBorder="1" applyAlignment="1" applyProtection="1">
      <alignment horizontal="center"/>
      <protection hidden="1"/>
    </xf>
    <xf numFmtId="48" fontId="0" fillId="8" borderId="0" xfId="0" applyNumberFormat="1" applyFill="1" applyProtection="1">
      <protection hidden="1"/>
    </xf>
    <xf numFmtId="2" fontId="0" fillId="8" borderId="27" xfId="0" applyNumberFormat="1" applyFill="1" applyBorder="1" applyProtection="1">
      <protection hidden="1"/>
    </xf>
    <xf numFmtId="2" fontId="0" fillId="8" borderId="0" xfId="0" applyNumberFormat="1" applyFill="1" applyProtection="1">
      <protection hidden="1"/>
    </xf>
    <xf numFmtId="0" fontId="0" fillId="8" borderId="7" xfId="0" applyFill="1" applyBorder="1" applyAlignment="1" applyProtection="1">
      <alignment horizontal="left"/>
      <protection hidden="1"/>
    </xf>
    <xf numFmtId="0" fontId="0" fillId="8" borderId="5" xfId="0" applyFill="1" applyBorder="1" applyProtection="1">
      <protection hidden="1"/>
    </xf>
    <xf numFmtId="0" fontId="0" fillId="8" borderId="35" xfId="0" applyFill="1" applyBorder="1" applyProtection="1">
      <protection hidden="1"/>
    </xf>
    <xf numFmtId="164" fontId="0" fillId="8" borderId="0" xfId="0" applyNumberFormat="1" applyFill="1" applyProtection="1">
      <protection hidden="1"/>
    </xf>
    <xf numFmtId="0" fontId="0" fillId="8" borderId="0" xfId="0" applyFill="1" applyAlignment="1" applyProtection="1">
      <alignment horizontal="center"/>
      <protection hidden="1"/>
    </xf>
    <xf numFmtId="0" fontId="0" fillId="8" borderId="0" xfId="0" applyFill="1" applyAlignment="1" applyProtection="1">
      <alignment horizontal="center" vertical="center"/>
      <protection hidden="1"/>
    </xf>
    <xf numFmtId="164" fontId="0" fillId="8" borderId="27" xfId="0" applyNumberFormat="1" applyFill="1" applyBorder="1" applyProtection="1">
      <protection hidden="1"/>
    </xf>
    <xf numFmtId="0" fontId="0" fillId="9" borderId="0" xfId="0" applyFill="1" applyProtection="1">
      <protection locked="0" hidden="1"/>
    </xf>
    <xf numFmtId="0" fontId="0" fillId="9" borderId="27" xfId="0" applyFill="1" applyBorder="1" applyProtection="1">
      <protection locked="0" hidden="1"/>
    </xf>
    <xf numFmtId="0" fontId="0" fillId="9" borderId="0" xfId="0" applyFill="1" applyAlignment="1" applyProtection="1">
      <alignment horizontal="right"/>
      <protection locked="0" hidden="1"/>
    </xf>
    <xf numFmtId="0" fontId="0" fillId="9" borderId="4" xfId="0" applyFill="1" applyBorder="1" applyProtection="1">
      <protection locked="0" hidden="1"/>
    </xf>
    <xf numFmtId="0" fontId="0" fillId="0" borderId="0" xfId="0" applyAlignment="1">
      <alignment horizontal="center"/>
    </xf>
    <xf numFmtId="0" fontId="20" fillId="8" borderId="6" xfId="0" applyFont="1" applyFill="1" applyBorder="1" applyAlignment="1" applyProtection="1">
      <alignment horizontal="right"/>
      <protection hidden="1"/>
    </xf>
    <xf numFmtId="165" fontId="0" fillId="0" borderId="0" xfId="0" applyNumberFormat="1" applyAlignment="1">
      <alignment horizontal="right"/>
    </xf>
    <xf numFmtId="0" fontId="0" fillId="0" borderId="1" xfId="0" applyBorder="1" applyAlignment="1">
      <alignment wrapText="1"/>
    </xf>
    <xf numFmtId="0" fontId="20" fillId="0" borderId="1" xfId="0" applyFont="1" applyBorder="1" applyAlignment="1">
      <alignment horizontal="right"/>
    </xf>
    <xf numFmtId="0" fontId="20" fillId="0" borderId="0" xfId="0" applyFont="1" applyAlignment="1">
      <alignment horizontal="right"/>
    </xf>
    <xf numFmtId="1" fontId="0" fillId="8" borderId="0" xfId="0" applyNumberFormat="1" applyFill="1" applyProtection="1">
      <protection hidden="1"/>
    </xf>
    <xf numFmtId="0" fontId="20" fillId="8" borderId="29" xfId="0" applyFont="1" applyFill="1" applyBorder="1" applyAlignment="1" applyProtection="1">
      <alignment horizontal="right"/>
      <protection hidden="1"/>
    </xf>
    <xf numFmtId="0" fontId="21" fillId="0" borderId="1" xfId="0" applyFont="1" applyBorder="1" applyAlignment="1">
      <alignment horizontal="left"/>
    </xf>
    <xf numFmtId="0" fontId="7" fillId="0" borderId="1" xfId="0" applyFont="1" applyBorder="1" applyAlignment="1">
      <alignment horizontal="left"/>
    </xf>
    <xf numFmtId="0" fontId="0" fillId="0" borderId="41" xfId="0" applyBorder="1" applyAlignment="1">
      <alignment horizontal="center" vertical="center" wrapText="1"/>
    </xf>
    <xf numFmtId="0" fontId="0" fillId="0" borderId="27" xfId="0" applyBorder="1" applyAlignment="1">
      <alignment horizontal="center"/>
    </xf>
    <xf numFmtId="0" fontId="20" fillId="0" borderId="1" xfId="0" applyFont="1" applyBorder="1" applyAlignment="1">
      <alignment horizontal="left"/>
    </xf>
    <xf numFmtId="0" fontId="0" fillId="8" borderId="6" xfId="0" applyFill="1" applyBorder="1" applyAlignment="1" applyProtection="1">
      <alignment horizontal="left"/>
      <protection hidden="1"/>
    </xf>
    <xf numFmtId="0" fontId="20" fillId="8" borderId="3" xfId="0" applyFont="1" applyFill="1" applyBorder="1" applyAlignment="1" applyProtection="1">
      <alignment horizontal="right"/>
      <protection hidden="1"/>
    </xf>
    <xf numFmtId="0" fontId="26" fillId="0" borderId="42" xfId="1" applyFont="1" applyBorder="1"/>
    <xf numFmtId="0" fontId="27" fillId="0" borderId="42" xfId="1" applyFont="1" applyBorder="1" applyAlignment="1">
      <alignment horizontal="center"/>
    </xf>
    <xf numFmtId="0" fontId="27" fillId="0" borderId="42" xfId="1" applyFont="1" applyBorder="1" applyAlignment="1">
      <alignment horizontal="left"/>
    </xf>
    <xf numFmtId="0" fontId="28" fillId="0" borderId="42" xfId="1" applyFont="1" applyBorder="1"/>
    <xf numFmtId="0" fontId="30" fillId="0" borderId="42" xfId="2" applyFont="1" applyFill="1" applyBorder="1" applyAlignment="1">
      <alignment vertical="center"/>
    </xf>
    <xf numFmtId="0" fontId="30" fillId="0" borderId="42" xfId="2" applyFont="1" applyFill="1" applyBorder="1" applyAlignment="1">
      <alignment horizontal="right" vertical="center"/>
    </xf>
    <xf numFmtId="0" fontId="26" fillId="0" borderId="42" xfId="1" applyFont="1" applyBorder="1" applyAlignment="1">
      <alignment horizontal="center"/>
    </xf>
    <xf numFmtId="0" fontId="26" fillId="0" borderId="42" xfId="1" applyFont="1" applyBorder="1" applyAlignment="1">
      <alignment horizontal="left"/>
    </xf>
    <xf numFmtId="0" fontId="28" fillId="0" borderId="42" xfId="1" applyFont="1" applyBorder="1" applyAlignment="1">
      <alignment horizontal="center"/>
    </xf>
    <xf numFmtId="0" fontId="31" fillId="0" borderId="42" xfId="1" applyFont="1" applyBorder="1"/>
    <xf numFmtId="0" fontId="32" fillId="12" borderId="42" xfId="1" applyFont="1" applyFill="1" applyBorder="1" applyAlignment="1">
      <alignment horizontal="center"/>
    </xf>
    <xf numFmtId="0" fontId="33" fillId="0" borderId="42" xfId="2" applyFont="1" applyFill="1" applyBorder="1" applyAlignment="1">
      <alignment vertical="center"/>
    </xf>
    <xf numFmtId="0" fontId="29" fillId="10" borderId="0" xfId="3" applyFill="1" applyBorder="1" applyAlignment="1" applyProtection="1">
      <alignment vertical="center"/>
      <protection hidden="1"/>
    </xf>
    <xf numFmtId="0" fontId="11" fillId="8" borderId="0" xfId="0" applyFont="1" applyFill="1" applyAlignment="1" applyProtection="1">
      <alignment horizontal="left" wrapText="1"/>
      <protection hidden="1"/>
    </xf>
    <xf numFmtId="0" fontId="0" fillId="9" borderId="4" xfId="0" applyFill="1" applyBorder="1" applyAlignment="1" applyProtection="1">
      <alignment horizontal="right"/>
      <protection locked="0" hidden="1"/>
    </xf>
    <xf numFmtId="0" fontId="0" fillId="8" borderId="5" xfId="0" applyFill="1" applyBorder="1" applyAlignment="1" applyProtection="1">
      <alignment horizontal="center"/>
      <protection hidden="1"/>
    </xf>
    <xf numFmtId="0" fontId="0" fillId="8" borderId="7" xfId="0" applyFill="1" applyBorder="1"/>
    <xf numFmtId="0" fontId="0" fillId="8" borderId="30" xfId="0" applyFill="1" applyBorder="1"/>
    <xf numFmtId="0" fontId="0" fillId="0" borderId="29" xfId="0" applyBorder="1" applyAlignment="1">
      <alignment horizontal="right"/>
    </xf>
    <xf numFmtId="0" fontId="0" fillId="8" borderId="3" xfId="0" applyFill="1" applyBorder="1" applyAlignment="1" applyProtection="1">
      <alignment horizontal="right"/>
      <protection hidden="1"/>
    </xf>
    <xf numFmtId="0" fontId="0" fillId="6" borderId="11" xfId="0" applyFill="1" applyBorder="1" applyAlignment="1">
      <alignment horizontal="right"/>
    </xf>
    <xf numFmtId="0" fontId="22" fillId="0" borderId="8" xfId="0" applyFont="1" applyBorder="1" applyAlignment="1">
      <alignment horizontal="left"/>
    </xf>
    <xf numFmtId="0" fontId="20" fillId="0" borderId="8" xfId="0" applyFont="1" applyBorder="1" applyAlignment="1">
      <alignment horizontal="left"/>
    </xf>
    <xf numFmtId="0" fontId="0" fillId="0" borderId="6" xfId="0" applyBorder="1" applyAlignment="1">
      <alignment horizontal="left"/>
    </xf>
    <xf numFmtId="0" fontId="0" fillId="5" borderId="0" xfId="0" applyFill="1" applyAlignment="1">
      <alignment horizontal="right"/>
    </xf>
    <xf numFmtId="0" fontId="0" fillId="0" borderId="7" xfId="0" applyBorder="1" applyAlignment="1">
      <alignment horizontal="left"/>
    </xf>
    <xf numFmtId="0" fontId="0" fillId="0" borderId="10" xfId="0" applyBorder="1"/>
    <xf numFmtId="165" fontId="0" fillId="6" borderId="11" xfId="0" applyNumberFormat="1" applyFill="1" applyBorder="1" applyAlignment="1">
      <alignment horizontal="right"/>
    </xf>
    <xf numFmtId="0" fontId="0" fillId="8" borderId="24" xfId="0" applyFill="1" applyBorder="1" applyAlignment="1" applyProtection="1">
      <alignment horizontal="right"/>
      <protection hidden="1"/>
    </xf>
    <xf numFmtId="0" fontId="0" fillId="0" borderId="26" xfId="0" applyBorder="1" applyAlignment="1">
      <alignment horizontal="left"/>
    </xf>
    <xf numFmtId="0" fontId="0" fillId="5" borderId="43" xfId="0" applyFill="1" applyBorder="1" applyAlignment="1">
      <alignment horizontal="right"/>
    </xf>
    <xf numFmtId="0" fontId="1" fillId="0" borderId="9" xfId="0" applyFont="1" applyBorder="1" applyAlignment="1">
      <alignment horizontal="left"/>
    </xf>
    <xf numFmtId="0" fontId="1" fillId="0" borderId="44" xfId="0" applyFont="1" applyBorder="1" applyAlignment="1">
      <alignment horizontal="left"/>
    </xf>
    <xf numFmtId="0" fontId="1" fillId="0" borderId="12" xfId="0" applyFont="1" applyBorder="1" applyAlignment="1">
      <alignment horizontal="left"/>
    </xf>
    <xf numFmtId="0" fontId="1" fillId="0" borderId="0" xfId="0" applyFont="1" applyAlignment="1">
      <alignment horizontal="left"/>
    </xf>
    <xf numFmtId="0" fontId="20" fillId="8" borderId="0" xfId="0" applyFont="1" applyFill="1" applyAlignment="1" applyProtection="1">
      <alignment horizontal="right"/>
      <protection hidden="1"/>
    </xf>
    <xf numFmtId="0" fontId="0" fillId="0" borderId="29" xfId="0" applyBorder="1" applyAlignment="1">
      <alignment horizontal="left"/>
    </xf>
    <xf numFmtId="0" fontId="0" fillId="0" borderId="29" xfId="0" applyBorder="1" applyAlignment="1" applyProtection="1">
      <alignment horizontal="right"/>
      <protection hidden="1"/>
    </xf>
    <xf numFmtId="0" fontId="0" fillId="8" borderId="7" xfId="0" applyFill="1" applyBorder="1" applyAlignment="1" applyProtection="1">
      <alignment vertical="center"/>
      <protection hidden="1"/>
    </xf>
    <xf numFmtId="0" fontId="0" fillId="8" borderId="30" xfId="0" applyFill="1" applyBorder="1" applyAlignment="1" applyProtection="1">
      <alignment vertical="center"/>
      <protection hidden="1"/>
    </xf>
    <xf numFmtId="0" fontId="0" fillId="8" borderId="5" xfId="0" applyFill="1" applyBorder="1" applyAlignment="1" applyProtection="1">
      <alignment vertical="center"/>
      <protection hidden="1"/>
    </xf>
    <xf numFmtId="2" fontId="0" fillId="6" borderId="11" xfId="0" applyNumberFormat="1" applyFill="1" applyBorder="1" applyAlignment="1">
      <alignment horizontal="right"/>
    </xf>
    <xf numFmtId="2" fontId="0" fillId="8" borderId="4" xfId="0" applyNumberFormat="1" applyFill="1" applyBorder="1" applyProtection="1">
      <protection hidden="1"/>
    </xf>
    <xf numFmtId="0" fontId="20" fillId="0" borderId="0" xfId="0" applyFont="1"/>
    <xf numFmtId="165" fontId="0" fillId="0" borderId="0" xfId="0" applyNumberFormat="1" applyProtection="1">
      <protection hidden="1"/>
    </xf>
    <xf numFmtId="165" fontId="0" fillId="8" borderId="27" xfId="0" applyNumberFormat="1" applyFill="1" applyBorder="1" applyProtection="1">
      <protection hidden="1"/>
    </xf>
    <xf numFmtId="0" fontId="0" fillId="0" borderId="30" xfId="0" applyBorder="1" applyAlignment="1">
      <alignment horizontal="left"/>
    </xf>
    <xf numFmtId="0" fontId="0" fillId="0" borderId="38" xfId="0" applyBorder="1" applyAlignment="1">
      <alignment horizontal="left"/>
    </xf>
    <xf numFmtId="0" fontId="0" fillId="6" borderId="37" xfId="0" applyFill="1" applyBorder="1" applyAlignment="1">
      <alignment horizontal="right"/>
    </xf>
    <xf numFmtId="0" fontId="1" fillId="0" borderId="39" xfId="0" applyFont="1" applyBorder="1" applyAlignment="1">
      <alignment horizontal="left"/>
    </xf>
    <xf numFmtId="0" fontId="0" fillId="8" borderId="0" xfId="0" applyFill="1" applyAlignment="1" applyProtection="1">
      <alignment horizontal="left"/>
      <protection hidden="1"/>
    </xf>
    <xf numFmtId="0" fontId="39" fillId="8" borderId="0" xfId="3" applyFont="1" applyFill="1" applyBorder="1" applyAlignment="1">
      <alignment vertical="center"/>
    </xf>
    <xf numFmtId="0" fontId="39" fillId="8" borderId="0" xfId="3" applyFont="1" applyFill="1" applyBorder="1" applyAlignment="1" applyProtection="1">
      <alignment vertical="center"/>
    </xf>
    <xf numFmtId="0" fontId="39" fillId="8" borderId="0" xfId="3" applyFont="1" applyFill="1" applyBorder="1" applyAlignment="1">
      <alignment horizontal="left" vertical="center" indent="4"/>
    </xf>
    <xf numFmtId="0" fontId="0" fillId="8" borderId="0" xfId="0" applyFill="1" applyAlignment="1" applyProtection="1">
      <alignment horizontal="left" indent="4"/>
      <protection hidden="1"/>
    </xf>
    <xf numFmtId="164" fontId="0" fillId="9" borderId="0" xfId="0" applyNumberFormat="1" applyFill="1" applyProtection="1">
      <protection locked="0" hidden="1"/>
    </xf>
    <xf numFmtId="0" fontId="7" fillId="8" borderId="0" xfId="0" applyFont="1" applyFill="1" applyAlignment="1" applyProtection="1">
      <alignment horizontal="center" vertical="center"/>
      <protection hidden="1"/>
    </xf>
    <xf numFmtId="0" fontId="7" fillId="9" borderId="0" xfId="0" applyFont="1" applyFill="1" applyAlignment="1" applyProtection="1">
      <alignment horizontal="center" vertical="center"/>
      <protection locked="0" hidden="1"/>
    </xf>
    <xf numFmtId="0" fontId="7" fillId="9" borderId="7" xfId="0" applyFont="1" applyFill="1" applyBorder="1" applyAlignment="1" applyProtection="1">
      <alignment horizontal="center" vertical="center"/>
      <protection locked="0" hidden="1"/>
    </xf>
    <xf numFmtId="0" fontId="0" fillId="5" borderId="24" xfId="0" applyFill="1" applyBorder="1" applyAlignment="1" applyProtection="1">
      <alignment horizontal="right" vertical="center"/>
      <protection hidden="1"/>
    </xf>
    <xf numFmtId="0" fontId="0" fillId="5" borderId="26" xfId="0" applyFill="1" applyBorder="1" applyAlignment="1" applyProtection="1">
      <alignment horizontal="right" vertical="center"/>
      <protection hidden="1"/>
    </xf>
    <xf numFmtId="0" fontId="11" fillId="8" borderId="0" xfId="0" applyFont="1" applyFill="1" applyAlignment="1" applyProtection="1">
      <alignment horizontal="left"/>
      <protection hidden="1"/>
    </xf>
    <xf numFmtId="0" fontId="7" fillId="8" borderId="24" xfId="0" applyFont="1" applyFill="1" applyBorder="1" applyAlignment="1" applyProtection="1">
      <alignment horizontal="center"/>
      <protection hidden="1"/>
    </xf>
    <xf numFmtId="0" fontId="7" fillId="8" borderId="25" xfId="0" applyFont="1" applyFill="1" applyBorder="1" applyAlignment="1" applyProtection="1">
      <alignment horizontal="center"/>
      <protection hidden="1"/>
    </xf>
    <xf numFmtId="0" fontId="7" fillId="8" borderId="26" xfId="0" applyFont="1" applyFill="1" applyBorder="1" applyAlignment="1" applyProtection="1">
      <alignment horizontal="center"/>
      <protection hidden="1"/>
    </xf>
    <xf numFmtId="0" fontId="7" fillId="9" borderId="0" xfId="0" applyFont="1" applyFill="1" applyAlignment="1" applyProtection="1">
      <alignment horizontal="center"/>
      <protection locked="0" hidden="1"/>
    </xf>
    <xf numFmtId="0" fontId="7" fillId="9" borderId="7" xfId="0" applyFont="1" applyFill="1" applyBorder="1" applyAlignment="1" applyProtection="1">
      <alignment horizontal="center"/>
      <protection locked="0" hidden="1"/>
    </xf>
    <xf numFmtId="0" fontId="7" fillId="8" borderId="3" xfId="0" applyFont="1" applyFill="1" applyBorder="1" applyAlignment="1" applyProtection="1">
      <alignment horizontal="center"/>
      <protection hidden="1"/>
    </xf>
    <xf numFmtId="0" fontId="7" fillId="8" borderId="4" xfId="0" applyFont="1" applyFill="1" applyBorder="1" applyAlignment="1" applyProtection="1">
      <alignment horizontal="center"/>
      <protection hidden="1"/>
    </xf>
    <xf numFmtId="0" fontId="7" fillId="8" borderId="5" xfId="0" applyFont="1" applyFill="1" applyBorder="1" applyAlignment="1" applyProtection="1">
      <alignment horizontal="center"/>
      <protection hidden="1"/>
    </xf>
    <xf numFmtId="0" fontId="7" fillId="9" borderId="25" xfId="0" applyFont="1" applyFill="1" applyBorder="1" applyAlignment="1" applyProtection="1">
      <alignment horizontal="center"/>
      <protection locked="0" hidden="1"/>
    </xf>
    <xf numFmtId="0" fontId="7" fillId="9" borderId="26" xfId="0" applyFont="1" applyFill="1" applyBorder="1" applyAlignment="1" applyProtection="1">
      <alignment horizontal="center"/>
      <protection locked="0" hidden="1"/>
    </xf>
    <xf numFmtId="0" fontId="13" fillId="8" borderId="0" xfId="0" applyFont="1" applyFill="1" applyAlignment="1" applyProtection="1">
      <alignment horizontal="center" vertical="center"/>
      <protection hidden="1"/>
    </xf>
    <xf numFmtId="0" fontId="10" fillId="3" borderId="3" xfId="0" applyFont="1" applyFill="1" applyBorder="1" applyAlignment="1" applyProtection="1">
      <alignment horizontal="left" vertical="center"/>
      <protection hidden="1"/>
    </xf>
    <xf numFmtId="0" fontId="10" fillId="3" borderId="4" xfId="0" applyFont="1" applyFill="1" applyBorder="1" applyAlignment="1" applyProtection="1">
      <alignment horizontal="left" vertical="center"/>
      <protection hidden="1"/>
    </xf>
    <xf numFmtId="0" fontId="10" fillId="3" borderId="6" xfId="0" applyFont="1" applyFill="1" applyBorder="1" applyAlignment="1" applyProtection="1">
      <alignment horizontal="left" vertical="center"/>
      <protection hidden="1"/>
    </xf>
    <xf numFmtId="0" fontId="10" fillId="3" borderId="0" xfId="0" applyFont="1" applyFill="1" applyAlignment="1" applyProtection="1">
      <alignment horizontal="left" vertical="center"/>
      <protection hidden="1"/>
    </xf>
    <xf numFmtId="0" fontId="5" fillId="8" borderId="0" xfId="0" applyFont="1" applyFill="1" applyAlignment="1" applyProtection="1">
      <alignment horizontal="center"/>
      <protection hidden="1"/>
    </xf>
    <xf numFmtId="0" fontId="0" fillId="0" borderId="27" xfId="0" applyBorder="1" applyAlignment="1" applyProtection="1">
      <alignment horizontal="center"/>
      <protection hidden="1"/>
    </xf>
    <xf numFmtId="0" fontId="0" fillId="0" borderId="30" xfId="0" applyBorder="1" applyAlignment="1" applyProtection="1">
      <alignment horizontal="center"/>
      <protection hidden="1"/>
    </xf>
    <xf numFmtId="0" fontId="39" fillId="8" borderId="0" xfId="3" applyFont="1" applyFill="1" applyBorder="1" applyAlignment="1" applyProtection="1">
      <alignment horizontal="left" vertical="center" indent="4"/>
      <protection locked="0"/>
    </xf>
    <xf numFmtId="0" fontId="7" fillId="8" borderId="6" xfId="0" applyFont="1" applyFill="1" applyBorder="1" applyAlignment="1" applyProtection="1">
      <alignment horizontal="center"/>
      <protection hidden="1"/>
    </xf>
    <xf numFmtId="0" fontId="7" fillId="8" borderId="0" xfId="0" applyFont="1" applyFill="1" applyAlignment="1" applyProtection="1">
      <alignment horizontal="center"/>
      <protection hidden="1"/>
    </xf>
    <xf numFmtId="0" fontId="7" fillId="8" borderId="7" xfId="0" applyFont="1" applyFill="1" applyBorder="1" applyAlignment="1" applyProtection="1">
      <alignment horizontal="center"/>
      <protection hidden="1"/>
    </xf>
    <xf numFmtId="0" fontId="0" fillId="8" borderId="4" xfId="0" applyFill="1" applyBorder="1" applyAlignment="1" applyProtection="1">
      <alignment horizontal="center"/>
      <protection hidden="1"/>
    </xf>
    <xf numFmtId="0" fontId="0" fillId="8" borderId="5" xfId="0" applyFill="1" applyBorder="1" applyAlignment="1" applyProtection="1">
      <alignment horizontal="center"/>
      <protection hidden="1"/>
    </xf>
    <xf numFmtId="0" fontId="0" fillId="8" borderId="27" xfId="0" applyFill="1" applyBorder="1" applyAlignment="1" applyProtection="1">
      <alignment horizontal="center"/>
      <protection hidden="1"/>
    </xf>
    <xf numFmtId="0" fontId="0" fillId="8" borderId="30" xfId="0" applyFill="1" applyBorder="1" applyAlignment="1" applyProtection="1">
      <alignment horizontal="center"/>
      <protection hidden="1"/>
    </xf>
    <xf numFmtId="0" fontId="11" fillId="8" borderId="0" xfId="0" applyFont="1" applyFill="1" applyAlignment="1" applyProtection="1">
      <alignment horizontal="left" wrapText="1"/>
      <protection hidden="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0" fillId="0" borderId="41"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0" fillId="0" borderId="20" xfId="0" applyBorder="1" applyAlignment="1">
      <alignment horizontal="center"/>
    </xf>
    <xf numFmtId="0" fontId="0" fillId="0" borderId="2" xfId="0" applyBorder="1" applyAlignment="1">
      <alignment horizontal="center"/>
    </xf>
    <xf numFmtId="0" fontId="0" fillId="0" borderId="0" xfId="0"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2" borderId="29" xfId="0" applyFill="1" applyBorder="1" applyAlignment="1">
      <alignment horizontal="center"/>
    </xf>
    <xf numFmtId="0" fontId="0" fillId="2" borderId="27" xfId="0" applyFill="1" applyBorder="1" applyAlignment="1">
      <alignment horizontal="center"/>
    </xf>
    <xf numFmtId="0" fontId="0" fillId="2" borderId="30"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0" borderId="6" xfId="0" applyBorder="1" applyAlignment="1">
      <alignment horizontal="center"/>
    </xf>
    <xf numFmtId="0" fontId="0" fillId="0" borderId="4" xfId="0" applyBorder="1" applyAlignment="1">
      <alignment horizontal="center" vertical="center"/>
    </xf>
    <xf numFmtId="0" fontId="0" fillId="0" borderId="29" xfId="0" applyBorder="1" applyAlignment="1">
      <alignment horizontal="center"/>
    </xf>
    <xf numFmtId="0" fontId="0" fillId="0" borderId="2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8" fillId="0" borderId="42" xfId="1" applyFont="1" applyBorder="1" applyAlignment="1">
      <alignment wrapText="1"/>
    </xf>
    <xf numFmtId="0" fontId="26" fillId="0" borderId="42" xfId="1" applyFont="1" applyBorder="1" applyAlignment="1">
      <alignment horizontal="center"/>
    </xf>
    <xf numFmtId="0" fontId="26" fillId="11" borderId="42" xfId="1" applyFont="1" applyFill="1" applyBorder="1" applyAlignment="1">
      <alignment horizontal="center"/>
    </xf>
    <xf numFmtId="0" fontId="32" fillId="12" borderId="42" xfId="1" applyFont="1" applyFill="1" applyBorder="1" applyAlignment="1">
      <alignment horizontal="left"/>
    </xf>
    <xf numFmtId="0" fontId="28" fillId="0" borderId="42" xfId="1" applyFont="1" applyBorder="1" applyAlignment="1">
      <alignment horizontal="left"/>
    </xf>
  </cellXfs>
  <cellStyles count="4">
    <cellStyle name="Hyperlink" xfId="3" builtinId="8"/>
    <cellStyle name="Hyperlink 2" xfId="2" xr:uid="{CF89DE2A-8666-4999-B46D-FE4B96D59DA6}"/>
    <cellStyle name="Normal" xfId="0" builtinId="0"/>
    <cellStyle name="Normal 4" xfId="1" xr:uid="{D510726C-F3BB-4C04-87BE-C05CAEFB21F0}"/>
  </cellStyles>
  <dxfs count="23">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font>
      <fill>
        <patternFill>
          <bgColor theme="0" tint="-0.1499679555650502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ont>
        <strike/>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Inner Current Loop  </a:t>
            </a:r>
            <a:endParaRPr lang="en-US"/>
          </a:p>
        </c:rich>
      </c:tx>
      <c:overlay val="0"/>
    </c:title>
    <c:autoTitleDeleted val="0"/>
    <c:plotArea>
      <c:layout/>
      <c:scatterChart>
        <c:scatterStyle val="lineMarker"/>
        <c:varyColors val="0"/>
        <c:ser>
          <c:idx val="0"/>
          <c:order val="0"/>
          <c:tx>
            <c:v>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118.16465699240842</c:v>
                </c:pt>
                <c:pt idx="1">
                  <c:v>115.94243053528687</c:v>
                </c:pt>
                <c:pt idx="2">
                  <c:v>113.72020124883612</c:v>
                </c:pt>
                <c:pt idx="3">
                  <c:v>111.49796724279639</c:v>
                </c:pt>
                <c:pt idx="4">
                  <c:v>109.27572536405376</c:v>
                </c:pt>
                <c:pt idx="5">
                  <c:v>107.05347035297964</c:v>
                </c:pt>
                <c:pt idx="6">
                  <c:v>104.83119343621361</c:v>
                </c:pt>
                <c:pt idx="7">
                  <c:v>102.60887997954471</c:v>
                </c:pt>
                <c:pt idx="8">
                  <c:v>100.38650557340944</c:v>
                </c:pt>
                <c:pt idx="9">
                  <c:v>98.16402950512996</c:v>
                </c:pt>
                <c:pt idx="10">
                  <c:v>95.94138387557706</c:v>
                </c:pt>
                <c:pt idx="11">
                  <c:v>93.718455460315027</c:v>
                </c:pt>
                <c:pt idx="12">
                  <c:v>91.495055495667145</c:v>
                </c:pt>
                <c:pt idx="13">
                  <c:v>89.270869399712396</c:v>
                </c:pt>
                <c:pt idx="14">
                  <c:v>87.045373237453617</c:v>
                </c:pt>
                <c:pt idx="15">
                  <c:v>84.817695306675574</c:v>
                </c:pt>
                <c:pt idx="16">
                  <c:v>82.586387822002592</c:v>
                </c:pt>
                <c:pt idx="17">
                  <c:v>80.349053146126707</c:v>
                </c:pt>
                <c:pt idx="18">
                  <c:v>78.101739683735218</c:v>
                </c:pt>
                <c:pt idx="19">
                  <c:v>75.83798656432424</c:v>
                </c:pt>
                <c:pt idx="20">
                  <c:v>73.547369050190639</c:v>
                </c:pt>
                <c:pt idx="21">
                  <c:v>71.213429234455305</c:v>
                </c:pt>
                <c:pt idx="22">
                  <c:v>68.811094669368217</c:v>
                </c:pt>
                <c:pt idx="23">
                  <c:v>66.304315382282766</c:v>
                </c:pt>
                <c:pt idx="24">
                  <c:v>63.645858858054261</c:v>
                </c:pt>
                <c:pt idx="25">
                  <c:v>60.782455714356239</c:v>
                </c:pt>
                <c:pt idx="26">
                  <c:v>57.667590470990419</c:v>
                </c:pt>
                <c:pt idx="27">
                  <c:v>54.278676320358095</c:v>
                </c:pt>
                <c:pt idx="28">
                  <c:v>50.628402119102496</c:v>
                </c:pt>
                <c:pt idx="29">
                  <c:v>46.76180301301148</c:v>
                </c:pt>
                <c:pt idx="30">
                  <c:v>42.742452743060575</c:v>
                </c:pt>
                <c:pt idx="31">
                  <c:v>38.638949057878229</c:v>
                </c:pt>
                <c:pt idx="32">
                  <c:v>34.518792656853357</c:v>
                </c:pt>
                <c:pt idx="33">
                  <c:v>30.448846501511952</c:v>
                </c:pt>
                <c:pt idx="34">
                  <c:v>26.497245400725049</c:v>
                </c:pt>
                <c:pt idx="35">
                  <c:v>22.730935320623061</c:v>
                </c:pt>
                <c:pt idx="36">
                  <c:v>19.205332800903754</c:v>
                </c:pt>
                <c:pt idx="37">
                  <c:v>15.949105797751134</c:v>
                </c:pt>
                <c:pt idx="38">
                  <c:v>12.954402752685558</c:v>
                </c:pt>
                <c:pt idx="39">
                  <c:v>10.181114294445319</c:v>
                </c:pt>
                <c:pt idx="40">
                  <c:v>7.5718587166620113</c:v>
                </c:pt>
                <c:pt idx="41">
                  <c:v>5.0665859367920731</c:v>
                </c:pt>
                <c:pt idx="42">
                  <c:v>2.6095774307912247</c:v>
                </c:pt>
                <c:pt idx="43">
                  <c:v>0.14898857516602415</c:v>
                </c:pt>
                <c:pt idx="44">
                  <c:v>-2.3674286405259277</c:v>
                </c:pt>
                <c:pt idx="45">
                  <c:v>-4.9963793950726458</c:v>
                </c:pt>
                <c:pt idx="46">
                  <c:v>-7.7988137070675698</c:v>
                </c:pt>
                <c:pt idx="47">
                  <c:v>-10.832035037365701</c:v>
                </c:pt>
                <c:pt idx="48">
                  <c:v>-14.134796253137779</c:v>
                </c:pt>
                <c:pt idx="49">
                  <c:v>-17.713589501524012</c:v>
                </c:pt>
                <c:pt idx="50">
                  <c:v>-21.541041852861152</c:v>
                </c:pt>
                <c:pt idx="51">
                  <c:v>-25.568261384462012</c:v>
                </c:pt>
                <c:pt idx="52">
                  <c:v>-29.741751735329419</c:v>
                </c:pt>
                <c:pt idx="53">
                  <c:v>-34.015211161004572</c:v>
                </c:pt>
                <c:pt idx="54">
                  <c:v>-38.353807801506392</c:v>
                </c:pt>
              </c:numCache>
            </c:numRef>
          </c:yVal>
          <c:smooth val="0"/>
          <c:extLst>
            <c:ext xmlns:c16="http://schemas.microsoft.com/office/drawing/2014/chart" uri="{C3380CC4-5D6E-409C-BE32-E72D297353CC}">
              <c16:uniqueId val="{00000000-8CC5-45FF-B296-BE658513BD7D}"/>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8CC5-45FF-B296-BE658513BD7D}"/>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C5-45FF-B296-BE658513BD7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Compensation!$AB$9</c:f>
              <c:numCache>
                <c:formatCode>General</c:formatCode>
                <c:ptCount val="1"/>
                <c:pt idx="0">
                  <c:v>825.24785306908689</c:v>
                </c:pt>
              </c:numCache>
            </c:numRef>
          </c:xVal>
          <c:yVal>
            <c:numRef>
              <c:f>Compensation!$AE$9</c:f>
              <c:numCache>
                <c:formatCode>General</c:formatCode>
                <c:ptCount val="1"/>
                <c:pt idx="0">
                  <c:v>56.848652323116312</c:v>
                </c:pt>
              </c:numCache>
            </c:numRef>
          </c:yVal>
          <c:smooth val="0"/>
          <c:extLst>
            <c:ext xmlns:c16="http://schemas.microsoft.com/office/drawing/2014/chart" uri="{C3380CC4-5D6E-409C-BE32-E72D297353CC}">
              <c16:uniqueId val="{00000003-8CC5-45FF-B296-BE658513BD7D}"/>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C5-45FF-B296-BE658513BD7D}"/>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Compensation!$AB$10</c:f>
              <c:numCache>
                <c:formatCode>General</c:formatCode>
                <c:ptCount val="1"/>
                <c:pt idx="0">
                  <c:v>10638.699404538456</c:v>
                </c:pt>
              </c:numCache>
            </c:numRef>
          </c:xVal>
          <c:yVal>
            <c:numRef>
              <c:f>Compensation!$AE$10</c:f>
              <c:numCache>
                <c:formatCode>General</c:formatCode>
                <c:ptCount val="1"/>
                <c:pt idx="0">
                  <c:v>18.392296899889597</c:v>
                </c:pt>
              </c:numCache>
            </c:numRef>
          </c:yVal>
          <c:smooth val="0"/>
          <c:extLst>
            <c:ext xmlns:c16="http://schemas.microsoft.com/office/drawing/2014/chart" uri="{C3380CC4-5D6E-409C-BE32-E72D297353CC}">
              <c16:uniqueId val="{00000005-8CC5-45FF-B296-BE658513BD7D}"/>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C5-45FF-B296-BE658513BD7D}"/>
                </c:ext>
              </c:extLst>
            </c:dLbl>
            <c:spPr>
              <a:noFill/>
              <a:ln>
                <a:noFill/>
              </a:ln>
              <a:effectLst/>
            </c:spPr>
            <c:txPr>
              <a:bodyPr/>
              <a:lstStyle/>
              <a:p>
                <a:pPr>
                  <a:defRPr sz="1200"/>
                </a:pPr>
                <a:endParaRPr lang="de-DE"/>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Compensation!$AB$11</c:f>
              <c:numCache>
                <c:formatCode>General</c:formatCode>
                <c:ptCount val="1"/>
                <c:pt idx="0">
                  <c:v>185495.27166887565</c:v>
                </c:pt>
              </c:numCache>
            </c:numRef>
          </c:xVal>
          <c:yVal>
            <c:numRef>
              <c:f>Compensation!$AE$11</c:f>
              <c:numCache>
                <c:formatCode>General</c:formatCode>
                <c:ptCount val="1"/>
                <c:pt idx="0">
                  <c:v>-12.168750384838303</c:v>
                </c:pt>
              </c:numCache>
            </c:numRef>
          </c:yVal>
          <c:smooth val="0"/>
          <c:extLst>
            <c:ext xmlns:c16="http://schemas.microsoft.com/office/drawing/2014/chart" uri="{C3380CC4-5D6E-409C-BE32-E72D297353CC}">
              <c16:uniqueId val="{00000007-8CC5-45FF-B296-BE658513BD7D}"/>
            </c:ext>
          </c:extLst>
        </c:ser>
        <c:dLbls>
          <c:showLegendKey val="0"/>
          <c:showVal val="0"/>
          <c:showCatName val="0"/>
          <c:showSerName val="0"/>
          <c:showPercent val="0"/>
          <c:showBubbleSize val="0"/>
        </c:dLbls>
        <c:axId val="180812800"/>
        <c:axId val="182049408"/>
      </c:scatterChart>
      <c:scatterChart>
        <c:scatterStyle val="lineMarker"/>
        <c:varyColors val="0"/>
        <c:ser>
          <c:idx val="1"/>
          <c:order val="1"/>
          <c:tx>
            <c:v>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89.935664936807299</c:v>
                </c:pt>
                <c:pt idx="1">
                  <c:v>89.91690809999352</c:v>
                </c:pt>
                <c:pt idx="2">
                  <c:v>89.892682747524859</c:v>
                </c:pt>
                <c:pt idx="3">
                  <c:v>89.861394574554041</c:v>
                </c:pt>
                <c:pt idx="4">
                  <c:v>89.82098450228105</c:v>
                </c:pt>
                <c:pt idx="5">
                  <c:v>89.768793225316571</c:v>
                </c:pt>
                <c:pt idx="6">
                  <c:v>89.701386327962169</c:v>
                </c:pt>
                <c:pt idx="7">
                  <c:v>89.614328542644486</c:v>
                </c:pt>
                <c:pt idx="8">
                  <c:v>89.501892472307532</c:v>
                </c:pt>
                <c:pt idx="9">
                  <c:v>89.35668299150025</c:v>
                </c:pt>
                <c:pt idx="10">
                  <c:v>89.169153435105542</c:v>
                </c:pt>
                <c:pt idx="11">
                  <c:v>88.926983516614641</c:v>
                </c:pt>
                <c:pt idx="12">
                  <c:v>88.614281870864744</c:v>
                </c:pt>
                <c:pt idx="13">
                  <c:v>88.210568983130059</c:v>
                </c:pt>
                <c:pt idx="14">
                  <c:v>87.689491261187953</c:v>
                </c:pt>
                <c:pt idx="15">
                  <c:v>87.017219486809608</c:v>
                </c:pt>
                <c:pt idx="16">
                  <c:v>86.150506928199775</c:v>
                </c:pt>
                <c:pt idx="17">
                  <c:v>85.034449947886813</c:v>
                </c:pt>
                <c:pt idx="18">
                  <c:v>83.600160085463116</c:v>
                </c:pt>
                <c:pt idx="19">
                  <c:v>81.762922925536898</c:v>
                </c:pt>
                <c:pt idx="20">
                  <c:v>79.422158246934032</c:v>
                </c:pt>
                <c:pt idx="21">
                  <c:v>76.465830631232052</c:v>
                </c:pt>
                <c:pt idx="22">
                  <c:v>72.783941067126563</c:v>
                </c:pt>
                <c:pt idx="23">
                  <c:v>68.297460131576671</c:v>
                </c:pt>
                <c:pt idx="24">
                  <c:v>63.007113435820081</c:v>
                </c:pt>
                <c:pt idx="25">
                  <c:v>57.054292431799546</c:v>
                </c:pt>
                <c:pt idx="26">
                  <c:v>50.762030051076792</c:v>
                </c:pt>
                <c:pt idx="27">
                  <c:v>44.608779204558083</c:v>
                </c:pt>
                <c:pt idx="28">
                  <c:v>39.121535268232442</c:v>
                </c:pt>
                <c:pt idx="29">
                  <c:v>34.746550345017305</c:v>
                </c:pt>
                <c:pt idx="30">
                  <c:v>31.777907437604384</c:v>
                </c:pt>
                <c:pt idx="31">
                  <c:v>30.36384036084123</c:v>
                </c:pt>
                <c:pt idx="32">
                  <c:v>30.548170255309294</c:v>
                </c:pt>
                <c:pt idx="33">
                  <c:v>32.297139625037758</c:v>
                </c:pt>
                <c:pt idx="34">
                  <c:v>35.488345749414755</c:v>
                </c:pt>
                <c:pt idx="35">
                  <c:v>39.869637295160693</c:v>
                </c:pt>
                <c:pt idx="36">
                  <c:v>45.02635283954308</c:v>
                </c:pt>
                <c:pt idx="37">
                  <c:v>50.409663611633313</c:v>
                </c:pt>
                <c:pt idx="38">
                  <c:v>55.442350828318965</c:v>
                </c:pt>
                <c:pt idx="39">
                  <c:v>59.644717709375314</c:v>
                </c:pt>
                <c:pt idx="40">
                  <c:v>62.700480172588023</c:v>
                </c:pt>
                <c:pt idx="41">
                  <c:v>64.441943292464003</c:v>
                </c:pt>
                <c:pt idx="42">
                  <c:v>64.794821494969156</c:v>
                </c:pt>
                <c:pt idx="43">
                  <c:v>63.729708041396748</c:v>
                </c:pt>
                <c:pt idx="44">
                  <c:v>61.24472438400938</c:v>
                </c:pt>
                <c:pt idx="45">
                  <c:v>57.38512292499879</c:v>
                </c:pt>
                <c:pt idx="46">
                  <c:v>52.292122519475697</c:v>
                </c:pt>
                <c:pt idx="47">
                  <c:v>46.253380006699714</c:v>
                </c:pt>
                <c:pt idx="48">
                  <c:v>39.706362567149569</c:v>
                </c:pt>
                <c:pt idx="49">
                  <c:v>33.159195124954856</c:v>
                </c:pt>
                <c:pt idx="50">
                  <c:v>27.059647133928138</c:v>
                </c:pt>
                <c:pt idx="51">
                  <c:v>21.695726521792178</c:v>
                </c:pt>
                <c:pt idx="52">
                  <c:v>17.17878973256834</c:v>
                </c:pt>
                <c:pt idx="53">
                  <c:v>13.488812122089211</c:v>
                </c:pt>
                <c:pt idx="54">
                  <c:v>10.534540982731134</c:v>
                </c:pt>
              </c:numCache>
            </c:numRef>
          </c:yVal>
          <c:smooth val="0"/>
          <c:extLst>
            <c:ext xmlns:c16="http://schemas.microsoft.com/office/drawing/2014/chart" uri="{C3380CC4-5D6E-409C-BE32-E72D297353CC}">
              <c16:uniqueId val="{00000008-8CC5-45FF-B296-BE658513BD7D}"/>
            </c:ext>
          </c:extLst>
        </c:ser>
        <c:dLbls>
          <c:showLegendKey val="0"/>
          <c:showVal val="0"/>
          <c:showCatName val="0"/>
          <c:showSerName val="0"/>
          <c:showPercent val="0"/>
          <c:showBubbleSize val="0"/>
        </c:dLbls>
        <c:axId val="182350592"/>
        <c:axId val="182310016"/>
      </c:scatterChart>
      <c:valAx>
        <c:axId val="1808128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2049408"/>
        <c:crosses val="autoZero"/>
        <c:crossBetween val="midCat"/>
      </c:valAx>
      <c:valAx>
        <c:axId val="182049408"/>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0812800"/>
        <c:crosses val="autoZero"/>
        <c:crossBetween val="midCat"/>
        <c:majorUnit val="20"/>
      </c:valAx>
      <c:valAx>
        <c:axId val="18231001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82350592"/>
        <c:crosses val="max"/>
        <c:crossBetween val="midCat"/>
        <c:majorUnit val="45"/>
      </c:valAx>
      <c:valAx>
        <c:axId val="182350592"/>
        <c:scaling>
          <c:logBase val="10"/>
          <c:orientation val="minMax"/>
        </c:scaling>
        <c:delete val="1"/>
        <c:axPos val="b"/>
        <c:numFmt formatCode="General" sourceLinked="1"/>
        <c:majorTickMark val="out"/>
        <c:minorTickMark val="none"/>
        <c:tickLblPos val="nextTo"/>
        <c:crossAx val="18231001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Open-Loop Current  </a:t>
            </a:r>
            <a:endParaRPr lang="en-US"/>
          </a:p>
        </c:rich>
      </c:tx>
      <c:overlay val="0"/>
    </c:title>
    <c:autoTitleDeleted val="0"/>
    <c:plotArea>
      <c:layout/>
      <c:scatterChart>
        <c:scatterStyle val="lineMarker"/>
        <c:varyColors val="0"/>
        <c:ser>
          <c:idx val="0"/>
          <c:order val="0"/>
          <c:tx>
            <c:v>Current Loop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118.16465699240842</c:v>
                </c:pt>
                <c:pt idx="1">
                  <c:v>115.94243053528687</c:v>
                </c:pt>
                <c:pt idx="2">
                  <c:v>113.72020124883612</c:v>
                </c:pt>
                <c:pt idx="3">
                  <c:v>111.49796724279639</c:v>
                </c:pt>
                <c:pt idx="4">
                  <c:v>109.27572536405376</c:v>
                </c:pt>
                <c:pt idx="5">
                  <c:v>107.05347035297964</c:v>
                </c:pt>
                <c:pt idx="6">
                  <c:v>104.83119343621361</c:v>
                </c:pt>
                <c:pt idx="7">
                  <c:v>102.60887997954471</c:v>
                </c:pt>
                <c:pt idx="8">
                  <c:v>100.38650557340944</c:v>
                </c:pt>
                <c:pt idx="9">
                  <c:v>98.16402950512996</c:v>
                </c:pt>
                <c:pt idx="10">
                  <c:v>95.94138387557706</c:v>
                </c:pt>
                <c:pt idx="11">
                  <c:v>93.718455460315027</c:v>
                </c:pt>
                <c:pt idx="12">
                  <c:v>91.495055495667145</c:v>
                </c:pt>
                <c:pt idx="13">
                  <c:v>89.270869399712396</c:v>
                </c:pt>
                <c:pt idx="14">
                  <c:v>87.045373237453617</c:v>
                </c:pt>
                <c:pt idx="15">
                  <c:v>84.817695306675574</c:v>
                </c:pt>
                <c:pt idx="16">
                  <c:v>82.586387822002592</c:v>
                </c:pt>
                <c:pt idx="17">
                  <c:v>80.349053146126707</c:v>
                </c:pt>
                <c:pt idx="18">
                  <c:v>78.101739683735218</c:v>
                </c:pt>
                <c:pt idx="19">
                  <c:v>75.83798656432424</c:v>
                </c:pt>
                <c:pt idx="20">
                  <c:v>73.547369050190639</c:v>
                </c:pt>
                <c:pt idx="21">
                  <c:v>71.213429234455305</c:v>
                </c:pt>
                <c:pt idx="22">
                  <c:v>68.811094669368217</c:v>
                </c:pt>
                <c:pt idx="23">
                  <c:v>66.304315382282766</c:v>
                </c:pt>
                <c:pt idx="24">
                  <c:v>63.645858858054261</c:v>
                </c:pt>
                <c:pt idx="25">
                  <c:v>60.782455714356239</c:v>
                </c:pt>
                <c:pt idx="26">
                  <c:v>57.667590470990419</c:v>
                </c:pt>
                <c:pt idx="27">
                  <c:v>54.278676320358095</c:v>
                </c:pt>
                <c:pt idx="28">
                  <c:v>50.628402119102496</c:v>
                </c:pt>
                <c:pt idx="29">
                  <c:v>46.76180301301148</c:v>
                </c:pt>
                <c:pt idx="30">
                  <c:v>42.742452743060575</c:v>
                </c:pt>
                <c:pt idx="31">
                  <c:v>38.638949057878229</c:v>
                </c:pt>
                <c:pt idx="32">
                  <c:v>34.518792656853357</c:v>
                </c:pt>
                <c:pt idx="33">
                  <c:v>30.448846501511952</c:v>
                </c:pt>
                <c:pt idx="34">
                  <c:v>26.497245400725049</c:v>
                </c:pt>
                <c:pt idx="35">
                  <c:v>22.730935320623061</c:v>
                </c:pt>
                <c:pt idx="36">
                  <c:v>19.205332800903754</c:v>
                </c:pt>
                <c:pt idx="37">
                  <c:v>15.949105797751134</c:v>
                </c:pt>
                <c:pt idx="38">
                  <c:v>12.954402752685558</c:v>
                </c:pt>
                <c:pt idx="39">
                  <c:v>10.181114294445319</c:v>
                </c:pt>
                <c:pt idx="40">
                  <c:v>7.5718587166620113</c:v>
                </c:pt>
                <c:pt idx="41">
                  <c:v>5.0665859367920731</c:v>
                </c:pt>
                <c:pt idx="42">
                  <c:v>2.6095774307912247</c:v>
                </c:pt>
                <c:pt idx="43">
                  <c:v>0.14898857516602415</c:v>
                </c:pt>
                <c:pt idx="44">
                  <c:v>-2.3674286405259277</c:v>
                </c:pt>
                <c:pt idx="45">
                  <c:v>-4.9963793950726458</c:v>
                </c:pt>
                <c:pt idx="46">
                  <c:v>-7.7988137070675698</c:v>
                </c:pt>
                <c:pt idx="47">
                  <c:v>-10.832035037365701</c:v>
                </c:pt>
                <c:pt idx="48">
                  <c:v>-14.134796253137779</c:v>
                </c:pt>
                <c:pt idx="49">
                  <c:v>-17.713589501524012</c:v>
                </c:pt>
                <c:pt idx="50">
                  <c:v>-21.541041852861152</c:v>
                </c:pt>
                <c:pt idx="51">
                  <c:v>-25.568261384462012</c:v>
                </c:pt>
                <c:pt idx="52">
                  <c:v>-29.741751735329419</c:v>
                </c:pt>
                <c:pt idx="53">
                  <c:v>-34.015211161004572</c:v>
                </c:pt>
                <c:pt idx="54">
                  <c:v>-38.353807801506392</c:v>
                </c:pt>
              </c:numCache>
            </c:numRef>
          </c:yVal>
          <c:smooth val="0"/>
          <c:extLst>
            <c:ext xmlns:c16="http://schemas.microsoft.com/office/drawing/2014/chart" uri="{C3380CC4-5D6E-409C-BE32-E72D297353CC}">
              <c16:uniqueId val="{00000000-50F6-4DF3-A35C-308D1FB32DF8}"/>
            </c:ext>
          </c:extLst>
        </c:ser>
        <c:dLbls>
          <c:showLegendKey val="0"/>
          <c:showVal val="0"/>
          <c:showCatName val="0"/>
          <c:showSerName val="0"/>
          <c:showPercent val="0"/>
          <c:showBubbleSize val="0"/>
        </c:dLbls>
        <c:axId val="222780416"/>
        <c:axId val="222795648"/>
      </c:scatterChart>
      <c:scatterChart>
        <c:scatterStyle val="lineMarker"/>
        <c:varyColors val="0"/>
        <c:ser>
          <c:idx val="1"/>
          <c:order val="1"/>
          <c:tx>
            <c:v>Current Loop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89.935664936807299</c:v>
                </c:pt>
                <c:pt idx="1">
                  <c:v>89.91690809999352</c:v>
                </c:pt>
                <c:pt idx="2">
                  <c:v>89.892682747524859</c:v>
                </c:pt>
                <c:pt idx="3">
                  <c:v>89.861394574554041</c:v>
                </c:pt>
                <c:pt idx="4">
                  <c:v>89.82098450228105</c:v>
                </c:pt>
                <c:pt idx="5">
                  <c:v>89.768793225316571</c:v>
                </c:pt>
                <c:pt idx="6">
                  <c:v>89.701386327962169</c:v>
                </c:pt>
                <c:pt idx="7">
                  <c:v>89.614328542644486</c:v>
                </c:pt>
                <c:pt idx="8">
                  <c:v>89.501892472307532</c:v>
                </c:pt>
                <c:pt idx="9">
                  <c:v>89.35668299150025</c:v>
                </c:pt>
                <c:pt idx="10">
                  <c:v>89.169153435105542</c:v>
                </c:pt>
                <c:pt idx="11">
                  <c:v>88.926983516614641</c:v>
                </c:pt>
                <c:pt idx="12">
                  <c:v>88.614281870864744</c:v>
                </c:pt>
                <c:pt idx="13">
                  <c:v>88.210568983130059</c:v>
                </c:pt>
                <c:pt idx="14">
                  <c:v>87.689491261187953</c:v>
                </c:pt>
                <c:pt idx="15">
                  <c:v>87.017219486809608</c:v>
                </c:pt>
                <c:pt idx="16">
                  <c:v>86.150506928199775</c:v>
                </c:pt>
                <c:pt idx="17">
                  <c:v>85.034449947886813</c:v>
                </c:pt>
                <c:pt idx="18">
                  <c:v>83.600160085463116</c:v>
                </c:pt>
                <c:pt idx="19">
                  <c:v>81.762922925536898</c:v>
                </c:pt>
                <c:pt idx="20">
                  <c:v>79.422158246934032</c:v>
                </c:pt>
                <c:pt idx="21">
                  <c:v>76.465830631232052</c:v>
                </c:pt>
                <c:pt idx="22">
                  <c:v>72.783941067126563</c:v>
                </c:pt>
                <c:pt idx="23">
                  <c:v>68.297460131576671</c:v>
                </c:pt>
                <c:pt idx="24">
                  <c:v>63.007113435820081</c:v>
                </c:pt>
                <c:pt idx="25">
                  <c:v>57.054292431799546</c:v>
                </c:pt>
                <c:pt idx="26">
                  <c:v>50.762030051076792</c:v>
                </c:pt>
                <c:pt idx="27">
                  <c:v>44.608779204558083</c:v>
                </c:pt>
                <c:pt idx="28">
                  <c:v>39.121535268232442</c:v>
                </c:pt>
                <c:pt idx="29">
                  <c:v>34.746550345017305</c:v>
                </c:pt>
                <c:pt idx="30">
                  <c:v>31.777907437604384</c:v>
                </c:pt>
                <c:pt idx="31">
                  <c:v>30.36384036084123</c:v>
                </c:pt>
                <c:pt idx="32">
                  <c:v>30.548170255309294</c:v>
                </c:pt>
                <c:pt idx="33">
                  <c:v>32.297139625037758</c:v>
                </c:pt>
                <c:pt idx="34">
                  <c:v>35.488345749414755</c:v>
                </c:pt>
                <c:pt idx="35">
                  <c:v>39.869637295160693</c:v>
                </c:pt>
                <c:pt idx="36">
                  <c:v>45.02635283954308</c:v>
                </c:pt>
                <c:pt idx="37">
                  <c:v>50.409663611633313</c:v>
                </c:pt>
                <c:pt idx="38">
                  <c:v>55.442350828318965</c:v>
                </c:pt>
                <c:pt idx="39">
                  <c:v>59.644717709375314</c:v>
                </c:pt>
                <c:pt idx="40">
                  <c:v>62.700480172588023</c:v>
                </c:pt>
                <c:pt idx="41">
                  <c:v>64.441943292464003</c:v>
                </c:pt>
                <c:pt idx="42">
                  <c:v>64.794821494969156</c:v>
                </c:pt>
                <c:pt idx="43">
                  <c:v>63.729708041396748</c:v>
                </c:pt>
                <c:pt idx="44">
                  <c:v>61.24472438400938</c:v>
                </c:pt>
                <c:pt idx="45">
                  <c:v>57.38512292499879</c:v>
                </c:pt>
                <c:pt idx="46">
                  <c:v>52.292122519475697</c:v>
                </c:pt>
                <c:pt idx="47">
                  <c:v>46.253380006699714</c:v>
                </c:pt>
                <c:pt idx="48">
                  <c:v>39.706362567149569</c:v>
                </c:pt>
                <c:pt idx="49">
                  <c:v>33.159195124954856</c:v>
                </c:pt>
                <c:pt idx="50">
                  <c:v>27.059647133928138</c:v>
                </c:pt>
                <c:pt idx="51">
                  <c:v>21.695726521792178</c:v>
                </c:pt>
                <c:pt idx="52">
                  <c:v>17.17878973256834</c:v>
                </c:pt>
                <c:pt idx="53">
                  <c:v>13.488812122089211</c:v>
                </c:pt>
                <c:pt idx="54">
                  <c:v>10.534540982731134</c:v>
                </c:pt>
              </c:numCache>
            </c:numRef>
          </c:yVal>
          <c:smooth val="0"/>
          <c:extLst>
            <c:ext xmlns:c16="http://schemas.microsoft.com/office/drawing/2014/chart" uri="{C3380CC4-5D6E-409C-BE32-E72D297353CC}">
              <c16:uniqueId val="{00000001-50F6-4DF3-A35C-308D1FB32DF8}"/>
            </c:ext>
          </c:extLst>
        </c:ser>
        <c:dLbls>
          <c:showLegendKey val="0"/>
          <c:showVal val="0"/>
          <c:showCatName val="0"/>
          <c:showSerName val="0"/>
          <c:showPercent val="0"/>
          <c:showBubbleSize val="0"/>
        </c:dLbls>
        <c:axId val="223315072"/>
        <c:axId val="222797184"/>
      </c:scatterChart>
      <c:valAx>
        <c:axId val="222780416"/>
        <c:scaling>
          <c:logBase val="10"/>
          <c:orientation val="minMax"/>
          <c:min val="10"/>
        </c:scaling>
        <c:delete val="0"/>
        <c:axPos val="b"/>
        <c:majorGridlines/>
        <c:minorGridlines/>
        <c:numFmt formatCode="General" sourceLinked="1"/>
        <c:majorTickMark val="out"/>
        <c:minorTickMark val="cross"/>
        <c:tickLblPos val="low"/>
        <c:crossAx val="222795648"/>
        <c:crosses val="autoZero"/>
        <c:crossBetween val="midCat"/>
      </c:valAx>
      <c:valAx>
        <c:axId val="222795648"/>
        <c:scaling>
          <c:orientation val="minMax"/>
          <c:max val="60"/>
          <c:min val="-40"/>
        </c:scaling>
        <c:delete val="0"/>
        <c:axPos val="l"/>
        <c:majorGridlines/>
        <c:numFmt formatCode="General" sourceLinked="1"/>
        <c:majorTickMark val="out"/>
        <c:minorTickMark val="none"/>
        <c:tickLblPos val="nextTo"/>
        <c:crossAx val="222780416"/>
        <c:crosses val="autoZero"/>
        <c:crossBetween val="midCat"/>
        <c:majorUnit val="20"/>
      </c:valAx>
      <c:valAx>
        <c:axId val="222797184"/>
        <c:scaling>
          <c:orientation val="minMax"/>
          <c:max val="180"/>
          <c:min val="-180"/>
        </c:scaling>
        <c:delete val="0"/>
        <c:axPos val="r"/>
        <c:numFmt formatCode="General" sourceLinked="1"/>
        <c:majorTickMark val="out"/>
        <c:minorTickMark val="none"/>
        <c:tickLblPos val="nextTo"/>
        <c:crossAx val="223315072"/>
        <c:crosses val="max"/>
        <c:crossBetween val="midCat"/>
        <c:majorUnit val="45"/>
      </c:valAx>
      <c:valAx>
        <c:axId val="223315072"/>
        <c:scaling>
          <c:logBase val="10"/>
          <c:orientation val="minMax"/>
        </c:scaling>
        <c:delete val="1"/>
        <c:axPos val="b"/>
        <c:numFmt formatCode="General" sourceLinked="1"/>
        <c:majorTickMark val="out"/>
        <c:minorTickMark val="none"/>
        <c:tickLblPos val="nextTo"/>
        <c:crossAx val="222797184"/>
        <c:crosses val="autoZero"/>
        <c:crossBetween val="midCat"/>
      </c:valAx>
    </c:plotArea>
    <c:legend>
      <c:legendPos val="l"/>
      <c:layout>
        <c:manualLayout>
          <c:xMode val="edge"/>
          <c:yMode val="edge"/>
          <c:x val="0.66446284284970702"/>
          <c:y val="0.15975271971864352"/>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Compensation!$S$169:$S$223</c:f>
              <c:numCache>
                <c:formatCode>General</c:formatCode>
                <c:ptCount val="55"/>
                <c:pt idx="0">
                  <c:v>9.8969291431980242</c:v>
                </c:pt>
                <c:pt idx="1">
                  <c:v>9.8968815146935238</c:v>
                </c:pt>
                <c:pt idx="2">
                  <c:v>9.8968020667230352</c:v>
                </c:pt>
                <c:pt idx="3">
                  <c:v>9.8966695427584046</c:v>
                </c:pt>
                <c:pt idx="4">
                  <c:v>9.8964484884690673</c:v>
                </c:pt>
                <c:pt idx="5">
                  <c:v>9.8960797727513654</c:v>
                </c:pt>
                <c:pt idx="6">
                  <c:v>9.8954647875854747</c:v>
                </c:pt>
                <c:pt idx="7">
                  <c:v>9.8944391244425329</c:v>
                </c:pt>
                <c:pt idx="8">
                  <c:v>9.8927287545821923</c:v>
                </c:pt>
                <c:pt idx="9">
                  <c:v>9.8898771852667675</c:v>
                </c:pt>
                <c:pt idx="10">
                  <c:v>9.8851246476302617</c:v>
                </c:pt>
                <c:pt idx="11">
                  <c:v>9.8772085034486281</c:v>
                </c:pt>
                <c:pt idx="12">
                  <c:v>9.8640356357906001</c:v>
                </c:pt>
                <c:pt idx="13">
                  <c:v>9.8421505809204017</c:v>
                </c:pt>
                <c:pt idx="14">
                  <c:v>9.8058879921109092</c:v>
                </c:pt>
                <c:pt idx="15">
                  <c:v>9.746064773670879</c:v>
                </c:pt>
                <c:pt idx="16">
                  <c:v>9.64807347819076</c:v>
                </c:pt>
                <c:pt idx="17">
                  <c:v>9.4893842614229271</c:v>
                </c:pt>
                <c:pt idx="18">
                  <c:v>9.23694663855904</c:v>
                </c:pt>
                <c:pt idx="19">
                  <c:v>8.8460283866540106</c:v>
                </c:pt>
                <c:pt idx="20">
                  <c:v>8.2634021336470358</c:v>
                </c:pt>
                <c:pt idx="21">
                  <c:v>7.4378022206636807</c:v>
                </c:pt>
                <c:pt idx="22">
                  <c:v>6.3363681541899499</c:v>
                </c:pt>
                <c:pt idx="23">
                  <c:v>4.9583252152626924</c:v>
                </c:pt>
                <c:pt idx="24">
                  <c:v>3.3355376127962479</c:v>
                </c:pt>
                <c:pt idx="25">
                  <c:v>1.5195536875523477</c:v>
                </c:pt>
                <c:pt idx="26">
                  <c:v>-0.43475136586836877</c:v>
                </c:pt>
                <c:pt idx="27">
                  <c:v>-2.4797439092314359</c:v>
                </c:pt>
                <c:pt idx="28">
                  <c:v>-4.5780290517650712</c:v>
                </c:pt>
                <c:pt idx="29">
                  <c:v>-6.700572389706025</c:v>
                </c:pt>
                <c:pt idx="30">
                  <c:v>-8.8227789228136579</c:v>
                </c:pt>
                <c:pt idx="31">
                  <c:v>-10.920020882154098</c:v>
                </c:pt>
                <c:pt idx="32">
                  <c:v>-12.96319129312409</c:v>
                </c:pt>
                <c:pt idx="33">
                  <c:v>-14.914847761995802</c:v>
                </c:pt>
                <c:pt idx="34">
                  <c:v>-16.72732059488564</c:v>
                </c:pt>
                <c:pt idx="35">
                  <c:v>-18.345148106447663</c:v>
                </c:pt>
                <c:pt idx="36">
                  <c:v>-19.713580696613768</c:v>
                </c:pt>
                <c:pt idx="37">
                  <c:v>-20.790938499700765</c:v>
                </c:pt>
                <c:pt idx="38">
                  <c:v>-21.557998094637409</c:v>
                </c:pt>
                <c:pt idx="39">
                  <c:v>-22.019080814848415</c:v>
                </c:pt>
                <c:pt idx="40">
                  <c:v>-22.197722624963877</c:v>
                </c:pt>
                <c:pt idx="41">
                  <c:v>-22.136997896324292</c:v>
                </c:pt>
                <c:pt idx="42">
                  <c:v>-21.913828406151627</c:v>
                </c:pt>
                <c:pt idx="43">
                  <c:v>-21.663609144805129</c:v>
                </c:pt>
                <c:pt idx="44">
                  <c:v>-21.587193131634066</c:v>
                </c:pt>
                <c:pt idx="45">
                  <c:v>-21.898191285106382</c:v>
                </c:pt>
                <c:pt idx="46">
                  <c:v>-22.71725744151302</c:v>
                </c:pt>
                <c:pt idx="47">
                  <c:v>-24.01561964125122</c:v>
                </c:pt>
                <c:pt idx="48">
                  <c:v>-25.671660743315133</c:v>
                </c:pt>
                <c:pt idx="49">
                  <c:v>-27.558486034621911</c:v>
                </c:pt>
                <c:pt idx="50">
                  <c:v>-29.583877710622136</c:v>
                </c:pt>
                <c:pt idx="51">
                  <c:v>-31.690382592598926</c:v>
                </c:pt>
                <c:pt idx="52">
                  <c:v>-33.844238788584178</c:v>
                </c:pt>
                <c:pt idx="53">
                  <c:v>-36.02588067335067</c:v>
                </c:pt>
                <c:pt idx="54">
                  <c:v>-38.223930462560809</c:v>
                </c:pt>
              </c:numCache>
            </c:numRef>
          </c:yVal>
          <c:smooth val="1"/>
          <c:extLst>
            <c:ext xmlns:c16="http://schemas.microsoft.com/office/drawing/2014/chart" uri="{C3380CC4-5D6E-409C-BE32-E72D297353CC}">
              <c16:uniqueId val="{00000000-80B1-4A52-83EC-9E92BEB0D156}"/>
            </c:ext>
          </c:extLst>
        </c:ser>
        <c:ser>
          <c:idx val="1"/>
          <c:order val="2"/>
          <c:tx>
            <c:v>Simplis_Gain</c:v>
          </c:tx>
          <c:marker>
            <c:symbol val="none"/>
          </c:marker>
          <c:xVal>
            <c:numRef>
              <c:f>Compensation!$AE$182:$AE$1243</c:f>
              <c:numCache>
                <c:formatCode>General</c:formatCode>
                <c:ptCount val="1062"/>
              </c:numCache>
            </c:numRef>
          </c:xVal>
          <c:yVal>
            <c:numRef>
              <c:f>Compensation!$AF$182:$AF$1243</c:f>
              <c:numCache>
                <c:formatCode>General</c:formatCode>
                <c:ptCount val="1062"/>
                <c:pt idx="34">
                  <c:v>0</c:v>
                </c:pt>
                <c:pt idx="35">
                  <c:v>0</c:v>
                </c:pt>
                <c:pt idx="36">
                  <c:v>0</c:v>
                </c:pt>
              </c:numCache>
            </c:numRef>
          </c:yVal>
          <c:smooth val="0"/>
          <c:extLst>
            <c:ext xmlns:c16="http://schemas.microsoft.com/office/drawing/2014/chart" uri="{C3380CC4-5D6E-409C-BE32-E72D297353CC}">
              <c16:uniqueId val="{00000001-80B1-4A52-83EC-9E92BEB0D156}"/>
            </c:ext>
          </c:extLst>
        </c:ser>
        <c:dLbls>
          <c:showLegendKey val="0"/>
          <c:showVal val="0"/>
          <c:showCatName val="0"/>
          <c:showSerName val="0"/>
          <c:showPercent val="0"/>
          <c:showBubbleSize val="0"/>
        </c:dLbls>
        <c:axId val="224078080"/>
        <c:axId val="225329536"/>
      </c:scatterChart>
      <c:scatterChart>
        <c:scatterStyle val="lineMarker"/>
        <c:varyColors val="0"/>
        <c:ser>
          <c:idx val="0"/>
          <c:order val="1"/>
          <c:tx>
            <c:v>Phase_Boost_iL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Compensation!$T$169:$T$223</c:f>
              <c:numCache>
                <c:formatCode>General</c:formatCode>
                <c:ptCount val="55"/>
                <c:pt idx="0">
                  <c:v>-0.23492877340365159</c:v>
                </c:pt>
                <c:pt idx="1">
                  <c:v>-0.30342108177291333</c:v>
                </c:pt>
                <c:pt idx="2">
                  <c:v>-0.39188103353900261</c:v>
                </c:pt>
                <c:pt idx="3">
                  <c:v>-0.50612872684902754</c:v>
                </c:pt>
                <c:pt idx="4">
                  <c:v>-0.65367942047688887</c:v>
                </c:pt>
                <c:pt idx="5">
                  <c:v>-0.84423581048467455</c:v>
                </c:pt>
                <c:pt idx="6">
                  <c:v>-1.0903215843437064</c:v>
                </c:pt>
                <c:pt idx="7">
                  <c:v>-1.4080948543373186</c:v>
                </c:pt>
                <c:pt idx="8">
                  <c:v>-1.8183883518276001</c:v>
                </c:pt>
                <c:pt idx="9">
                  <c:v>-2.3480305563096051</c:v>
                </c:pt>
                <c:pt idx="10">
                  <c:v>-3.0315041075577955</c:v>
                </c:pt>
                <c:pt idx="11">
                  <c:v>-3.9129853502144285</c:v>
                </c:pt>
                <c:pt idx="12">
                  <c:v>-5.0487608006057947</c:v>
                </c:pt>
                <c:pt idx="13">
                  <c:v>-6.5098892234755157</c:v>
                </c:pt>
                <c:pt idx="14">
                  <c:v>-8.3846866550291868</c:v>
                </c:pt>
                <c:pt idx="15">
                  <c:v>-10.780004933936704</c:v>
                </c:pt>
                <c:pt idx="16">
                  <c:v>-13.819134668848303</c:v>
                </c:pt>
                <c:pt idx="17">
                  <c:v>-17.632345702238879</c:v>
                </c:pt>
                <c:pt idx="18">
                  <c:v>-22.334084211426028</c:v>
                </c:pt>
                <c:pt idx="19">
                  <c:v>-27.981212067558232</c:v>
                </c:pt>
                <c:pt idx="20">
                  <c:v>-34.515268647906815</c:v>
                </c:pt>
                <c:pt idx="21">
                  <c:v>-41.713415624799531</c:v>
                </c:pt>
                <c:pt idx="22">
                  <c:v>-49.194437847334193</c:v>
                </c:pt>
                <c:pt idx="23">
                  <c:v>-56.508786823155823</c:v>
                </c:pt>
                <c:pt idx="24">
                  <c:v>-63.273441324085162</c:v>
                </c:pt>
                <c:pt idx="25">
                  <c:v>-69.26697635687492</c:v>
                </c:pt>
                <c:pt idx="26">
                  <c:v>-74.441172640017967</c:v>
                </c:pt>
                <c:pt idx="27">
                  <c:v>-78.875200602494573</c:v>
                </c:pt>
                <c:pt idx="28">
                  <c:v>-82.719367509606528</c:v>
                </c:pt>
                <c:pt idx="29">
                  <c:v>-86.154876833092544</c:v>
                </c:pt>
                <c:pt idx="30">
                  <c:v>-89.373743484148989</c:v>
                </c:pt>
                <c:pt idx="31">
                  <c:v>-92.573612115838998</c:v>
                </c:pt>
                <c:pt idx="32">
                  <c:v>-95.960991232034772</c:v>
                </c:pt>
                <c:pt idx="33">
                  <c:v>-99.756309424419754</c:v>
                </c:pt>
                <c:pt idx="34">
                  <c:v>-104.19080437312667</c:v>
                </c:pt>
                <c:pt idx="35">
                  <c:v>-109.47813469046172</c:v>
                </c:pt>
                <c:pt idx="36">
                  <c:v>-115.74369525321858</c:v>
                </c:pt>
                <c:pt idx="37">
                  <c:v>-122.92825138823763</c:v>
                </c:pt>
                <c:pt idx="38">
                  <c:v>-130.74996081601569</c:v>
                </c:pt>
                <c:pt idx="39">
                  <c:v>-138.82033940584614</c:v>
                </c:pt>
                <c:pt idx="40">
                  <c:v>-146.88823538929051</c:v>
                </c:pt>
                <c:pt idx="41">
                  <c:v>-155.05512965585135</c:v>
                </c:pt>
                <c:pt idx="42">
                  <c:v>-163.81227670230285</c:v>
                </c:pt>
                <c:pt idx="43">
                  <c:v>-173.82514417719989</c:v>
                </c:pt>
                <c:pt idx="44">
                  <c:v>174.5277634874968</c:v>
                </c:pt>
                <c:pt idx="45">
                  <c:v>161.63681895627062</c:v>
                </c:pt>
                <c:pt idx="46">
                  <c:v>148.65211363137925</c:v>
                </c:pt>
                <c:pt idx="47">
                  <c:v>136.80777220893694</c:v>
                </c:pt>
                <c:pt idx="48">
                  <c:v>126.7871954300587</c:v>
                </c:pt>
                <c:pt idx="49">
                  <c:v>118.68474183009673</c:v>
                </c:pt>
                <c:pt idx="50">
                  <c:v>112.28365306581307</c:v>
                </c:pt>
                <c:pt idx="51">
                  <c:v>107.28135918024199</c:v>
                </c:pt>
                <c:pt idx="52">
                  <c:v>103.39131382764067</c:v>
                </c:pt>
                <c:pt idx="53">
                  <c:v>100.37292314457629</c:v>
                </c:pt>
                <c:pt idx="54">
                  <c:v>98.033305540141257</c:v>
                </c:pt>
              </c:numCache>
            </c:numRef>
          </c:yVal>
          <c:smooth val="1"/>
          <c:extLst>
            <c:ext xmlns:c16="http://schemas.microsoft.com/office/drawing/2014/chart" uri="{C3380CC4-5D6E-409C-BE32-E72D297353CC}">
              <c16:uniqueId val="{00000002-80B1-4A52-83EC-9E92BEB0D156}"/>
            </c:ext>
          </c:extLst>
        </c:ser>
        <c:ser>
          <c:idx val="2"/>
          <c:order val="3"/>
          <c:tx>
            <c:v>Simplis_Phase</c:v>
          </c:tx>
          <c:marker>
            <c:symbol val="none"/>
          </c:marker>
          <c:xVal>
            <c:numRef>
              <c:f>Compensation!$AH$183:$AH$1244</c:f>
              <c:numCache>
                <c:formatCode>General</c:formatCode>
                <c:ptCount val="1062"/>
                <c:pt idx="33">
                  <c:v>-1.777775207757851</c:v>
                </c:pt>
                <c:pt idx="34">
                  <c:v>2154.4346900318833</c:v>
                </c:pt>
                <c:pt idx="35">
                  <c:v>79.218676669404246</c:v>
                </c:pt>
              </c:numCache>
            </c:numRef>
          </c:xVal>
          <c:yVal>
            <c:numRef>
              <c:f>Compensation!$AI$183:$AI$1244</c:f>
              <c:numCache>
                <c:formatCode>General</c:formatCode>
                <c:ptCount val="1062"/>
              </c:numCache>
            </c:numRef>
          </c:yVal>
          <c:smooth val="0"/>
          <c:extLst>
            <c:ext xmlns:c16="http://schemas.microsoft.com/office/drawing/2014/chart" uri="{C3380CC4-5D6E-409C-BE32-E72D297353CC}">
              <c16:uniqueId val="{00000003-80B1-4A52-83EC-9E92BEB0D156}"/>
            </c:ext>
          </c:extLst>
        </c:ser>
        <c:dLbls>
          <c:showLegendKey val="0"/>
          <c:showVal val="0"/>
          <c:showCatName val="0"/>
          <c:showSerName val="0"/>
          <c:showPercent val="0"/>
          <c:showBubbleSize val="0"/>
        </c:dLbls>
        <c:axId val="281326720"/>
        <c:axId val="225331072"/>
      </c:scatterChart>
      <c:valAx>
        <c:axId val="224078080"/>
        <c:scaling>
          <c:logBase val="10"/>
          <c:orientation val="minMax"/>
        </c:scaling>
        <c:delete val="0"/>
        <c:axPos val="b"/>
        <c:majorGridlines/>
        <c:minorGridlines/>
        <c:numFmt formatCode="General" sourceLinked="1"/>
        <c:majorTickMark val="out"/>
        <c:minorTickMark val="cross"/>
        <c:tickLblPos val="low"/>
        <c:crossAx val="225329536"/>
        <c:crosses val="autoZero"/>
        <c:crossBetween val="midCat"/>
      </c:valAx>
      <c:valAx>
        <c:axId val="225329536"/>
        <c:scaling>
          <c:orientation val="minMax"/>
          <c:min val="-40"/>
        </c:scaling>
        <c:delete val="0"/>
        <c:axPos val="l"/>
        <c:majorGridlines/>
        <c:numFmt formatCode="General" sourceLinked="1"/>
        <c:majorTickMark val="out"/>
        <c:minorTickMark val="none"/>
        <c:tickLblPos val="nextTo"/>
        <c:crossAx val="224078080"/>
        <c:crosses val="autoZero"/>
        <c:crossBetween val="midCat"/>
        <c:majorUnit val="20"/>
      </c:valAx>
      <c:valAx>
        <c:axId val="225331072"/>
        <c:scaling>
          <c:orientation val="minMax"/>
          <c:max val="180"/>
          <c:min val="-180"/>
        </c:scaling>
        <c:delete val="0"/>
        <c:axPos val="r"/>
        <c:numFmt formatCode="General" sourceLinked="1"/>
        <c:majorTickMark val="out"/>
        <c:minorTickMark val="none"/>
        <c:tickLblPos val="nextTo"/>
        <c:crossAx val="281326720"/>
        <c:crosses val="max"/>
        <c:crossBetween val="midCat"/>
        <c:majorUnit val="45"/>
      </c:valAx>
      <c:valAx>
        <c:axId val="281326720"/>
        <c:scaling>
          <c:logBase val="10"/>
          <c:orientation val="minMax"/>
        </c:scaling>
        <c:delete val="1"/>
        <c:axPos val="b"/>
        <c:numFmt formatCode="General" sourceLinked="1"/>
        <c:majorTickMark val="out"/>
        <c:minorTickMark val="none"/>
        <c:tickLblPos val="nextTo"/>
        <c:crossAx val="2253310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Compensation!$S$79:$S$133</c:f>
              <c:numCache>
                <c:formatCode>General</c:formatCode>
                <c:ptCount val="55"/>
                <c:pt idx="0">
                  <c:v>4.7042528099470813</c:v>
                </c:pt>
                <c:pt idx="1">
                  <c:v>4.7042518655607797</c:v>
                </c:pt>
                <c:pt idx="2">
                  <c:v>4.7042502902297869</c:v>
                </c:pt>
                <c:pt idx="3">
                  <c:v>4.7042476624208271</c:v>
                </c:pt>
                <c:pt idx="4">
                  <c:v>4.7042432789747526</c:v>
                </c:pt>
                <c:pt idx="5">
                  <c:v>4.7042359669560909</c:v>
                </c:pt>
                <c:pt idx="6">
                  <c:v>4.7042237698018878</c:v>
                </c:pt>
                <c:pt idx="7">
                  <c:v>4.7042034238003936</c:v>
                </c:pt>
                <c:pt idx="8">
                  <c:v>4.7041694848413416</c:v>
                </c:pt>
                <c:pt idx="9">
                  <c:v>4.7041128718493415</c:v>
                </c:pt>
                <c:pt idx="10">
                  <c:v>4.7040184373667984</c:v>
                </c:pt>
                <c:pt idx="11">
                  <c:v>4.703860915830079</c:v>
                </c:pt>
                <c:pt idx="12">
                  <c:v>4.7035981670756923</c:v>
                </c:pt>
                <c:pt idx="13">
                  <c:v>4.7031599119212899</c:v>
                </c:pt>
                <c:pt idx="14">
                  <c:v>4.702428958924064</c:v>
                </c:pt>
                <c:pt idx="15">
                  <c:v>4.7012099358291435</c:v>
                </c:pt>
                <c:pt idx="16">
                  <c:v>4.6991772613631779</c:v>
                </c:pt>
                <c:pt idx="17">
                  <c:v>4.6957887202991362</c:v>
                </c:pt>
                <c:pt idx="18">
                  <c:v>4.6901423050880409</c:v>
                </c:pt>
                <c:pt idx="19">
                  <c:v>4.6807401976146705</c:v>
                </c:pt>
                <c:pt idx="20">
                  <c:v>4.6651027315154128</c:v>
                </c:pt>
                <c:pt idx="21">
                  <c:v>4.6391453898191468</c:v>
                </c:pt>
                <c:pt idx="22">
                  <c:v>4.5961961433253746</c:v>
                </c:pt>
                <c:pt idx="23">
                  <c:v>4.5255060283627841</c:v>
                </c:pt>
                <c:pt idx="24">
                  <c:v>4.4101481945446235</c:v>
                </c:pt>
                <c:pt idx="25">
                  <c:v>4.224443127325582</c:v>
                </c:pt>
                <c:pt idx="26">
                  <c:v>3.931720337718458</c:v>
                </c:pt>
                <c:pt idx="27">
                  <c:v>3.4844776498901711</c:v>
                </c:pt>
                <c:pt idx="28">
                  <c:v>2.830188745063654</c:v>
                </c:pt>
                <c:pt idx="29">
                  <c:v>1.9248047962599819</c:v>
                </c:pt>
                <c:pt idx="30">
                  <c:v>0.75006510950873828</c:v>
                </c:pt>
                <c:pt idx="31">
                  <c:v>-0.67600629192261852</c:v>
                </c:pt>
                <c:pt idx="32">
                  <c:v>-2.3035090206727813</c:v>
                </c:pt>
                <c:pt idx="33">
                  <c:v>-4.0663621014024081</c:v>
                </c:pt>
                <c:pt idx="34">
                  <c:v>-5.8993123320433725</c:v>
                </c:pt>
                <c:pt idx="35">
                  <c:v>-7.7508314320539142</c:v>
                </c:pt>
                <c:pt idx="36">
                  <c:v>-9.591421406208827</c:v>
                </c:pt>
                <c:pt idx="37">
                  <c:v>-11.414973722218988</c:v>
                </c:pt>
                <c:pt idx="38">
                  <c:v>-13.229045873527866</c:v>
                </c:pt>
                <c:pt idx="39">
                  <c:v>-15.038073208038503</c:v>
                </c:pt>
                <c:pt idx="40">
                  <c:v>-16.834181620606529</c:v>
                </c:pt>
                <c:pt idx="41">
                  <c:v>-18.60755610630514</c:v>
                </c:pt>
                <c:pt idx="42">
                  <c:v>-20.37598613778572</c:v>
                </c:pt>
                <c:pt idx="43">
                  <c:v>-22.221009584002324</c:v>
                </c:pt>
                <c:pt idx="44">
                  <c:v>-24.301265703756023</c:v>
                </c:pt>
                <c:pt idx="45">
                  <c:v>-26.802135097715549</c:v>
                </c:pt>
                <c:pt idx="46">
                  <c:v>-29.828205315174241</c:v>
                </c:pt>
                <c:pt idx="47">
                  <c:v>-33.342250162505195</c:v>
                </c:pt>
                <c:pt idx="48">
                  <c:v>-37.218093845804916</c:v>
                </c:pt>
                <c:pt idx="49">
                  <c:v>-41.326447934674221</c:v>
                </c:pt>
                <c:pt idx="50">
                  <c:v>-45.573982479483576</c:v>
                </c:pt>
                <c:pt idx="51">
                  <c:v>-49.902799141477168</c:v>
                </c:pt>
                <c:pt idx="52">
                  <c:v>-54.278984320012384</c:v>
                </c:pt>
                <c:pt idx="53">
                  <c:v>-58.682932350357248</c:v>
                </c:pt>
                <c:pt idx="54">
                  <c:v>-63.103262018818718</c:v>
                </c:pt>
              </c:numCache>
            </c:numRef>
          </c:yVal>
          <c:smooth val="1"/>
          <c:extLst>
            <c:ext xmlns:c16="http://schemas.microsoft.com/office/drawing/2014/chart" uri="{C3380CC4-5D6E-409C-BE32-E72D297353CC}">
              <c16:uniqueId val="{00000000-5D47-4D12-9481-0731AA5F86FA}"/>
            </c:ext>
          </c:extLst>
        </c:ser>
        <c:ser>
          <c:idx val="1"/>
          <c:order val="2"/>
          <c:tx>
            <c:v>Simplis_Gain</c:v>
          </c:tx>
          <c:marker>
            <c:symbol val="none"/>
          </c:marker>
          <c:xVal>
            <c:numRef>
              <c:f>Compensation!$AR$84:$AR$1284</c:f>
              <c:numCache>
                <c:formatCode>General</c:formatCode>
                <c:ptCount val="1201"/>
              </c:numCache>
            </c:numRef>
          </c:xVal>
          <c:yVal>
            <c:numRef>
              <c:f>Compensation!$AS$84:$AS$1284</c:f>
              <c:numCache>
                <c:formatCode>General</c:formatCode>
                <c:ptCount val="1201"/>
              </c:numCache>
            </c:numRef>
          </c:yVal>
          <c:smooth val="0"/>
          <c:extLst>
            <c:ext xmlns:c16="http://schemas.microsoft.com/office/drawing/2014/chart" uri="{C3380CC4-5D6E-409C-BE32-E72D297353CC}">
              <c16:uniqueId val="{00000001-5D47-4D12-9481-0731AA5F86FA}"/>
            </c:ext>
          </c:extLst>
        </c:ser>
        <c:dLbls>
          <c:showLegendKey val="0"/>
          <c:showVal val="0"/>
          <c:showCatName val="0"/>
          <c:showSerName val="0"/>
          <c:showPercent val="0"/>
          <c:showBubbleSize val="0"/>
        </c:dLbls>
        <c:axId val="283349376"/>
        <c:axId val="283350912"/>
      </c:scatterChart>
      <c:scatterChart>
        <c:scatterStyle val="lineMarker"/>
        <c:varyColors val="0"/>
        <c:ser>
          <c:idx val="0"/>
          <c:order val="1"/>
          <c:tx>
            <c:v>Phase_Buck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Compensation!$T$79:$T$133</c:f>
              <c:numCache>
                <c:formatCode>General</c:formatCode>
                <c:ptCount val="55"/>
                <c:pt idx="0">
                  <c:v>-3.1605472181336511E-2</c:v>
                </c:pt>
                <c:pt idx="1">
                  <c:v>-4.0820033902132069E-2</c:v>
                </c:pt>
                <c:pt idx="2">
                  <c:v>-5.2721094419855015E-2</c:v>
                </c:pt>
                <c:pt idx="3">
                  <c:v>-6.8091897418979988E-2</c:v>
                </c:pt>
                <c:pt idx="4">
                  <c:v>-8.7944036238668977E-2</c:v>
                </c:pt>
                <c:pt idx="5">
                  <c:v>-0.11358402362092281</c:v>
                </c:pt>
                <c:pt idx="6">
                  <c:v>-0.14669926347740064</c:v>
                </c:pt>
                <c:pt idx="7">
                  <c:v>-0.18946907397451138</c:v>
                </c:pt>
                <c:pt idx="8">
                  <c:v>-0.24470804980055488</c:v>
                </c:pt>
                <c:pt idx="9">
                  <c:v>-0.31605115796974526</c:v>
                </c:pt>
                <c:pt idx="10">
                  <c:v>-0.4081926610555906</c:v>
                </c:pt>
                <c:pt idx="11">
                  <c:v>-0.52719440289150465</c:v>
                </c:pt>
                <c:pt idx="12">
                  <c:v>-0.6808833383489401</c:v>
                </c:pt>
                <c:pt idx="13">
                  <c:v>-0.87936359205566927</c:v>
                </c:pt>
                <c:pt idx="14">
                  <c:v>-1.1356748566508041</c:v>
                </c:pt>
                <c:pt idx="15">
                  <c:v>-1.4666363967717762</c:v>
                </c:pt>
                <c:pt idx="16">
                  <c:v>-1.893923468975155</c:v>
                </c:pt>
                <c:pt idx="17">
                  <c:v>-2.4454282558247558</c:v>
                </c:pt>
                <c:pt idx="18">
                  <c:v>-3.1569547759406111</c:v>
                </c:pt>
                <c:pt idx="19">
                  <c:v>-4.0742739047953656</c:v>
                </c:pt>
                <c:pt idx="20">
                  <c:v>-5.2554932629038378</c:v>
                </c:pt>
                <c:pt idx="21">
                  <c:v>-6.773521510646316</c:v>
                </c:pt>
                <c:pt idx="22">
                  <c:v>-8.7180214657948891</c:v>
                </c:pt>
                <c:pt idx="23">
                  <c:v>-11.19547365891942</c:v>
                </c:pt>
                <c:pt idx="24">
                  <c:v>-14.324591312391281</c:v>
                </c:pt>
                <c:pt idx="25">
                  <c:v>-18.222326955052456</c:v>
                </c:pt>
                <c:pt idx="26">
                  <c:v>-22.974126752600107</c:v>
                </c:pt>
                <c:pt idx="27">
                  <c:v>-28.584628262111373</c:v>
                </c:pt>
                <c:pt idx="28">
                  <c:v>-34.918284104713614</c:v>
                </c:pt>
                <c:pt idx="29">
                  <c:v>-41.664383489955448</c:v>
                </c:pt>
                <c:pt idx="30">
                  <c:v>-48.373974647371128</c:v>
                </c:pt>
                <c:pt idx="31">
                  <c:v>-54.578217894147407</c:v>
                </c:pt>
                <c:pt idx="32">
                  <c:v>-59.926621458802366</c:v>
                </c:pt>
                <c:pt idx="33">
                  <c:v>-64.267662287216623</c:v>
                </c:pt>
                <c:pt idx="34">
                  <c:v>-67.653546484389594</c:v>
                </c:pt>
                <c:pt idx="35">
                  <c:v>-70.297980672303353</c:v>
                </c:pt>
                <c:pt idx="36">
                  <c:v>-72.505781537844314</c:v>
                </c:pt>
                <c:pt idx="37">
                  <c:v>-74.578798717404851</c:v>
                </c:pt>
                <c:pt idx="38">
                  <c:v>-76.735782180659214</c:v>
                </c:pt>
                <c:pt idx="39">
                  <c:v>-79.117452573364986</c:v>
                </c:pt>
                <c:pt idx="40">
                  <c:v>-81.895730696969082</c:v>
                </c:pt>
                <c:pt idx="41">
                  <c:v>-85.410066893233335</c:v>
                </c:pt>
                <c:pt idx="42">
                  <c:v>-90.215496014868648</c:v>
                </c:pt>
                <c:pt idx="43">
                  <c:v>-96.936033669980205</c:v>
                </c:pt>
                <c:pt idx="44">
                  <c:v>-105.87426913842675</c:v>
                </c:pt>
                <c:pt idx="45">
                  <c:v>-116.56445411831361</c:v>
                </c:pt>
                <c:pt idx="46">
                  <c:v>-127.78356672384402</c:v>
                </c:pt>
                <c:pt idx="47">
                  <c:v>-138.22452379416026</c:v>
                </c:pt>
                <c:pt idx="48">
                  <c:v>-147.13651381839469</c:v>
                </c:pt>
                <c:pt idx="49">
                  <c:v>-154.36767128853444</c:v>
                </c:pt>
                <c:pt idx="50">
                  <c:v>-160.08699187980665</c:v>
                </c:pt>
                <c:pt idx="51">
                  <c:v>-164.55769847352821</c:v>
                </c:pt>
                <c:pt idx="52">
                  <c:v>-168.03430353601647</c:v>
                </c:pt>
                <c:pt idx="53">
                  <c:v>-170.73168561749679</c:v>
                </c:pt>
                <c:pt idx="54">
                  <c:v>-172.8223308452331</c:v>
                </c:pt>
              </c:numCache>
            </c:numRef>
          </c:yVal>
          <c:smooth val="1"/>
          <c:extLst>
            <c:ext xmlns:c16="http://schemas.microsoft.com/office/drawing/2014/chart" uri="{C3380CC4-5D6E-409C-BE32-E72D297353CC}">
              <c16:uniqueId val="{00000002-5D47-4D12-9481-0731AA5F86FA}"/>
            </c:ext>
          </c:extLst>
        </c:ser>
        <c:dLbls>
          <c:showLegendKey val="0"/>
          <c:showVal val="0"/>
          <c:showCatName val="0"/>
          <c:showSerName val="0"/>
          <c:showPercent val="0"/>
          <c:showBubbleSize val="0"/>
        </c:dLbls>
        <c:axId val="283589248"/>
        <c:axId val="283586944"/>
      </c:scatterChart>
      <c:valAx>
        <c:axId val="283349376"/>
        <c:scaling>
          <c:logBase val="10"/>
          <c:orientation val="minMax"/>
        </c:scaling>
        <c:delete val="0"/>
        <c:axPos val="b"/>
        <c:majorGridlines/>
        <c:minorGridlines/>
        <c:numFmt formatCode="General" sourceLinked="1"/>
        <c:majorTickMark val="out"/>
        <c:minorTickMark val="cross"/>
        <c:tickLblPos val="low"/>
        <c:crossAx val="283350912"/>
        <c:crosses val="autoZero"/>
        <c:crossBetween val="midCat"/>
      </c:valAx>
      <c:valAx>
        <c:axId val="283350912"/>
        <c:scaling>
          <c:orientation val="minMax"/>
          <c:min val="-40"/>
        </c:scaling>
        <c:delete val="0"/>
        <c:axPos val="l"/>
        <c:majorGridlines/>
        <c:numFmt formatCode="General" sourceLinked="1"/>
        <c:majorTickMark val="out"/>
        <c:minorTickMark val="none"/>
        <c:tickLblPos val="nextTo"/>
        <c:crossAx val="283349376"/>
        <c:crosses val="autoZero"/>
        <c:crossBetween val="midCat"/>
        <c:majorUnit val="20"/>
      </c:valAx>
      <c:valAx>
        <c:axId val="283586944"/>
        <c:scaling>
          <c:orientation val="minMax"/>
          <c:max val="180"/>
          <c:min val="-180"/>
        </c:scaling>
        <c:delete val="0"/>
        <c:axPos val="r"/>
        <c:numFmt formatCode="General" sourceLinked="1"/>
        <c:majorTickMark val="out"/>
        <c:minorTickMark val="none"/>
        <c:tickLblPos val="nextTo"/>
        <c:crossAx val="283589248"/>
        <c:crosses val="max"/>
        <c:crossBetween val="midCat"/>
        <c:majorUnit val="45"/>
      </c:valAx>
      <c:valAx>
        <c:axId val="283589248"/>
        <c:scaling>
          <c:logBase val="10"/>
          <c:orientation val="minMax"/>
        </c:scaling>
        <c:delete val="1"/>
        <c:axPos val="b"/>
        <c:numFmt formatCode="General" sourceLinked="1"/>
        <c:majorTickMark val="out"/>
        <c:minorTickMark val="none"/>
        <c:tickLblPos val="nextTo"/>
        <c:crossAx val="28358694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47.082751551442634</c:v>
                </c:pt>
                <c:pt idx="1">
                  <c:v>44.860533140288723</c:v>
                </c:pt>
                <c:pt idx="2">
                  <c:v>42.638317275300139</c:v>
                </c:pt>
                <c:pt idx="3">
                  <c:v>40.416105657551341</c:v>
                </c:pt>
                <c:pt idx="4">
                  <c:v>38.193901124569194</c:v>
                </c:pt>
                <c:pt idx="5">
                  <c:v>35.971708409534216</c:v>
                </c:pt>
                <c:pt idx="6">
                  <c:v>33.749535407588752</c:v>
                </c:pt>
                <c:pt idx="7">
                  <c:v>31.527395287849576</c:v>
                </c:pt>
                <c:pt idx="8">
                  <c:v>29.305310015572985</c:v>
                </c:pt>
                <c:pt idx="9">
                  <c:v>27.083316225020276</c:v>
                </c:pt>
                <c:pt idx="10">
                  <c:v>24.861475009145806</c:v>
                </c:pt>
                <c:pt idx="11">
                  <c:v>22.639888230753957</c:v>
                </c:pt>
                <c:pt idx="12">
                  <c:v>20.418725678252567</c:v>
                </c:pt>
                <c:pt idx="13">
                  <c:v>18.198270217222813</c:v>
                </c:pt>
                <c:pt idx="14">
                  <c:v>15.978992699919965</c:v>
                </c:pt>
                <c:pt idx="15">
                  <c:v>13.761675791866326</c:v>
                </c:pt>
                <c:pt idx="16">
                  <c:v>11.54761740541311</c:v>
                </c:pt>
                <c:pt idx="17">
                  <c:v>9.3389614651388086</c:v>
                </c:pt>
                <c:pt idx="18">
                  <c:v>7.1392262517160452</c:v>
                </c:pt>
                <c:pt idx="19">
                  <c:v>4.954122747087796</c:v>
                </c:pt>
                <c:pt idx="20">
                  <c:v>2.7927539640128791</c:v>
                </c:pt>
                <c:pt idx="21">
                  <c:v>0.66919528993010635</c:v>
                </c:pt>
                <c:pt idx="22">
                  <c:v>-1.3958705845011996</c:v>
                </c:pt>
                <c:pt idx="23">
                  <c:v>-3.3745734908269993</c:v>
                </c:pt>
                <c:pt idx="24">
                  <c:v>-5.2347143984480162</c:v>
                </c:pt>
                <c:pt idx="25">
                  <c:v>-6.9492256428424</c:v>
                </c:pt>
                <c:pt idx="26">
                  <c:v>-8.5128888221983914</c:v>
                </c:pt>
                <c:pt idx="27">
                  <c:v>-9.9592071669374569</c:v>
                </c:pt>
                <c:pt idx="28">
                  <c:v>-11.363283796495335</c:v>
                </c:pt>
                <c:pt idx="29">
                  <c:v>-12.82242791616852</c:v>
                </c:pt>
                <c:pt idx="30">
                  <c:v>-14.424489283119314</c:v>
                </c:pt>
                <c:pt idx="31">
                  <c:v>-16.225568645437942</c:v>
                </c:pt>
                <c:pt idx="32">
                  <c:v>-18.25000654730453</c:v>
                </c:pt>
                <c:pt idx="33">
                  <c:v>-20.506051883195656</c:v>
                </c:pt>
                <c:pt idx="34">
                  <c:v>-23.000910326661071</c:v>
                </c:pt>
                <c:pt idx="35">
                  <c:v>-25.744797635565678</c:v>
                </c:pt>
                <c:pt idx="36">
                  <c:v>-28.744791457492802</c:v>
                </c:pt>
                <c:pt idx="37">
                  <c:v>-31.99551229149742</c:v>
                </c:pt>
                <c:pt idx="38">
                  <c:v>-35.472190557831254</c:v>
                </c:pt>
                <c:pt idx="39">
                  <c:v>-39.128854922511692</c:v>
                </c:pt>
                <c:pt idx="40">
                  <c:v>-42.905743710749945</c:v>
                </c:pt>
                <c:pt idx="41">
                  <c:v>-46.749761920384117</c:v>
                </c:pt>
                <c:pt idx="42">
                  <c:v>-50.646894876348682</c:v>
                </c:pt>
                <c:pt idx="43">
                  <c:v>-54.657078986151518</c:v>
                </c:pt>
                <c:pt idx="44">
                  <c:v>-58.92498063755027</c:v>
                </c:pt>
                <c:pt idx="45">
                  <c:v>-63.627209061297947</c:v>
                </c:pt>
                <c:pt idx="46">
                  <c:v>-68.862945311592412</c:v>
                </c:pt>
                <c:pt idx="47">
                  <c:v>-74.591667409285307</c:v>
                </c:pt>
                <c:pt idx="48">
                  <c:v>-80.685203825359707</c:v>
                </c:pt>
                <c:pt idx="49">
                  <c:v>-87.013062474398623</c:v>
                </c:pt>
                <c:pt idx="50">
                  <c:v>-93.481189216510657</c:v>
                </c:pt>
                <c:pt idx="51">
                  <c:v>-100.03125062817119</c:v>
                </c:pt>
                <c:pt idx="52">
                  <c:v>-106.62907194227427</c:v>
                </c:pt>
                <c:pt idx="53">
                  <c:v>-113.25489080656689</c:v>
                </c:pt>
                <c:pt idx="54">
                  <c:v>-119.89723203165553</c:v>
                </c:pt>
              </c:numCache>
            </c:numRef>
          </c:yVal>
          <c:smooth val="0"/>
          <c:extLst>
            <c:ext xmlns:c16="http://schemas.microsoft.com/office/drawing/2014/chart" uri="{C3380CC4-5D6E-409C-BE32-E72D297353CC}">
              <c16:uniqueId val="{00000000-9D9E-4838-B6D9-10CD83C8297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9D9E-4838-B6D9-10CD83C8297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9E-4838-B6D9-10CD83C8297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1897.5254019898109</c:v>
                </c:pt>
              </c:numCache>
            </c:numRef>
          </c:xVal>
          <c:yVal>
            <c:numRef>
              <c:f>Compensation!$Z$137</c:f>
              <c:numCache>
                <c:formatCode>General</c:formatCode>
                <c:ptCount val="1"/>
                <c:pt idx="0">
                  <c:v>-13.60713245531327</c:v>
                </c:pt>
              </c:numCache>
            </c:numRef>
          </c:yVal>
          <c:smooth val="0"/>
          <c:extLst>
            <c:ext xmlns:c16="http://schemas.microsoft.com/office/drawing/2014/chart" uri="{C3380CC4-5D6E-409C-BE32-E72D297353CC}">
              <c16:uniqueId val="{00000003-9D9E-4838-B6D9-10CD83C8297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9E-4838-B6D9-10CD83C8297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777.88339732109148</c:v>
                </c:pt>
              </c:numCache>
            </c:numRef>
          </c:xVal>
          <c:yVal>
            <c:numRef>
              <c:f>Compensation!$Z$135</c:f>
              <c:numCache>
                <c:formatCode>General</c:formatCode>
                <c:ptCount val="1"/>
                <c:pt idx="0">
                  <c:v>-8.5401355491278466</c:v>
                </c:pt>
              </c:numCache>
            </c:numRef>
          </c:yVal>
          <c:smooth val="0"/>
          <c:extLst>
            <c:ext xmlns:c16="http://schemas.microsoft.com/office/drawing/2014/chart" uri="{C3380CC4-5D6E-409C-BE32-E72D297353CC}">
              <c16:uniqueId val="{00000005-9D9E-4838-B6D9-10CD83C8297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D9E-4838-B6D9-10CD83C82979}"/>
                </c:ext>
              </c:extLst>
            </c:dLbl>
            <c:spPr>
              <a:noFill/>
              <a:ln>
                <a:noFill/>
              </a:ln>
              <a:effectLst/>
            </c:spPr>
            <c:txPr>
              <a:bodyPr/>
              <a:lstStyle/>
              <a:p>
                <a:pPr>
                  <a:defRPr sz="1200"/>
                </a:pPr>
                <a:endParaRPr lang="de-DE"/>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7778.8339732109152</c:v>
                </c:pt>
              </c:numCache>
            </c:numRef>
          </c:xVal>
          <c:yVal>
            <c:numRef>
              <c:f>Compensation!$Z$136</c:f>
              <c:numCache>
                <c:formatCode>General</c:formatCode>
                <c:ptCount val="1"/>
                <c:pt idx="0">
                  <c:v>-25.797189406396178</c:v>
                </c:pt>
              </c:numCache>
            </c:numRef>
          </c:yVal>
          <c:smooth val="0"/>
          <c:extLst>
            <c:ext xmlns:c16="http://schemas.microsoft.com/office/drawing/2014/chart" uri="{C3380CC4-5D6E-409C-BE32-E72D297353CC}">
              <c16:uniqueId val="{00000007-9D9E-4838-B6D9-10CD83C82979}"/>
            </c:ext>
          </c:extLst>
        </c:ser>
        <c:dLbls>
          <c:showLegendKey val="0"/>
          <c:showVal val="0"/>
          <c:showCatName val="0"/>
          <c:showSerName val="0"/>
          <c:showPercent val="0"/>
          <c:showBubbleSize val="0"/>
        </c:dLbls>
        <c:axId val="284427008"/>
        <c:axId val="28467200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90.035354487274248</c:v>
                </c:pt>
                <c:pt idx="1">
                  <c:v>90.045662044317027</c:v>
                </c:pt>
                <c:pt idx="2">
                  <c:v>90.058974729360898</c:v>
                </c:pt>
                <c:pt idx="3">
                  <c:v>90.076168643982882</c:v>
                </c:pt>
                <c:pt idx="4">
                  <c:v>90.098375267836047</c:v>
                </c:pt>
                <c:pt idx="5">
                  <c:v>90.127055857424693</c:v>
                </c:pt>
                <c:pt idx="6">
                  <c:v>90.164097470462579</c:v>
                </c:pt>
                <c:pt idx="7">
                  <c:v>90.211936845312721</c:v>
                </c:pt>
                <c:pt idx="8">
                  <c:v>90.27372009417364</c:v>
                </c:pt>
                <c:pt idx="9">
                  <c:v>90.353508301599021</c:v>
                </c:pt>
                <c:pt idx="10">
                  <c:v>90.456541658716134</c:v>
                </c:pt>
                <c:pt idx="11">
                  <c:v>90.589577578077908</c:v>
                </c:pt>
                <c:pt idx="12">
                  <c:v>90.761320872196947</c:v>
                </c:pt>
                <c:pt idx="13">
                  <c:v>90.982965350386536</c:v>
                </c:pt>
                <c:pt idx="14">
                  <c:v>91.26886327398897</c:v>
                </c:pt>
                <c:pt idx="15">
                  <c:v>91.637325686668603</c:v>
                </c:pt>
                <c:pt idx="16">
                  <c:v>92.111519052389482</c:v>
                </c:pt>
                <c:pt idx="17">
                  <c:v>92.72033345816908</c:v>
                </c:pt>
                <c:pt idx="18">
                  <c:v>93.498898406422853</c:v>
                </c:pt>
                <c:pt idx="19">
                  <c:v>94.488010282469972</c:v>
                </c:pt>
                <c:pt idx="20">
                  <c:v>95.730948686162122</c:v>
                </c:pt>
                <c:pt idx="21">
                  <c:v>97.264837179849977</c:v>
                </c:pt>
                <c:pt idx="22">
                  <c:v>99.102023332210621</c:v>
                </c:pt>
                <c:pt idx="23">
                  <c:v>101.19641294399186</c:v>
                </c:pt>
                <c:pt idx="24">
                  <c:v>103.39474660868676</c:v>
                </c:pt>
                <c:pt idx="25">
                  <c:v>105.39010753135655</c:v>
                </c:pt>
                <c:pt idx="26">
                  <c:v>106.7218667061223</c:v>
                </c:pt>
                <c:pt idx="27">
                  <c:v>106.87085484553197</c:v>
                </c:pt>
                <c:pt idx="28">
                  <c:v>105.43828968796863</c:v>
                </c:pt>
                <c:pt idx="29">
                  <c:v>102.30337356267644</c:v>
                </c:pt>
                <c:pt idx="30">
                  <c:v>97.640982118492246</c:v>
                </c:pt>
                <c:pt idx="31">
                  <c:v>91.789075668061471</c:v>
                </c:pt>
                <c:pt idx="32">
                  <c:v>85.077714546605662</c:v>
                </c:pt>
                <c:pt idx="33">
                  <c:v>77.740950879174562</c:v>
                </c:pt>
                <c:pt idx="34">
                  <c:v>69.938019315489569</c:v>
                </c:pt>
                <c:pt idx="35">
                  <c:v>61.824201026991034</c:v>
                </c:pt>
                <c:pt idx="36">
                  <c:v>53.5989012930348</c:v>
                </c:pt>
                <c:pt idx="37">
                  <c:v>45.499607775713159</c:v>
                </c:pt>
                <c:pt idx="38">
                  <c:v>37.750372288606926</c:v>
                </c:pt>
                <c:pt idx="39">
                  <c:v>30.476090131267831</c:v>
                </c:pt>
                <c:pt idx="40">
                  <c:v>23.596260029692779</c:v>
                </c:pt>
                <c:pt idx="41">
                  <c:v>16.742480877462643</c:v>
                </c:pt>
                <c:pt idx="42">
                  <c:v>9.2695169713598045</c:v>
                </c:pt>
                <c:pt idx="43">
                  <c:v>0.44376924777664528</c:v>
                </c:pt>
                <c:pt idx="44">
                  <c:v>-10.143476953316956</c:v>
                </c:pt>
                <c:pt idx="45">
                  <c:v>-22.119414558328963</c:v>
                </c:pt>
                <c:pt idx="46">
                  <c:v>-34.338252226887541</c:v>
                </c:pt>
                <c:pt idx="47">
                  <c:v>-45.555228167109803</c:v>
                </c:pt>
                <c:pt idx="48">
                  <c:v>-55.068978369520337</c:v>
                </c:pt>
                <c:pt idx="49">
                  <c:v>-62.766483468381495</c:v>
                </c:pt>
                <c:pt idx="50">
                  <c:v>-68.847078361321238</c:v>
                </c:pt>
                <c:pt idx="51">
                  <c:v>-73.597598629915382</c:v>
                </c:pt>
                <c:pt idx="52">
                  <c:v>-77.290896030420754</c:v>
                </c:pt>
                <c:pt idx="53">
                  <c:v>-80.156074978212374</c:v>
                </c:pt>
                <c:pt idx="54">
                  <c:v>-82.376648444801845</c:v>
                </c:pt>
              </c:numCache>
            </c:numRef>
          </c:yVal>
          <c:smooth val="0"/>
          <c:extLst>
            <c:ext xmlns:c16="http://schemas.microsoft.com/office/drawing/2014/chart" uri="{C3380CC4-5D6E-409C-BE32-E72D297353CC}">
              <c16:uniqueId val="{00000008-9D9E-4838-B6D9-10CD83C82979}"/>
            </c:ext>
          </c:extLst>
        </c:ser>
        <c:dLbls>
          <c:showLegendKey val="0"/>
          <c:showVal val="0"/>
          <c:showCatName val="0"/>
          <c:showSerName val="0"/>
          <c:showPercent val="0"/>
          <c:showBubbleSize val="0"/>
        </c:dLbls>
        <c:axId val="340130432"/>
        <c:axId val="340128128"/>
      </c:scatterChart>
      <c:valAx>
        <c:axId val="284427008"/>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84672000"/>
        <c:crosses val="autoZero"/>
        <c:crossBetween val="midCat"/>
      </c:valAx>
      <c:valAx>
        <c:axId val="28467200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84427008"/>
        <c:crosses val="autoZero"/>
        <c:crossBetween val="midCat"/>
        <c:majorUnit val="20"/>
      </c:valAx>
      <c:valAx>
        <c:axId val="340128128"/>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340130432"/>
        <c:crosses val="max"/>
        <c:crossBetween val="midCat"/>
        <c:majorUnit val="45"/>
      </c:valAx>
      <c:valAx>
        <c:axId val="340130432"/>
        <c:scaling>
          <c:logBase val="10"/>
          <c:orientation val="minMax"/>
        </c:scaling>
        <c:delete val="1"/>
        <c:axPos val="b"/>
        <c:numFmt formatCode="General" sourceLinked="1"/>
        <c:majorTickMark val="out"/>
        <c:minorTickMark val="none"/>
        <c:tickLblPos val="nextTo"/>
        <c:crossAx val="340128128"/>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a:t>
            </a:r>
            <a:r>
              <a:rPr lang="en-US" altLang="zh-CN" baseline="0"/>
              <a:t>oost</a:t>
            </a:r>
            <a:r>
              <a:rPr lang="en-US" baseline="0"/>
              <a: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64.313205456121665</c:v>
                </c:pt>
                <c:pt idx="1">
                  <c:v>62.090988565707747</c:v>
                </c:pt>
                <c:pt idx="2">
                  <c:v>59.868775237203778</c:v>
                </c:pt>
                <c:pt idx="3">
                  <c:v>57.646567849835833</c:v>
                </c:pt>
                <c:pt idx="4">
                  <c:v>55.424370371521022</c:v>
                </c:pt>
                <c:pt idx="5">
                  <c:v>53.202189418723968</c:v>
                </c:pt>
                <c:pt idx="6">
                  <c:v>50.980036021639435</c:v>
                </c:pt>
                <c:pt idx="7">
                  <c:v>48.757928561019568</c:v>
                </c:pt>
                <c:pt idx="8">
                  <c:v>46.535897645776565</c:v>
                </c:pt>
                <c:pt idx="9">
                  <c:v>44.313994190170618</c:v>
                </c:pt>
                <c:pt idx="10">
                  <c:v>42.092302723641239</c:v>
                </c:pt>
                <c:pt idx="11">
                  <c:v>39.870963141224863</c:v>
                </c:pt>
                <c:pt idx="12">
                  <c:v>37.650205746276924</c:v>
                </c:pt>
                <c:pt idx="13">
                  <c:v>35.430406338280342</c:v>
                </c:pt>
                <c:pt idx="14">
                  <c:v>33.212169101354732</c:v>
                </c:pt>
                <c:pt idx="15">
                  <c:v>30.996441432430458</c:v>
                </c:pt>
                <c:pt idx="16">
                  <c:v>28.784647177242256</c:v>
                </c:pt>
                <c:pt idx="17">
                  <c:v>26.57877467214103</c:v>
                </c:pt>
                <c:pt idx="18">
                  <c:v>24.381254488164767</c:v>
                </c:pt>
                <c:pt idx="19">
                  <c:v>22.194343550490487</c:v>
                </c:pt>
                <c:pt idx="20">
                  <c:v>20.018811408388501</c:v>
                </c:pt>
                <c:pt idx="21">
                  <c:v>17.852378389818632</c:v>
                </c:pt>
                <c:pt idx="22">
                  <c:v>15.689375682351788</c:v>
                </c:pt>
                <c:pt idx="23">
                  <c:v>13.522827318919839</c:v>
                </c:pt>
                <c:pt idx="24">
                  <c:v>11.347734371810144</c:v>
                </c:pt>
                <c:pt idx="25">
                  <c:v>9.1628750586951639</c:v>
                </c:pt>
                <c:pt idx="26">
                  <c:v>6.9703192213655027</c:v>
                </c:pt>
                <c:pt idx="27">
                  <c:v>4.7740830209248122</c:v>
                </c:pt>
                <c:pt idx="28">
                  <c:v>2.5793284104864216</c:v>
                </c:pt>
                <c:pt idx="29">
                  <c:v>0.39249709133704602</c:v>
                </c:pt>
                <c:pt idx="30">
                  <c:v>-1.777775207757851</c:v>
                </c:pt>
                <c:pt idx="31">
                  <c:v>-3.9191903897509488</c:v>
                </c:pt>
                <c:pt idx="32">
                  <c:v>-6.0140710108804987</c:v>
                </c:pt>
                <c:pt idx="33">
                  <c:v>-8.0381368081550182</c:v>
                </c:pt>
                <c:pt idx="34">
                  <c:v>-9.9614216693180904</c:v>
                </c:pt>
                <c:pt idx="35">
                  <c:v>-11.75377730799471</c:v>
                </c:pt>
                <c:pt idx="36">
                  <c:v>-13.396188208830377</c:v>
                </c:pt>
                <c:pt idx="37">
                  <c:v>-14.893988595213335</c:v>
                </c:pt>
                <c:pt idx="38">
                  <c:v>-16.282122163246267</c:v>
                </c:pt>
                <c:pt idx="39">
                  <c:v>-17.614573559578123</c:v>
                </c:pt>
                <c:pt idx="40">
                  <c:v>-18.943336657047304</c:v>
                </c:pt>
                <c:pt idx="41">
                  <c:v>-20.306753778235603</c:v>
                </c:pt>
                <c:pt idx="42">
                  <c:v>-21.745985173912366</c:v>
                </c:pt>
                <c:pt idx="43">
                  <c:v>-23.344145541033996</c:v>
                </c:pt>
                <c:pt idx="44">
                  <c:v>-25.249363894579236</c:v>
                </c:pt>
                <c:pt idx="45">
                  <c:v>-27.631693265467948</c:v>
                </c:pt>
                <c:pt idx="46">
                  <c:v>-30.579945096204963</c:v>
                </c:pt>
                <c:pt idx="47">
                  <c:v>-34.043784573190088</c:v>
                </c:pt>
                <c:pt idx="48">
                  <c:v>-37.887671219389382</c:v>
                </c:pt>
                <c:pt idx="49">
                  <c:v>-41.97597920989945</c:v>
                </c:pt>
                <c:pt idx="50">
                  <c:v>-46.211112431134993</c:v>
                </c:pt>
                <c:pt idx="51">
                  <c:v>-50.532340330648395</c:v>
                </c:pt>
                <c:pt idx="52">
                  <c:v>-54.903916876348269</c:v>
                </c:pt>
                <c:pt idx="53">
                  <c:v>-59.305079942201509</c:v>
                </c:pt>
                <c:pt idx="54">
                  <c:v>-63.723731916098806</c:v>
                </c:pt>
              </c:numCache>
            </c:numRef>
          </c:yVal>
          <c:smooth val="0"/>
          <c:extLst>
            <c:ext xmlns:c16="http://schemas.microsoft.com/office/drawing/2014/chart" uri="{C3380CC4-5D6E-409C-BE32-E72D297353CC}">
              <c16:uniqueId val="{00000000-14C2-42E9-A41D-CEC5331D2AE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14C2-42E9-A41D-CEC5331D2AE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C2-42E9-A41D-CEC5331D2AE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248.67959858108651</c:v>
                </c:pt>
              </c:numCache>
            </c:numRef>
          </c:xVal>
          <c:yVal>
            <c:numRef>
              <c:f>Compensation!$Z$227</c:f>
              <c:numCache>
                <c:formatCode>General</c:formatCode>
                <c:ptCount val="1"/>
                <c:pt idx="0">
                  <c:v>16.639484254987568</c:v>
                </c:pt>
              </c:numCache>
            </c:numRef>
          </c:yVal>
          <c:smooth val="0"/>
          <c:extLst>
            <c:ext xmlns:c16="http://schemas.microsoft.com/office/drawing/2014/chart" uri="{C3380CC4-5D6E-409C-BE32-E72D297353CC}">
              <c16:uniqueId val="{00000003-14C2-42E9-A41D-CEC5331D2AE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C2-42E9-A41D-CEC5331D2AE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234.05138689984605</c:v>
                </c:pt>
              </c:numCache>
            </c:numRef>
          </c:xVal>
          <c:yVal>
            <c:numRef>
              <c:f>Compensation!$Z$225</c:f>
              <c:numCache>
                <c:formatCode>General</c:formatCode>
                <c:ptCount val="1"/>
                <c:pt idx="0">
                  <c:v>17.151962442632676</c:v>
                </c:pt>
              </c:numCache>
            </c:numRef>
          </c:yVal>
          <c:smooth val="0"/>
          <c:extLst>
            <c:ext xmlns:c16="http://schemas.microsoft.com/office/drawing/2014/chart" uri="{C3380CC4-5D6E-409C-BE32-E72D297353CC}">
              <c16:uniqueId val="{00000005-14C2-42E9-A41D-CEC5331D2AE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C2-42E9-A41D-CEC5331D2AE6}"/>
                </c:ext>
              </c:extLst>
            </c:dLbl>
            <c:spPr>
              <a:noFill/>
              <a:ln>
                <a:noFill/>
              </a:ln>
              <a:effectLst/>
            </c:spPr>
            <c:txPr>
              <a:bodyPr/>
              <a:lstStyle/>
              <a:p>
                <a:pPr>
                  <a:defRPr sz="1200"/>
                </a:pPr>
                <a:endParaRPr lang="de-DE"/>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23405.138689984604</c:v>
                </c:pt>
              </c:numCache>
            </c:numRef>
          </c:xVal>
          <c:yVal>
            <c:numRef>
              <c:f>Compensation!$Z$226</c:f>
              <c:numCache>
                <c:formatCode>General</c:formatCode>
                <c:ptCount val="1"/>
                <c:pt idx="0">
                  <c:v>-18.043120065951921</c:v>
                </c:pt>
              </c:numCache>
            </c:numRef>
          </c:yVal>
          <c:smooth val="0"/>
          <c:extLst>
            <c:ext xmlns:c16="http://schemas.microsoft.com/office/drawing/2014/chart" uri="{C3380CC4-5D6E-409C-BE32-E72D297353CC}">
              <c16:uniqueId val="{00000007-14C2-42E9-A41D-CEC5331D2AE6}"/>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C2-42E9-A41D-CEC5331D2AE6}"/>
                </c:ext>
              </c:extLst>
            </c:dLbl>
            <c:spPr>
              <a:noFill/>
              <a:ln>
                <a:noFill/>
              </a:ln>
              <a:effectLst/>
            </c:spPr>
            <c:txPr>
              <a:bodyPr/>
              <a:lstStyle/>
              <a:p>
                <a:pPr>
                  <a:defRPr sz="1400"/>
                </a:pPr>
                <a:endParaRPr lang="de-DE"/>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8841.9412828830737</c:v>
                </c:pt>
              </c:numCache>
            </c:numRef>
          </c:xVal>
          <c:yVal>
            <c:numRef>
              <c:f>Compensation!$Z$228</c:f>
              <c:numCache>
                <c:formatCode>General</c:formatCode>
                <c:ptCount val="1"/>
                <c:pt idx="0">
                  <c:v>-12.625149332467561</c:v>
                </c:pt>
              </c:numCache>
            </c:numRef>
          </c:yVal>
          <c:smooth val="0"/>
          <c:extLst>
            <c:ext xmlns:c16="http://schemas.microsoft.com/office/drawing/2014/chart" uri="{C3380CC4-5D6E-409C-BE32-E72D297353CC}">
              <c16:uniqueId val="{00000009-14C2-42E9-A41D-CEC5331D2AE6}"/>
            </c:ext>
          </c:extLst>
        </c:ser>
        <c:dLbls>
          <c:showLegendKey val="0"/>
          <c:showVal val="0"/>
          <c:showCatName val="0"/>
          <c:showSerName val="0"/>
          <c:showPercent val="0"/>
          <c:showBubbleSize val="0"/>
        </c:dLbls>
        <c:axId val="178864896"/>
        <c:axId val="1788668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90.007445974644526</c:v>
                </c:pt>
                <c:pt idx="1">
                  <c:v>90.009616657567804</c:v>
                </c:pt>
                <c:pt idx="2">
                  <c:v>90.012419984783349</c:v>
                </c:pt>
                <c:pt idx="3">
                  <c:v>90.016040152365349</c:v>
                </c:pt>
                <c:pt idx="4">
                  <c:v>90.020714768831553</c:v>
                </c:pt>
                <c:pt idx="5">
                  <c:v>90.026750093117442</c:v>
                </c:pt>
                <c:pt idx="6">
                  <c:v>90.034540329695247</c:v>
                </c:pt>
                <c:pt idx="7">
                  <c:v>90.044591720153122</c:v>
                </c:pt>
                <c:pt idx="8">
                  <c:v>90.057551877863332</c:v>
                </c:pt>
                <c:pt idx="9">
                  <c:v>90.074243857448451</c:v>
                </c:pt>
                <c:pt idx="10">
                  <c:v>90.095701999815674</c:v>
                </c:pt>
                <c:pt idx="11">
                  <c:v>90.12320089448437</c:v>
                </c:pt>
                <c:pt idx="12">
                  <c:v>90.158256298086556</c:v>
                </c:pt>
                <c:pt idx="13">
                  <c:v>90.202550719571377</c:v>
                </c:pt>
                <c:pt idx="14">
                  <c:v>90.257684864261009</c:v>
                </c:pt>
                <c:pt idx="15">
                  <c:v>90.324563476569324</c:v>
                </c:pt>
                <c:pt idx="16">
                  <c:v>90.402085295944161</c:v>
                </c:pt>
                <c:pt idx="17">
                  <c:v>90.484685869106031</c:v>
                </c:pt>
                <c:pt idx="18">
                  <c:v>90.558456917289661</c:v>
                </c:pt>
                <c:pt idx="19">
                  <c:v>90.596679462425683</c:v>
                </c:pt>
                <c:pt idx="20">
                  <c:v>90.558166880888237</c:v>
                </c:pt>
                <c:pt idx="21">
                  <c:v>90.393872362620115</c:v>
                </c:pt>
                <c:pt idx="22">
                  <c:v>90.062731757435998</c:v>
                </c:pt>
                <c:pt idx="23">
                  <c:v>89.545560406834269</c:v>
                </c:pt>
                <c:pt idx="24">
                  <c:v>88.842238756994504</c:v>
                </c:pt>
                <c:pt idx="25">
                  <c:v>87.953597856514577</c:v>
                </c:pt>
                <c:pt idx="26">
                  <c:v>86.863377885703997</c:v>
                </c:pt>
                <c:pt idx="27">
                  <c:v>85.529447983146156</c:v>
                </c:pt>
                <c:pt idx="28">
                  <c:v>83.881805164377027</c:v>
                </c:pt>
                <c:pt idx="29">
                  <c:v>81.821697942839734</c:v>
                </c:pt>
                <c:pt idx="30">
                  <c:v>79.218676669404246</c:v>
                </c:pt>
                <c:pt idx="31">
                  <c:v>75.904974583269578</c:v>
                </c:pt>
                <c:pt idx="32">
                  <c:v>71.668456705697793</c:v>
                </c:pt>
                <c:pt idx="33">
                  <c:v>66.248219940460288</c:v>
                </c:pt>
                <c:pt idx="34">
                  <c:v>59.343299970187104</c:v>
                </c:pt>
                <c:pt idx="35">
                  <c:v>50.655027098894713</c:v>
                </c:pt>
                <c:pt idx="36">
                  <c:v>39.985891792601969</c:v>
                </c:pt>
                <c:pt idx="37">
                  <c:v>27.383156088697501</c:v>
                </c:pt>
                <c:pt idx="38">
                  <c:v>13.237450016307434</c:v>
                </c:pt>
                <c:pt idx="39">
                  <c:v>-1.7882573692999599</c:v>
                </c:pt>
                <c:pt idx="40">
                  <c:v>-17.020647049825246</c:v>
                </c:pt>
                <c:pt idx="41">
                  <c:v>-32.092370657780343</c:v>
                </c:pt>
                <c:pt idx="42">
                  <c:v>-47.11185669331266</c:v>
                </c:pt>
                <c:pt idx="43">
                  <c:v>-62.528257942616726</c:v>
                </c:pt>
                <c:pt idx="44">
                  <c:v>-78.667381760832725</c:v>
                </c:pt>
                <c:pt idx="45">
                  <c:v>-95.197178300396729</c:v>
                </c:pt>
                <c:pt idx="46">
                  <c:v>-111.07969252717763</c:v>
                </c:pt>
                <c:pt idx="47">
                  <c:v>-125.20675845590384</c:v>
                </c:pt>
                <c:pt idx="48">
                  <c:v>-137.01340946441067</c:v>
                </c:pt>
                <c:pt idx="49">
                  <c:v>-146.50755752591996</c:v>
                </c:pt>
                <c:pt idx="50">
                  <c:v>-153.99031252474597</c:v>
                </c:pt>
                <c:pt idx="51">
                  <c:v>-159.83202912276931</c:v>
                </c:pt>
                <c:pt idx="52">
                  <c:v>-164.37290715138747</c:v>
                </c:pt>
                <c:pt idx="53">
                  <c:v>-167.89563175831145</c:v>
                </c:pt>
                <c:pt idx="54">
                  <c:v>-170.62593099869204</c:v>
                </c:pt>
              </c:numCache>
            </c:numRef>
          </c:yVal>
          <c:smooth val="0"/>
          <c:extLst>
            <c:ext xmlns:c16="http://schemas.microsoft.com/office/drawing/2014/chart" uri="{C3380CC4-5D6E-409C-BE32-E72D297353CC}">
              <c16:uniqueId val="{0000000A-14C2-42E9-A41D-CEC5331D2AE6}"/>
            </c:ext>
          </c:extLst>
        </c:ser>
        <c:dLbls>
          <c:showLegendKey val="0"/>
          <c:showVal val="0"/>
          <c:showCatName val="0"/>
          <c:showSerName val="0"/>
          <c:showPercent val="0"/>
          <c:showBubbleSize val="0"/>
        </c:dLbls>
        <c:axId val="178879104"/>
        <c:axId val="178877184"/>
      </c:scatterChart>
      <c:valAx>
        <c:axId val="178864896"/>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78866816"/>
        <c:crosses val="autoZero"/>
        <c:crossBetween val="midCat"/>
      </c:valAx>
      <c:valAx>
        <c:axId val="1788668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78864896"/>
        <c:crosses val="autoZero"/>
        <c:crossBetween val="midCat"/>
        <c:majorUnit val="20"/>
      </c:valAx>
      <c:valAx>
        <c:axId val="178877184"/>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78879104"/>
        <c:crosses val="max"/>
        <c:crossBetween val="midCat"/>
        <c:majorUnit val="45"/>
      </c:valAx>
      <c:valAx>
        <c:axId val="178879104"/>
        <c:scaling>
          <c:logBase val="10"/>
          <c:orientation val="minMax"/>
        </c:scaling>
        <c:delete val="1"/>
        <c:axPos val="b"/>
        <c:numFmt formatCode="General" sourceLinked="1"/>
        <c:majorTickMark val="out"/>
        <c:minorTickMark val="none"/>
        <c:tickLblPos val="nextTo"/>
        <c:crossAx val="178877184"/>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47.082751551442634</c:v>
                </c:pt>
                <c:pt idx="1">
                  <c:v>44.860533140288723</c:v>
                </c:pt>
                <c:pt idx="2">
                  <c:v>42.638317275300139</c:v>
                </c:pt>
                <c:pt idx="3">
                  <c:v>40.416105657551341</c:v>
                </c:pt>
                <c:pt idx="4">
                  <c:v>38.193901124569194</c:v>
                </c:pt>
                <c:pt idx="5">
                  <c:v>35.971708409534216</c:v>
                </c:pt>
                <c:pt idx="6">
                  <c:v>33.749535407588752</c:v>
                </c:pt>
                <c:pt idx="7">
                  <c:v>31.527395287849576</c:v>
                </c:pt>
                <c:pt idx="8">
                  <c:v>29.305310015572985</c:v>
                </c:pt>
                <c:pt idx="9">
                  <c:v>27.083316225020276</c:v>
                </c:pt>
                <c:pt idx="10">
                  <c:v>24.861475009145806</c:v>
                </c:pt>
                <c:pt idx="11">
                  <c:v>22.639888230753957</c:v>
                </c:pt>
                <c:pt idx="12">
                  <c:v>20.418725678252567</c:v>
                </c:pt>
                <c:pt idx="13">
                  <c:v>18.198270217222813</c:v>
                </c:pt>
                <c:pt idx="14">
                  <c:v>15.978992699919965</c:v>
                </c:pt>
                <c:pt idx="15">
                  <c:v>13.761675791866326</c:v>
                </c:pt>
                <c:pt idx="16">
                  <c:v>11.54761740541311</c:v>
                </c:pt>
                <c:pt idx="17">
                  <c:v>9.3389614651388086</c:v>
                </c:pt>
                <c:pt idx="18">
                  <c:v>7.1392262517160452</c:v>
                </c:pt>
                <c:pt idx="19">
                  <c:v>4.954122747087796</c:v>
                </c:pt>
                <c:pt idx="20">
                  <c:v>2.7927539640128791</c:v>
                </c:pt>
                <c:pt idx="21">
                  <c:v>0.66919528993010635</c:v>
                </c:pt>
                <c:pt idx="22">
                  <c:v>-1.3958705845011996</c:v>
                </c:pt>
                <c:pt idx="23">
                  <c:v>-3.3745734908269993</c:v>
                </c:pt>
                <c:pt idx="24">
                  <c:v>-5.2347143984480162</c:v>
                </c:pt>
                <c:pt idx="25">
                  <c:v>-6.9492256428424</c:v>
                </c:pt>
                <c:pt idx="26">
                  <c:v>-8.5128888221983914</c:v>
                </c:pt>
                <c:pt idx="27">
                  <c:v>-9.9592071669374569</c:v>
                </c:pt>
                <c:pt idx="28">
                  <c:v>-11.363283796495335</c:v>
                </c:pt>
                <c:pt idx="29">
                  <c:v>-12.82242791616852</c:v>
                </c:pt>
                <c:pt idx="30">
                  <c:v>-14.424489283119314</c:v>
                </c:pt>
                <c:pt idx="31">
                  <c:v>-16.225568645437942</c:v>
                </c:pt>
                <c:pt idx="32">
                  <c:v>-18.25000654730453</c:v>
                </c:pt>
                <c:pt idx="33">
                  <c:v>-20.506051883195656</c:v>
                </c:pt>
                <c:pt idx="34">
                  <c:v>-23.000910326661071</c:v>
                </c:pt>
                <c:pt idx="35">
                  <c:v>-25.744797635565678</c:v>
                </c:pt>
                <c:pt idx="36">
                  <c:v>-28.744791457492802</c:v>
                </c:pt>
                <c:pt idx="37">
                  <c:v>-31.99551229149742</c:v>
                </c:pt>
                <c:pt idx="38">
                  <c:v>-35.472190557831254</c:v>
                </c:pt>
                <c:pt idx="39">
                  <c:v>-39.128854922511692</c:v>
                </c:pt>
                <c:pt idx="40">
                  <c:v>-42.905743710749945</c:v>
                </c:pt>
                <c:pt idx="41">
                  <c:v>-46.749761920384117</c:v>
                </c:pt>
                <c:pt idx="42">
                  <c:v>-50.646894876348682</c:v>
                </c:pt>
                <c:pt idx="43">
                  <c:v>-54.657078986151518</c:v>
                </c:pt>
                <c:pt idx="44">
                  <c:v>-58.92498063755027</c:v>
                </c:pt>
                <c:pt idx="45">
                  <c:v>-63.627209061297947</c:v>
                </c:pt>
                <c:pt idx="46">
                  <c:v>-68.862945311592412</c:v>
                </c:pt>
                <c:pt idx="47">
                  <c:v>-74.591667409285307</c:v>
                </c:pt>
                <c:pt idx="48">
                  <c:v>-80.685203825359707</c:v>
                </c:pt>
                <c:pt idx="49">
                  <c:v>-87.013062474398623</c:v>
                </c:pt>
                <c:pt idx="50">
                  <c:v>-93.481189216510657</c:v>
                </c:pt>
                <c:pt idx="51">
                  <c:v>-100.03125062817119</c:v>
                </c:pt>
                <c:pt idx="52">
                  <c:v>-106.62907194227427</c:v>
                </c:pt>
                <c:pt idx="53">
                  <c:v>-113.25489080656689</c:v>
                </c:pt>
                <c:pt idx="54">
                  <c:v>-119.89723203165553</c:v>
                </c:pt>
              </c:numCache>
            </c:numRef>
          </c:yVal>
          <c:smooth val="0"/>
          <c:extLst>
            <c:ext xmlns:c16="http://schemas.microsoft.com/office/drawing/2014/chart" uri="{C3380CC4-5D6E-409C-BE32-E72D297353CC}">
              <c16:uniqueId val="{00000000-31F7-45AC-AAD3-C931682B7E7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31F7-45AC-AAD3-C931682B7E7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F7-45AC-AAD3-C931682B7E7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1897.5254019898109</c:v>
                </c:pt>
              </c:numCache>
            </c:numRef>
          </c:xVal>
          <c:yVal>
            <c:numRef>
              <c:f>Compensation!$Z$137</c:f>
              <c:numCache>
                <c:formatCode>General</c:formatCode>
                <c:ptCount val="1"/>
                <c:pt idx="0">
                  <c:v>-13.60713245531327</c:v>
                </c:pt>
              </c:numCache>
            </c:numRef>
          </c:yVal>
          <c:smooth val="0"/>
          <c:extLst>
            <c:ext xmlns:c16="http://schemas.microsoft.com/office/drawing/2014/chart" uri="{C3380CC4-5D6E-409C-BE32-E72D297353CC}">
              <c16:uniqueId val="{00000003-31F7-45AC-AAD3-C931682B7E7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F7-45AC-AAD3-C931682B7E7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777.88339732109148</c:v>
                </c:pt>
              </c:numCache>
            </c:numRef>
          </c:xVal>
          <c:yVal>
            <c:numRef>
              <c:f>Compensation!$Z$135</c:f>
              <c:numCache>
                <c:formatCode>General</c:formatCode>
                <c:ptCount val="1"/>
                <c:pt idx="0">
                  <c:v>-8.5401355491278466</c:v>
                </c:pt>
              </c:numCache>
            </c:numRef>
          </c:yVal>
          <c:smooth val="0"/>
          <c:extLst>
            <c:ext xmlns:c16="http://schemas.microsoft.com/office/drawing/2014/chart" uri="{C3380CC4-5D6E-409C-BE32-E72D297353CC}">
              <c16:uniqueId val="{00000005-31F7-45AC-AAD3-C931682B7E7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F7-45AC-AAD3-C931682B7E76}"/>
                </c:ext>
              </c:extLst>
            </c:dLbl>
            <c:spPr>
              <a:noFill/>
              <a:ln>
                <a:noFill/>
              </a:ln>
              <a:effectLst/>
            </c:spPr>
            <c:txPr>
              <a:bodyPr/>
              <a:lstStyle/>
              <a:p>
                <a:pPr>
                  <a:defRPr sz="1200"/>
                </a:pPr>
                <a:endParaRPr lang="de-DE"/>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7778.8339732109152</c:v>
                </c:pt>
              </c:numCache>
            </c:numRef>
          </c:xVal>
          <c:yVal>
            <c:numRef>
              <c:f>Compensation!$Z$136</c:f>
              <c:numCache>
                <c:formatCode>General</c:formatCode>
                <c:ptCount val="1"/>
                <c:pt idx="0">
                  <c:v>-25.797189406396178</c:v>
                </c:pt>
              </c:numCache>
            </c:numRef>
          </c:yVal>
          <c:smooth val="0"/>
          <c:extLst>
            <c:ext xmlns:c16="http://schemas.microsoft.com/office/drawing/2014/chart" uri="{C3380CC4-5D6E-409C-BE32-E72D297353CC}">
              <c16:uniqueId val="{00000007-31F7-45AC-AAD3-C931682B7E76}"/>
            </c:ext>
          </c:extLst>
        </c:ser>
        <c:dLbls>
          <c:showLegendKey val="0"/>
          <c:showVal val="0"/>
          <c:showCatName val="0"/>
          <c:showSerName val="0"/>
          <c:showPercent val="0"/>
          <c:showBubbleSize val="0"/>
        </c:dLbls>
        <c:axId val="187990400"/>
        <c:axId val="18799232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90.035354487274248</c:v>
                </c:pt>
                <c:pt idx="1">
                  <c:v>90.045662044317027</c:v>
                </c:pt>
                <c:pt idx="2">
                  <c:v>90.058974729360898</c:v>
                </c:pt>
                <c:pt idx="3">
                  <c:v>90.076168643982882</c:v>
                </c:pt>
                <c:pt idx="4">
                  <c:v>90.098375267836047</c:v>
                </c:pt>
                <c:pt idx="5">
                  <c:v>90.127055857424693</c:v>
                </c:pt>
                <c:pt idx="6">
                  <c:v>90.164097470462579</c:v>
                </c:pt>
                <c:pt idx="7">
                  <c:v>90.211936845312721</c:v>
                </c:pt>
                <c:pt idx="8">
                  <c:v>90.27372009417364</c:v>
                </c:pt>
                <c:pt idx="9">
                  <c:v>90.353508301599021</c:v>
                </c:pt>
                <c:pt idx="10">
                  <c:v>90.456541658716134</c:v>
                </c:pt>
                <c:pt idx="11">
                  <c:v>90.589577578077908</c:v>
                </c:pt>
                <c:pt idx="12">
                  <c:v>90.761320872196947</c:v>
                </c:pt>
                <c:pt idx="13">
                  <c:v>90.982965350386536</c:v>
                </c:pt>
                <c:pt idx="14">
                  <c:v>91.26886327398897</c:v>
                </c:pt>
                <c:pt idx="15">
                  <c:v>91.637325686668603</c:v>
                </c:pt>
                <c:pt idx="16">
                  <c:v>92.111519052389482</c:v>
                </c:pt>
                <c:pt idx="17">
                  <c:v>92.72033345816908</c:v>
                </c:pt>
                <c:pt idx="18">
                  <c:v>93.498898406422853</c:v>
                </c:pt>
                <c:pt idx="19">
                  <c:v>94.488010282469972</c:v>
                </c:pt>
                <c:pt idx="20">
                  <c:v>95.730948686162122</c:v>
                </c:pt>
                <c:pt idx="21">
                  <c:v>97.264837179849977</c:v>
                </c:pt>
                <c:pt idx="22">
                  <c:v>99.102023332210621</c:v>
                </c:pt>
                <c:pt idx="23">
                  <c:v>101.19641294399186</c:v>
                </c:pt>
                <c:pt idx="24">
                  <c:v>103.39474660868676</c:v>
                </c:pt>
                <c:pt idx="25">
                  <c:v>105.39010753135655</c:v>
                </c:pt>
                <c:pt idx="26">
                  <c:v>106.7218667061223</c:v>
                </c:pt>
                <c:pt idx="27">
                  <c:v>106.87085484553197</c:v>
                </c:pt>
                <c:pt idx="28">
                  <c:v>105.43828968796863</c:v>
                </c:pt>
                <c:pt idx="29">
                  <c:v>102.30337356267644</c:v>
                </c:pt>
                <c:pt idx="30">
                  <c:v>97.640982118492246</c:v>
                </c:pt>
                <c:pt idx="31">
                  <c:v>91.789075668061471</c:v>
                </c:pt>
                <c:pt idx="32">
                  <c:v>85.077714546605662</c:v>
                </c:pt>
                <c:pt idx="33">
                  <c:v>77.740950879174562</c:v>
                </c:pt>
                <c:pt idx="34">
                  <c:v>69.938019315489569</c:v>
                </c:pt>
                <c:pt idx="35">
                  <c:v>61.824201026991034</c:v>
                </c:pt>
                <c:pt idx="36">
                  <c:v>53.5989012930348</c:v>
                </c:pt>
                <c:pt idx="37">
                  <c:v>45.499607775713159</c:v>
                </c:pt>
                <c:pt idx="38">
                  <c:v>37.750372288606926</c:v>
                </c:pt>
                <c:pt idx="39">
                  <c:v>30.476090131267831</c:v>
                </c:pt>
                <c:pt idx="40">
                  <c:v>23.596260029692779</c:v>
                </c:pt>
                <c:pt idx="41">
                  <c:v>16.742480877462643</c:v>
                </c:pt>
                <c:pt idx="42">
                  <c:v>9.2695169713598045</c:v>
                </c:pt>
                <c:pt idx="43">
                  <c:v>0.44376924777664528</c:v>
                </c:pt>
                <c:pt idx="44">
                  <c:v>-10.143476953316956</c:v>
                </c:pt>
                <c:pt idx="45">
                  <c:v>-22.119414558328963</c:v>
                </c:pt>
                <c:pt idx="46">
                  <c:v>-34.338252226887541</c:v>
                </c:pt>
                <c:pt idx="47">
                  <c:v>-45.555228167109803</c:v>
                </c:pt>
                <c:pt idx="48">
                  <c:v>-55.068978369520337</c:v>
                </c:pt>
                <c:pt idx="49">
                  <c:v>-62.766483468381495</c:v>
                </c:pt>
                <c:pt idx="50">
                  <c:v>-68.847078361321238</c:v>
                </c:pt>
                <c:pt idx="51">
                  <c:v>-73.597598629915382</c:v>
                </c:pt>
                <c:pt idx="52">
                  <c:v>-77.290896030420754</c:v>
                </c:pt>
                <c:pt idx="53">
                  <c:v>-80.156074978212374</c:v>
                </c:pt>
                <c:pt idx="54">
                  <c:v>-82.376648444801845</c:v>
                </c:pt>
              </c:numCache>
            </c:numRef>
          </c:yVal>
          <c:smooth val="0"/>
          <c:extLst>
            <c:ext xmlns:c16="http://schemas.microsoft.com/office/drawing/2014/chart" uri="{C3380CC4-5D6E-409C-BE32-E72D297353CC}">
              <c16:uniqueId val="{00000008-31F7-45AC-AAD3-C931682B7E76}"/>
            </c:ext>
          </c:extLst>
        </c:ser>
        <c:dLbls>
          <c:showLegendKey val="0"/>
          <c:showVal val="0"/>
          <c:showCatName val="0"/>
          <c:showSerName val="0"/>
          <c:showPercent val="0"/>
          <c:showBubbleSize val="0"/>
        </c:dLbls>
        <c:axId val="195000960"/>
        <c:axId val="188226176"/>
      </c:scatterChart>
      <c:valAx>
        <c:axId val="1879904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7992320"/>
        <c:crosses val="autoZero"/>
        <c:crossBetween val="midCat"/>
      </c:valAx>
      <c:valAx>
        <c:axId val="18799232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7990400"/>
        <c:crosses val="autoZero"/>
        <c:crossBetween val="midCat"/>
        <c:majorUnit val="20"/>
      </c:valAx>
      <c:valAx>
        <c:axId val="18822617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95000960"/>
        <c:crosses val="max"/>
        <c:crossBetween val="midCat"/>
        <c:majorUnit val="45"/>
      </c:valAx>
      <c:valAx>
        <c:axId val="195000960"/>
        <c:scaling>
          <c:logBase val="10"/>
          <c:orientation val="minMax"/>
        </c:scaling>
        <c:delete val="1"/>
        <c:axPos val="b"/>
        <c:numFmt formatCode="General" sourceLinked="1"/>
        <c:majorTickMark val="out"/>
        <c:minorTickMark val="none"/>
        <c:tickLblPos val="nextTo"/>
        <c:crossAx val="18822617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Boost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64.313205456121665</c:v>
                </c:pt>
                <c:pt idx="1">
                  <c:v>62.090988565707747</c:v>
                </c:pt>
                <c:pt idx="2">
                  <c:v>59.868775237203778</c:v>
                </c:pt>
                <c:pt idx="3">
                  <c:v>57.646567849835833</c:v>
                </c:pt>
                <c:pt idx="4">
                  <c:v>55.424370371521022</c:v>
                </c:pt>
                <c:pt idx="5">
                  <c:v>53.202189418723968</c:v>
                </c:pt>
                <c:pt idx="6">
                  <c:v>50.980036021639435</c:v>
                </c:pt>
                <c:pt idx="7">
                  <c:v>48.757928561019568</c:v>
                </c:pt>
                <c:pt idx="8">
                  <c:v>46.535897645776565</c:v>
                </c:pt>
                <c:pt idx="9">
                  <c:v>44.313994190170618</c:v>
                </c:pt>
                <c:pt idx="10">
                  <c:v>42.092302723641239</c:v>
                </c:pt>
                <c:pt idx="11">
                  <c:v>39.870963141224863</c:v>
                </c:pt>
                <c:pt idx="12">
                  <c:v>37.650205746276924</c:v>
                </c:pt>
                <c:pt idx="13">
                  <c:v>35.430406338280342</c:v>
                </c:pt>
                <c:pt idx="14">
                  <c:v>33.212169101354732</c:v>
                </c:pt>
                <c:pt idx="15">
                  <c:v>30.996441432430458</c:v>
                </c:pt>
                <c:pt idx="16">
                  <c:v>28.784647177242256</c:v>
                </c:pt>
                <c:pt idx="17">
                  <c:v>26.57877467214103</c:v>
                </c:pt>
                <c:pt idx="18">
                  <c:v>24.381254488164767</c:v>
                </c:pt>
                <c:pt idx="19">
                  <c:v>22.194343550490487</c:v>
                </c:pt>
                <c:pt idx="20">
                  <c:v>20.018811408388501</c:v>
                </c:pt>
                <c:pt idx="21">
                  <c:v>17.852378389818632</c:v>
                </c:pt>
                <c:pt idx="22">
                  <c:v>15.689375682351788</c:v>
                </c:pt>
                <c:pt idx="23">
                  <c:v>13.522827318919839</c:v>
                </c:pt>
                <c:pt idx="24">
                  <c:v>11.347734371810144</c:v>
                </c:pt>
                <c:pt idx="25">
                  <c:v>9.1628750586951639</c:v>
                </c:pt>
                <c:pt idx="26">
                  <c:v>6.9703192213655027</c:v>
                </c:pt>
                <c:pt idx="27">
                  <c:v>4.7740830209248122</c:v>
                </c:pt>
                <c:pt idx="28">
                  <c:v>2.5793284104864216</c:v>
                </c:pt>
                <c:pt idx="29">
                  <c:v>0.39249709133704602</c:v>
                </c:pt>
                <c:pt idx="30">
                  <c:v>-1.777775207757851</c:v>
                </c:pt>
                <c:pt idx="31">
                  <c:v>-3.9191903897509488</c:v>
                </c:pt>
                <c:pt idx="32">
                  <c:v>-6.0140710108804987</c:v>
                </c:pt>
                <c:pt idx="33">
                  <c:v>-8.0381368081550182</c:v>
                </c:pt>
                <c:pt idx="34">
                  <c:v>-9.9614216693180904</c:v>
                </c:pt>
                <c:pt idx="35">
                  <c:v>-11.75377730799471</c:v>
                </c:pt>
                <c:pt idx="36">
                  <c:v>-13.396188208830377</c:v>
                </c:pt>
                <c:pt idx="37">
                  <c:v>-14.893988595213335</c:v>
                </c:pt>
                <c:pt idx="38">
                  <c:v>-16.282122163246267</c:v>
                </c:pt>
                <c:pt idx="39">
                  <c:v>-17.614573559578123</c:v>
                </c:pt>
                <c:pt idx="40">
                  <c:v>-18.943336657047304</c:v>
                </c:pt>
                <c:pt idx="41">
                  <c:v>-20.306753778235603</c:v>
                </c:pt>
                <c:pt idx="42">
                  <c:v>-21.745985173912366</c:v>
                </c:pt>
                <c:pt idx="43">
                  <c:v>-23.344145541033996</c:v>
                </c:pt>
                <c:pt idx="44">
                  <c:v>-25.249363894579236</c:v>
                </c:pt>
                <c:pt idx="45">
                  <c:v>-27.631693265467948</c:v>
                </c:pt>
                <c:pt idx="46">
                  <c:v>-30.579945096204963</c:v>
                </c:pt>
                <c:pt idx="47">
                  <c:v>-34.043784573190088</c:v>
                </c:pt>
                <c:pt idx="48">
                  <c:v>-37.887671219389382</c:v>
                </c:pt>
                <c:pt idx="49">
                  <c:v>-41.97597920989945</c:v>
                </c:pt>
                <c:pt idx="50">
                  <c:v>-46.211112431134993</c:v>
                </c:pt>
                <c:pt idx="51">
                  <c:v>-50.532340330648395</c:v>
                </c:pt>
                <c:pt idx="52">
                  <c:v>-54.903916876348269</c:v>
                </c:pt>
                <c:pt idx="53">
                  <c:v>-59.305079942201509</c:v>
                </c:pt>
                <c:pt idx="54">
                  <c:v>-63.723731916098806</c:v>
                </c:pt>
              </c:numCache>
            </c:numRef>
          </c:yVal>
          <c:smooth val="1"/>
          <c:extLst>
            <c:ext xmlns:c16="http://schemas.microsoft.com/office/drawing/2014/chart" uri="{C3380CC4-5D6E-409C-BE32-E72D297353CC}">
              <c16:uniqueId val="{00000000-ED75-49C8-8AF9-7567950C0D6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ED75-49C8-8AF9-7567950C0D6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75-49C8-8AF9-7567950C0D6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248.67959858108651</c:v>
                </c:pt>
              </c:numCache>
            </c:numRef>
          </c:xVal>
          <c:yVal>
            <c:numRef>
              <c:f>Compensation!$Z$227</c:f>
              <c:numCache>
                <c:formatCode>General</c:formatCode>
                <c:ptCount val="1"/>
                <c:pt idx="0">
                  <c:v>16.639484254987568</c:v>
                </c:pt>
              </c:numCache>
            </c:numRef>
          </c:yVal>
          <c:smooth val="0"/>
          <c:extLst>
            <c:ext xmlns:c16="http://schemas.microsoft.com/office/drawing/2014/chart" uri="{C3380CC4-5D6E-409C-BE32-E72D297353CC}">
              <c16:uniqueId val="{00000003-ED75-49C8-8AF9-7567950C0D6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75-49C8-8AF9-7567950C0D6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234.05138689984605</c:v>
                </c:pt>
              </c:numCache>
            </c:numRef>
          </c:xVal>
          <c:yVal>
            <c:numRef>
              <c:f>Compensation!$Z$225</c:f>
              <c:numCache>
                <c:formatCode>General</c:formatCode>
                <c:ptCount val="1"/>
                <c:pt idx="0">
                  <c:v>17.151962442632676</c:v>
                </c:pt>
              </c:numCache>
            </c:numRef>
          </c:yVal>
          <c:smooth val="0"/>
          <c:extLst>
            <c:ext xmlns:c16="http://schemas.microsoft.com/office/drawing/2014/chart" uri="{C3380CC4-5D6E-409C-BE32-E72D297353CC}">
              <c16:uniqueId val="{00000005-ED75-49C8-8AF9-7567950C0D6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75-49C8-8AF9-7567950C0D69}"/>
                </c:ext>
              </c:extLst>
            </c:dLbl>
            <c:spPr>
              <a:noFill/>
              <a:ln>
                <a:noFill/>
              </a:ln>
              <a:effectLst/>
            </c:spPr>
            <c:txPr>
              <a:bodyPr/>
              <a:lstStyle/>
              <a:p>
                <a:pPr>
                  <a:defRPr sz="1200"/>
                </a:pPr>
                <a:endParaRPr lang="de-DE"/>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23405.138689984604</c:v>
                </c:pt>
              </c:numCache>
            </c:numRef>
          </c:xVal>
          <c:yVal>
            <c:numRef>
              <c:f>Compensation!$Z$226</c:f>
              <c:numCache>
                <c:formatCode>General</c:formatCode>
                <c:ptCount val="1"/>
                <c:pt idx="0">
                  <c:v>-18.043120065951921</c:v>
                </c:pt>
              </c:numCache>
            </c:numRef>
          </c:yVal>
          <c:smooth val="0"/>
          <c:extLst>
            <c:ext xmlns:c16="http://schemas.microsoft.com/office/drawing/2014/chart" uri="{C3380CC4-5D6E-409C-BE32-E72D297353CC}">
              <c16:uniqueId val="{00000007-ED75-49C8-8AF9-7567950C0D69}"/>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D75-49C8-8AF9-7567950C0D69}"/>
                </c:ext>
              </c:extLst>
            </c:dLbl>
            <c:spPr>
              <a:noFill/>
              <a:ln>
                <a:noFill/>
              </a:ln>
              <a:effectLst/>
            </c:spPr>
            <c:txPr>
              <a:bodyPr/>
              <a:lstStyle/>
              <a:p>
                <a:pPr>
                  <a:defRPr sz="1400"/>
                </a:pPr>
                <a:endParaRPr lang="de-DE"/>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8841.9412828830737</c:v>
                </c:pt>
              </c:numCache>
            </c:numRef>
          </c:xVal>
          <c:yVal>
            <c:numRef>
              <c:f>Compensation!$Z$228</c:f>
              <c:numCache>
                <c:formatCode>General</c:formatCode>
                <c:ptCount val="1"/>
                <c:pt idx="0">
                  <c:v>-12.625149332467561</c:v>
                </c:pt>
              </c:numCache>
            </c:numRef>
          </c:yVal>
          <c:smooth val="0"/>
          <c:extLst>
            <c:ext xmlns:c16="http://schemas.microsoft.com/office/drawing/2014/chart" uri="{C3380CC4-5D6E-409C-BE32-E72D297353CC}">
              <c16:uniqueId val="{00000009-ED75-49C8-8AF9-7567950C0D69}"/>
            </c:ext>
          </c:extLst>
        </c:ser>
        <c:dLbls>
          <c:showLegendKey val="0"/>
          <c:showVal val="0"/>
          <c:showCatName val="0"/>
          <c:showSerName val="0"/>
          <c:showPercent val="0"/>
          <c:showBubbleSize val="0"/>
        </c:dLbls>
        <c:axId val="205768960"/>
        <c:axId val="2057756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90.007445974644526</c:v>
                </c:pt>
                <c:pt idx="1">
                  <c:v>90.009616657567804</c:v>
                </c:pt>
                <c:pt idx="2">
                  <c:v>90.012419984783349</c:v>
                </c:pt>
                <c:pt idx="3">
                  <c:v>90.016040152365349</c:v>
                </c:pt>
                <c:pt idx="4">
                  <c:v>90.020714768831553</c:v>
                </c:pt>
                <c:pt idx="5">
                  <c:v>90.026750093117442</c:v>
                </c:pt>
                <c:pt idx="6">
                  <c:v>90.034540329695247</c:v>
                </c:pt>
                <c:pt idx="7">
                  <c:v>90.044591720153122</c:v>
                </c:pt>
                <c:pt idx="8">
                  <c:v>90.057551877863332</c:v>
                </c:pt>
                <c:pt idx="9">
                  <c:v>90.074243857448451</c:v>
                </c:pt>
                <c:pt idx="10">
                  <c:v>90.095701999815674</c:v>
                </c:pt>
                <c:pt idx="11">
                  <c:v>90.12320089448437</c:v>
                </c:pt>
                <c:pt idx="12">
                  <c:v>90.158256298086556</c:v>
                </c:pt>
                <c:pt idx="13">
                  <c:v>90.202550719571377</c:v>
                </c:pt>
                <c:pt idx="14">
                  <c:v>90.257684864261009</c:v>
                </c:pt>
                <c:pt idx="15">
                  <c:v>90.324563476569324</c:v>
                </c:pt>
                <c:pt idx="16">
                  <c:v>90.402085295944161</c:v>
                </c:pt>
                <c:pt idx="17">
                  <c:v>90.484685869106031</c:v>
                </c:pt>
                <c:pt idx="18">
                  <c:v>90.558456917289661</c:v>
                </c:pt>
                <c:pt idx="19">
                  <c:v>90.596679462425683</c:v>
                </c:pt>
                <c:pt idx="20">
                  <c:v>90.558166880888237</c:v>
                </c:pt>
                <c:pt idx="21">
                  <c:v>90.393872362620115</c:v>
                </c:pt>
                <c:pt idx="22">
                  <c:v>90.062731757435998</c:v>
                </c:pt>
                <c:pt idx="23">
                  <c:v>89.545560406834269</c:v>
                </c:pt>
                <c:pt idx="24">
                  <c:v>88.842238756994504</c:v>
                </c:pt>
                <c:pt idx="25">
                  <c:v>87.953597856514577</c:v>
                </c:pt>
                <c:pt idx="26">
                  <c:v>86.863377885703997</c:v>
                </c:pt>
                <c:pt idx="27">
                  <c:v>85.529447983146156</c:v>
                </c:pt>
                <c:pt idx="28">
                  <c:v>83.881805164377027</c:v>
                </c:pt>
                <c:pt idx="29">
                  <c:v>81.821697942839734</c:v>
                </c:pt>
                <c:pt idx="30">
                  <c:v>79.218676669404246</c:v>
                </c:pt>
                <c:pt idx="31">
                  <c:v>75.904974583269578</c:v>
                </c:pt>
                <c:pt idx="32">
                  <c:v>71.668456705697793</c:v>
                </c:pt>
                <c:pt idx="33">
                  <c:v>66.248219940460288</c:v>
                </c:pt>
                <c:pt idx="34">
                  <c:v>59.343299970187104</c:v>
                </c:pt>
                <c:pt idx="35">
                  <c:v>50.655027098894713</c:v>
                </c:pt>
                <c:pt idx="36">
                  <c:v>39.985891792601969</c:v>
                </c:pt>
                <c:pt idx="37">
                  <c:v>27.383156088697501</c:v>
                </c:pt>
                <c:pt idx="38">
                  <c:v>13.237450016307434</c:v>
                </c:pt>
                <c:pt idx="39">
                  <c:v>-1.7882573692999599</c:v>
                </c:pt>
                <c:pt idx="40">
                  <c:v>-17.020647049825246</c:v>
                </c:pt>
                <c:pt idx="41">
                  <c:v>-32.092370657780343</c:v>
                </c:pt>
                <c:pt idx="42">
                  <c:v>-47.11185669331266</c:v>
                </c:pt>
                <c:pt idx="43">
                  <c:v>-62.528257942616726</c:v>
                </c:pt>
                <c:pt idx="44">
                  <c:v>-78.667381760832725</c:v>
                </c:pt>
                <c:pt idx="45">
                  <c:v>-95.197178300396729</c:v>
                </c:pt>
                <c:pt idx="46">
                  <c:v>-111.07969252717763</c:v>
                </c:pt>
                <c:pt idx="47">
                  <c:v>-125.20675845590384</c:v>
                </c:pt>
                <c:pt idx="48">
                  <c:v>-137.01340946441067</c:v>
                </c:pt>
                <c:pt idx="49">
                  <c:v>-146.50755752591996</c:v>
                </c:pt>
                <c:pt idx="50">
                  <c:v>-153.99031252474597</c:v>
                </c:pt>
                <c:pt idx="51">
                  <c:v>-159.83202912276931</c:v>
                </c:pt>
                <c:pt idx="52">
                  <c:v>-164.37290715138747</c:v>
                </c:pt>
                <c:pt idx="53">
                  <c:v>-167.89563175831145</c:v>
                </c:pt>
                <c:pt idx="54">
                  <c:v>-170.62593099869204</c:v>
                </c:pt>
              </c:numCache>
            </c:numRef>
          </c:yVal>
          <c:smooth val="1"/>
          <c:extLst>
            <c:ext xmlns:c16="http://schemas.microsoft.com/office/drawing/2014/chart" uri="{C3380CC4-5D6E-409C-BE32-E72D297353CC}">
              <c16:uniqueId val="{0000000A-ED75-49C8-8AF9-7567950C0D69}"/>
            </c:ext>
          </c:extLst>
        </c:ser>
        <c:dLbls>
          <c:showLegendKey val="0"/>
          <c:showVal val="0"/>
          <c:showCatName val="0"/>
          <c:showSerName val="0"/>
          <c:showPercent val="0"/>
          <c:showBubbleSize val="0"/>
        </c:dLbls>
        <c:axId val="205821440"/>
        <c:axId val="205777920"/>
      </c:scatterChart>
      <c:valAx>
        <c:axId val="20576896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05775616"/>
        <c:crosses val="autoZero"/>
        <c:crossBetween val="midCat"/>
      </c:valAx>
      <c:valAx>
        <c:axId val="2057756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05768960"/>
        <c:crosses val="autoZero"/>
        <c:crossBetween val="midCat"/>
        <c:majorUnit val="20"/>
      </c:valAx>
      <c:valAx>
        <c:axId val="205777920"/>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205821440"/>
        <c:crosses val="max"/>
        <c:crossBetween val="midCat"/>
        <c:majorUnit val="45"/>
      </c:valAx>
      <c:valAx>
        <c:axId val="205821440"/>
        <c:scaling>
          <c:logBase val="10"/>
          <c:orientation val="minMax"/>
        </c:scaling>
        <c:delete val="1"/>
        <c:axPos val="b"/>
        <c:numFmt formatCode="General" sourceLinked="1"/>
        <c:majorTickMark val="out"/>
        <c:minorTickMark val="none"/>
        <c:tickLblPos val="nextTo"/>
        <c:crossAx val="205777920"/>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Calculations!$AC$6:$AC$56</c:f>
              <c:numCache>
                <c:formatCode>General</c:formatCode>
                <c:ptCount val="51"/>
                <c:pt idx="0">
                  <c:v>0</c:v>
                </c:pt>
                <c:pt idx="1">
                  <c:v>0.37424924849623947</c:v>
                </c:pt>
                <c:pt idx="2">
                  <c:v>0.52926836293132051</c:v>
                </c:pt>
                <c:pt idx="3">
                  <c:v>0.64821871308995704</c:v>
                </c:pt>
                <c:pt idx="4">
                  <c:v>0.74849849699247895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8364-46AE-A3E0-7BFABE7F42FC}"/>
            </c:ext>
          </c:extLst>
        </c:ser>
        <c:ser>
          <c:idx val="1"/>
          <c:order val="1"/>
          <c:tx>
            <c:v>LV Port Nom</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Calculations!$AG$6:$AG$56</c:f>
              <c:numCache>
                <c:formatCode>General</c:formatCode>
                <c:ptCount val="51"/>
                <c:pt idx="0">
                  <c:v>0</c:v>
                </c:pt>
                <c:pt idx="1">
                  <c:v>0.35083504282315825</c:v>
                </c:pt>
                <c:pt idx="2">
                  <c:v>0.49615567571625596</c:v>
                </c:pt>
                <c:pt idx="3">
                  <c:v>0.60766411924531294</c:v>
                </c:pt>
                <c:pt idx="4">
                  <c:v>0.7016700856463165</c:v>
                </c:pt>
                <c:pt idx="5">
                  <c:v>0.72500000000000009</c:v>
                </c:pt>
                <c:pt idx="6">
                  <c:v>0.72500000000000009</c:v>
                </c:pt>
                <c:pt idx="7">
                  <c:v>0.72500000000000009</c:v>
                </c:pt>
                <c:pt idx="8">
                  <c:v>0.72500000000000009</c:v>
                </c:pt>
                <c:pt idx="9">
                  <c:v>0.72500000000000009</c:v>
                </c:pt>
                <c:pt idx="10">
                  <c:v>0.72500000000000009</c:v>
                </c:pt>
                <c:pt idx="11">
                  <c:v>0.72500000000000009</c:v>
                </c:pt>
                <c:pt idx="12">
                  <c:v>0.72500000000000009</c:v>
                </c:pt>
                <c:pt idx="13">
                  <c:v>0.72500000000000009</c:v>
                </c:pt>
                <c:pt idx="14">
                  <c:v>0.72500000000000009</c:v>
                </c:pt>
                <c:pt idx="15">
                  <c:v>0.72500000000000009</c:v>
                </c:pt>
                <c:pt idx="16">
                  <c:v>0.72500000000000009</c:v>
                </c:pt>
                <c:pt idx="17">
                  <c:v>0.72500000000000009</c:v>
                </c:pt>
                <c:pt idx="18">
                  <c:v>0.72500000000000009</c:v>
                </c:pt>
                <c:pt idx="19">
                  <c:v>0.72500000000000009</c:v>
                </c:pt>
                <c:pt idx="20">
                  <c:v>0.72500000000000009</c:v>
                </c:pt>
                <c:pt idx="21">
                  <c:v>0.72500000000000009</c:v>
                </c:pt>
                <c:pt idx="22">
                  <c:v>0.72500000000000009</c:v>
                </c:pt>
                <c:pt idx="23">
                  <c:v>0.72500000000000009</c:v>
                </c:pt>
                <c:pt idx="24">
                  <c:v>0.72500000000000009</c:v>
                </c:pt>
                <c:pt idx="25">
                  <c:v>0.72500000000000009</c:v>
                </c:pt>
                <c:pt idx="26">
                  <c:v>0.72500000000000009</c:v>
                </c:pt>
                <c:pt idx="27">
                  <c:v>0.72500000000000009</c:v>
                </c:pt>
                <c:pt idx="28">
                  <c:v>0.72500000000000009</c:v>
                </c:pt>
                <c:pt idx="29">
                  <c:v>0.72500000000000009</c:v>
                </c:pt>
                <c:pt idx="30">
                  <c:v>0.72500000000000009</c:v>
                </c:pt>
                <c:pt idx="31">
                  <c:v>0.72500000000000009</c:v>
                </c:pt>
                <c:pt idx="32">
                  <c:v>0.72500000000000009</c:v>
                </c:pt>
                <c:pt idx="33">
                  <c:v>0.72500000000000009</c:v>
                </c:pt>
                <c:pt idx="34">
                  <c:v>0.72500000000000009</c:v>
                </c:pt>
                <c:pt idx="35">
                  <c:v>0.72500000000000009</c:v>
                </c:pt>
                <c:pt idx="36">
                  <c:v>0.72500000000000009</c:v>
                </c:pt>
                <c:pt idx="37">
                  <c:v>0.72500000000000009</c:v>
                </c:pt>
                <c:pt idx="38">
                  <c:v>0.72500000000000009</c:v>
                </c:pt>
                <c:pt idx="39">
                  <c:v>0.72500000000000009</c:v>
                </c:pt>
                <c:pt idx="40">
                  <c:v>0.72500000000000009</c:v>
                </c:pt>
                <c:pt idx="41">
                  <c:v>0.72500000000000009</c:v>
                </c:pt>
                <c:pt idx="42">
                  <c:v>0.72500000000000009</c:v>
                </c:pt>
                <c:pt idx="43">
                  <c:v>0.72500000000000009</c:v>
                </c:pt>
                <c:pt idx="44">
                  <c:v>0.72500000000000009</c:v>
                </c:pt>
                <c:pt idx="45">
                  <c:v>0.72500000000000009</c:v>
                </c:pt>
                <c:pt idx="46">
                  <c:v>0.72500000000000009</c:v>
                </c:pt>
                <c:pt idx="47">
                  <c:v>0.72500000000000009</c:v>
                </c:pt>
                <c:pt idx="48">
                  <c:v>0.72500000000000009</c:v>
                </c:pt>
                <c:pt idx="49">
                  <c:v>0.72500000000000009</c:v>
                </c:pt>
                <c:pt idx="50">
                  <c:v>0.72500000000000009</c:v>
                </c:pt>
              </c:numCache>
            </c:numRef>
          </c:yVal>
          <c:smooth val="1"/>
          <c:extLst>
            <c:ext xmlns:c16="http://schemas.microsoft.com/office/drawing/2014/chart" uri="{C3380CC4-5D6E-409C-BE32-E72D297353CC}">
              <c16:uniqueId val="{00000001-8364-46AE-A3E0-7BFABE7F42FC}"/>
            </c:ext>
          </c:extLst>
        </c:ser>
        <c:ser>
          <c:idx val="2"/>
          <c:order val="2"/>
          <c:tx>
            <c:v>LV Port Max</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Calculations!$AK$6:$AK$56</c:f>
              <c:numCache>
                <c:formatCode>General</c:formatCode>
                <c:ptCount val="51"/>
                <c:pt idx="0">
                  <c:v>0</c:v>
                </c:pt>
                <c:pt idx="1">
                  <c:v>0.33672530135323747</c:v>
                </c:pt>
                <c:pt idx="2">
                  <c:v>0.47620148796791584</c:v>
                </c:pt>
                <c:pt idx="3">
                  <c:v>0.58322533013774847</c:v>
                </c:pt>
                <c:pt idx="4">
                  <c:v>0.67345060270647494</c:v>
                </c:pt>
                <c:pt idx="5">
                  <c:v>0.70833333333333326</c:v>
                </c:pt>
                <c:pt idx="6">
                  <c:v>0.70833333333333326</c:v>
                </c:pt>
                <c:pt idx="7">
                  <c:v>0.70833333333333326</c:v>
                </c:pt>
                <c:pt idx="8">
                  <c:v>0.70833333333333326</c:v>
                </c:pt>
                <c:pt idx="9">
                  <c:v>0.70833333333333326</c:v>
                </c:pt>
                <c:pt idx="10">
                  <c:v>0.70833333333333326</c:v>
                </c:pt>
                <c:pt idx="11">
                  <c:v>0.70833333333333326</c:v>
                </c:pt>
                <c:pt idx="12">
                  <c:v>0.70833333333333326</c:v>
                </c:pt>
                <c:pt idx="13">
                  <c:v>0.70833333333333326</c:v>
                </c:pt>
                <c:pt idx="14">
                  <c:v>0.70833333333333326</c:v>
                </c:pt>
                <c:pt idx="15">
                  <c:v>0.70833333333333326</c:v>
                </c:pt>
                <c:pt idx="16">
                  <c:v>0.70833333333333326</c:v>
                </c:pt>
                <c:pt idx="17">
                  <c:v>0.70833333333333326</c:v>
                </c:pt>
                <c:pt idx="18">
                  <c:v>0.70833333333333326</c:v>
                </c:pt>
                <c:pt idx="19">
                  <c:v>0.70833333333333326</c:v>
                </c:pt>
                <c:pt idx="20">
                  <c:v>0.70833333333333326</c:v>
                </c:pt>
                <c:pt idx="21">
                  <c:v>0.70833333333333326</c:v>
                </c:pt>
                <c:pt idx="22">
                  <c:v>0.70833333333333326</c:v>
                </c:pt>
                <c:pt idx="23">
                  <c:v>0.70833333333333326</c:v>
                </c:pt>
                <c:pt idx="24">
                  <c:v>0.70833333333333326</c:v>
                </c:pt>
                <c:pt idx="25">
                  <c:v>0.70833333333333326</c:v>
                </c:pt>
                <c:pt idx="26">
                  <c:v>0.70833333333333326</c:v>
                </c:pt>
                <c:pt idx="27">
                  <c:v>0.70833333333333326</c:v>
                </c:pt>
                <c:pt idx="28">
                  <c:v>0.70833333333333326</c:v>
                </c:pt>
                <c:pt idx="29">
                  <c:v>0.70833333333333326</c:v>
                </c:pt>
                <c:pt idx="30">
                  <c:v>0.70833333333333326</c:v>
                </c:pt>
                <c:pt idx="31">
                  <c:v>0.70833333333333326</c:v>
                </c:pt>
                <c:pt idx="32">
                  <c:v>0.70833333333333326</c:v>
                </c:pt>
                <c:pt idx="33">
                  <c:v>0.70833333333333326</c:v>
                </c:pt>
                <c:pt idx="34">
                  <c:v>0.70833333333333326</c:v>
                </c:pt>
                <c:pt idx="35">
                  <c:v>0.70833333333333326</c:v>
                </c:pt>
                <c:pt idx="36">
                  <c:v>0.70833333333333326</c:v>
                </c:pt>
                <c:pt idx="37">
                  <c:v>0.70833333333333326</c:v>
                </c:pt>
                <c:pt idx="38">
                  <c:v>0.70833333333333326</c:v>
                </c:pt>
                <c:pt idx="39">
                  <c:v>0.70833333333333326</c:v>
                </c:pt>
                <c:pt idx="40">
                  <c:v>0.70833333333333326</c:v>
                </c:pt>
                <c:pt idx="41">
                  <c:v>0.70833333333333326</c:v>
                </c:pt>
                <c:pt idx="42">
                  <c:v>0.70833333333333326</c:v>
                </c:pt>
                <c:pt idx="43">
                  <c:v>0.70833333333333326</c:v>
                </c:pt>
                <c:pt idx="44">
                  <c:v>0.70833333333333326</c:v>
                </c:pt>
                <c:pt idx="45">
                  <c:v>0.70833333333333326</c:v>
                </c:pt>
                <c:pt idx="46">
                  <c:v>0.70833333333333326</c:v>
                </c:pt>
                <c:pt idx="47">
                  <c:v>0.70833333333333326</c:v>
                </c:pt>
                <c:pt idx="48">
                  <c:v>0.70833333333333326</c:v>
                </c:pt>
                <c:pt idx="49">
                  <c:v>0.70833333333333326</c:v>
                </c:pt>
                <c:pt idx="50">
                  <c:v>0.70833333333333326</c:v>
                </c:pt>
              </c:numCache>
            </c:numRef>
          </c:yVal>
          <c:smooth val="1"/>
          <c:extLst>
            <c:ext xmlns:c16="http://schemas.microsoft.com/office/drawing/2014/chart" uri="{C3380CC4-5D6E-409C-BE32-E72D297353CC}">
              <c16:uniqueId val="{00000002-8364-46AE-A3E0-7BFABE7F42FC}"/>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1.0040160642570282</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8364-46AE-A3E0-7BFABE7F42FC}"/>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1.0676037483266398</c:v>
                </c:pt>
              </c:numCache>
            </c:numRef>
          </c:xVal>
          <c:yVal>
            <c:numRef>
              <c:f>Calculations!$B$60</c:f>
              <c:numCache>
                <c:formatCode>0.000</c:formatCode>
                <c:ptCount val="1"/>
                <c:pt idx="0">
                  <c:v>0.72500000000000009</c:v>
                </c:pt>
              </c:numCache>
            </c:numRef>
          </c:yVal>
          <c:smooth val="0"/>
          <c:extLst>
            <c:ext xmlns:c16="http://schemas.microsoft.com/office/drawing/2014/chart" uri="{C3380CC4-5D6E-409C-BE32-E72D297353CC}">
              <c16:uniqueId val="{00000004-8364-46AE-A3E0-7BFABE7F42FC}"/>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1.1062769596906143</c:v>
                </c:pt>
              </c:numCache>
            </c:numRef>
          </c:xVal>
          <c:yVal>
            <c:numRef>
              <c:f>Calculations!$B$63</c:f>
              <c:numCache>
                <c:formatCode>General</c:formatCode>
                <c:ptCount val="1"/>
                <c:pt idx="0">
                  <c:v>0.70833333333333326</c:v>
                </c:pt>
              </c:numCache>
            </c:numRef>
          </c:yVal>
          <c:smooth val="1"/>
          <c:extLst>
            <c:ext xmlns:c16="http://schemas.microsoft.com/office/drawing/2014/chart" uri="{C3380CC4-5D6E-409C-BE32-E72D297353CC}">
              <c16:uniqueId val="{00000005-8364-46AE-A3E0-7BFABE7F42FC}"/>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Calculations!$P$6:$P$56</c:f>
              <c:numCache>
                <c:formatCode>General</c:formatCode>
                <c:ptCount val="51"/>
                <c:pt idx="0">
                  <c:v>0</c:v>
                </c:pt>
                <c:pt idx="1">
                  <c:v>0.14774275643131232</c:v>
                </c:pt>
                <c:pt idx="2">
                  <c:v>0.20893980988754671</c:v>
                </c:pt>
                <c:pt idx="3">
                  <c:v>0.25589796058930642</c:v>
                </c:pt>
                <c:pt idx="4">
                  <c:v>0.29548551286262464</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numCache>
            </c:numRef>
          </c:yVal>
          <c:smooth val="1"/>
          <c:extLst>
            <c:ext xmlns:c16="http://schemas.microsoft.com/office/drawing/2014/chart" uri="{C3380CC4-5D6E-409C-BE32-E72D297353CC}">
              <c16:uniqueId val="{00000000-A88A-49FA-A910-0662731C8705}"/>
            </c:ext>
          </c:extLst>
        </c:ser>
        <c:ser>
          <c:idx val="1"/>
          <c:order val="1"/>
          <c:tx>
            <c:v>HV Port Nom</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Calculations!$T$6:$T$56</c:f>
              <c:numCache>
                <c:formatCode>General</c:formatCode>
                <c:ptCount val="51"/>
                <c:pt idx="0">
                  <c:v>0</c:v>
                </c:pt>
                <c:pt idx="1">
                  <c:v>0.13307536107085313</c:v>
                </c:pt>
                <c:pt idx="2">
                  <c:v>0.18819698044409711</c:v>
                </c:pt>
                <c:pt idx="3">
                  <c:v>0.23049328661029111</c:v>
                </c:pt>
                <c:pt idx="4">
                  <c:v>0.26615072214170626</c:v>
                </c:pt>
                <c:pt idx="5">
                  <c:v>0.27499999999999997</c:v>
                </c:pt>
                <c:pt idx="6">
                  <c:v>0.27499999999999997</c:v>
                </c:pt>
                <c:pt idx="7">
                  <c:v>0.27499999999999997</c:v>
                </c:pt>
                <c:pt idx="8">
                  <c:v>0.27499999999999997</c:v>
                </c:pt>
                <c:pt idx="9">
                  <c:v>0.27499999999999997</c:v>
                </c:pt>
                <c:pt idx="10">
                  <c:v>0.27499999999999997</c:v>
                </c:pt>
                <c:pt idx="11">
                  <c:v>0.27499999999999997</c:v>
                </c:pt>
                <c:pt idx="12">
                  <c:v>0.27499999999999997</c:v>
                </c:pt>
                <c:pt idx="13">
                  <c:v>0.27499999999999997</c:v>
                </c:pt>
                <c:pt idx="14">
                  <c:v>0.27499999999999997</c:v>
                </c:pt>
                <c:pt idx="15">
                  <c:v>0.27499999999999997</c:v>
                </c:pt>
                <c:pt idx="16">
                  <c:v>0.27499999999999997</c:v>
                </c:pt>
                <c:pt idx="17">
                  <c:v>0.27499999999999997</c:v>
                </c:pt>
                <c:pt idx="18">
                  <c:v>0.27499999999999997</c:v>
                </c:pt>
                <c:pt idx="19">
                  <c:v>0.27499999999999997</c:v>
                </c:pt>
                <c:pt idx="20">
                  <c:v>0.27499999999999997</c:v>
                </c:pt>
                <c:pt idx="21">
                  <c:v>0.27499999999999997</c:v>
                </c:pt>
                <c:pt idx="22">
                  <c:v>0.27499999999999997</c:v>
                </c:pt>
                <c:pt idx="23">
                  <c:v>0.27499999999999997</c:v>
                </c:pt>
                <c:pt idx="24">
                  <c:v>0.27499999999999997</c:v>
                </c:pt>
                <c:pt idx="25">
                  <c:v>0.27499999999999997</c:v>
                </c:pt>
                <c:pt idx="26">
                  <c:v>0.27499999999999997</c:v>
                </c:pt>
                <c:pt idx="27">
                  <c:v>0.27499999999999997</c:v>
                </c:pt>
                <c:pt idx="28">
                  <c:v>0.27499999999999997</c:v>
                </c:pt>
                <c:pt idx="29">
                  <c:v>0.27499999999999997</c:v>
                </c:pt>
                <c:pt idx="30">
                  <c:v>0.27499999999999997</c:v>
                </c:pt>
                <c:pt idx="31">
                  <c:v>0.27499999999999997</c:v>
                </c:pt>
                <c:pt idx="32">
                  <c:v>0.27499999999999997</c:v>
                </c:pt>
                <c:pt idx="33">
                  <c:v>0.27499999999999997</c:v>
                </c:pt>
                <c:pt idx="34">
                  <c:v>0.27499999999999997</c:v>
                </c:pt>
                <c:pt idx="35">
                  <c:v>0.27499999999999997</c:v>
                </c:pt>
                <c:pt idx="36">
                  <c:v>0.27499999999999997</c:v>
                </c:pt>
                <c:pt idx="37">
                  <c:v>0.27499999999999997</c:v>
                </c:pt>
                <c:pt idx="38">
                  <c:v>0.27499999999999997</c:v>
                </c:pt>
                <c:pt idx="39">
                  <c:v>0.27499999999999997</c:v>
                </c:pt>
                <c:pt idx="40">
                  <c:v>0.27499999999999997</c:v>
                </c:pt>
                <c:pt idx="41">
                  <c:v>0.27499999999999997</c:v>
                </c:pt>
                <c:pt idx="42">
                  <c:v>0.27499999999999997</c:v>
                </c:pt>
                <c:pt idx="43">
                  <c:v>0.27499999999999997</c:v>
                </c:pt>
                <c:pt idx="44">
                  <c:v>0.27499999999999997</c:v>
                </c:pt>
                <c:pt idx="45">
                  <c:v>0.27499999999999997</c:v>
                </c:pt>
                <c:pt idx="46">
                  <c:v>0.27499999999999997</c:v>
                </c:pt>
                <c:pt idx="47">
                  <c:v>0.27499999999999997</c:v>
                </c:pt>
                <c:pt idx="48">
                  <c:v>0.27499999999999997</c:v>
                </c:pt>
                <c:pt idx="49">
                  <c:v>0.27499999999999997</c:v>
                </c:pt>
                <c:pt idx="50">
                  <c:v>0.27499999999999997</c:v>
                </c:pt>
              </c:numCache>
            </c:numRef>
          </c:yVal>
          <c:smooth val="1"/>
          <c:extLst>
            <c:ext xmlns:c16="http://schemas.microsoft.com/office/drawing/2014/chart" uri="{C3380CC4-5D6E-409C-BE32-E72D297353CC}">
              <c16:uniqueId val="{00000001-A88A-49FA-A910-0662731C8705}"/>
            </c:ext>
          </c:extLst>
        </c:ser>
        <c:ser>
          <c:idx val="2"/>
          <c:order val="2"/>
          <c:tx>
            <c:v>HV Port Max</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Calculations!$X$6:$X$56</c:f>
              <c:numCache>
                <c:formatCode>General</c:formatCode>
                <c:ptCount val="51"/>
                <c:pt idx="0">
                  <c:v>0</c:v>
                </c:pt>
                <c:pt idx="1">
                  <c:v>0.12108500366523114</c:v>
                </c:pt>
                <c:pt idx="2">
                  <c:v>0.17124005438336581</c:v>
                </c:pt>
                <c:pt idx="3">
                  <c:v>0.20972537838284408</c:v>
                </c:pt>
                <c:pt idx="4">
                  <c:v>0.24217000733046229</c:v>
                </c:pt>
                <c:pt idx="5">
                  <c:v>0.25384615384615383</c:v>
                </c:pt>
                <c:pt idx="6">
                  <c:v>0.25384615384615383</c:v>
                </c:pt>
                <c:pt idx="7">
                  <c:v>0.25384615384615383</c:v>
                </c:pt>
                <c:pt idx="8">
                  <c:v>0.25384615384615383</c:v>
                </c:pt>
                <c:pt idx="9">
                  <c:v>0.25384615384615383</c:v>
                </c:pt>
                <c:pt idx="10">
                  <c:v>0.25384615384615383</c:v>
                </c:pt>
                <c:pt idx="11">
                  <c:v>0.25384615384615383</c:v>
                </c:pt>
                <c:pt idx="12">
                  <c:v>0.25384615384615383</c:v>
                </c:pt>
                <c:pt idx="13">
                  <c:v>0.25384615384615383</c:v>
                </c:pt>
                <c:pt idx="14">
                  <c:v>0.25384615384615383</c:v>
                </c:pt>
                <c:pt idx="15">
                  <c:v>0.25384615384615383</c:v>
                </c:pt>
                <c:pt idx="16">
                  <c:v>0.25384615384615383</c:v>
                </c:pt>
                <c:pt idx="17">
                  <c:v>0.25384615384615383</c:v>
                </c:pt>
                <c:pt idx="18">
                  <c:v>0.25384615384615383</c:v>
                </c:pt>
                <c:pt idx="19">
                  <c:v>0.25384615384615383</c:v>
                </c:pt>
                <c:pt idx="20">
                  <c:v>0.25384615384615383</c:v>
                </c:pt>
                <c:pt idx="21">
                  <c:v>0.25384615384615383</c:v>
                </c:pt>
                <c:pt idx="22">
                  <c:v>0.25384615384615383</c:v>
                </c:pt>
                <c:pt idx="23">
                  <c:v>0.25384615384615383</c:v>
                </c:pt>
                <c:pt idx="24">
                  <c:v>0.25384615384615383</c:v>
                </c:pt>
                <c:pt idx="25">
                  <c:v>0.25384615384615383</c:v>
                </c:pt>
                <c:pt idx="26">
                  <c:v>0.25384615384615383</c:v>
                </c:pt>
                <c:pt idx="27">
                  <c:v>0.25384615384615383</c:v>
                </c:pt>
                <c:pt idx="28">
                  <c:v>0.25384615384615383</c:v>
                </c:pt>
                <c:pt idx="29">
                  <c:v>0.25384615384615383</c:v>
                </c:pt>
                <c:pt idx="30">
                  <c:v>0.25384615384615383</c:v>
                </c:pt>
                <c:pt idx="31">
                  <c:v>0.25384615384615383</c:v>
                </c:pt>
                <c:pt idx="32">
                  <c:v>0.25384615384615383</c:v>
                </c:pt>
                <c:pt idx="33">
                  <c:v>0.25384615384615383</c:v>
                </c:pt>
                <c:pt idx="34">
                  <c:v>0.25384615384615383</c:v>
                </c:pt>
                <c:pt idx="35">
                  <c:v>0.25384615384615383</c:v>
                </c:pt>
                <c:pt idx="36">
                  <c:v>0.25384615384615383</c:v>
                </c:pt>
                <c:pt idx="37">
                  <c:v>0.25384615384615383</c:v>
                </c:pt>
                <c:pt idx="38">
                  <c:v>0.25384615384615383</c:v>
                </c:pt>
                <c:pt idx="39">
                  <c:v>0.25384615384615383</c:v>
                </c:pt>
                <c:pt idx="40">
                  <c:v>0.25384615384615383</c:v>
                </c:pt>
                <c:pt idx="41">
                  <c:v>0.25384615384615383</c:v>
                </c:pt>
                <c:pt idx="42">
                  <c:v>0.25384615384615383</c:v>
                </c:pt>
                <c:pt idx="43">
                  <c:v>0.25384615384615383</c:v>
                </c:pt>
                <c:pt idx="44">
                  <c:v>0.25384615384615383</c:v>
                </c:pt>
                <c:pt idx="45">
                  <c:v>0.25384615384615383</c:v>
                </c:pt>
                <c:pt idx="46">
                  <c:v>0.25384615384615383</c:v>
                </c:pt>
                <c:pt idx="47">
                  <c:v>0.25384615384615383</c:v>
                </c:pt>
                <c:pt idx="48">
                  <c:v>0.25384615384615383</c:v>
                </c:pt>
                <c:pt idx="49">
                  <c:v>0.25384615384615383</c:v>
                </c:pt>
                <c:pt idx="50">
                  <c:v>0.25384615384615383</c:v>
                </c:pt>
              </c:numCache>
            </c:numRef>
          </c:yVal>
          <c:smooth val="1"/>
          <c:extLst>
            <c:ext xmlns:c16="http://schemas.microsoft.com/office/drawing/2014/chart" uri="{C3380CC4-5D6E-409C-BE32-E72D297353CC}">
              <c16:uniqueId val="{00000002-A88A-49FA-A910-0662731C8705}"/>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1.0307898259705488</c:v>
                </c:pt>
              </c:numCache>
            </c:numRef>
          </c:xVal>
          <c:yVal>
            <c:numRef>
              <c:f>Calculations!$B$48</c:f>
              <c:numCache>
                <c:formatCode>General</c:formatCode>
                <c:ptCount val="1"/>
                <c:pt idx="0">
                  <c:v>0.3</c:v>
                </c:pt>
              </c:numCache>
            </c:numRef>
          </c:yVal>
          <c:smooth val="1"/>
          <c:extLst>
            <c:ext xmlns:c16="http://schemas.microsoft.com/office/drawing/2014/chart" uri="{C3380CC4-5D6E-409C-BE32-E72D297353CC}">
              <c16:uniqueId val="{00000003-A88A-49FA-A910-0662731C8705}"/>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1.0676037483266398</c:v>
                </c:pt>
              </c:numCache>
            </c:numRef>
          </c:xVal>
          <c:yVal>
            <c:numRef>
              <c:f>Calculations!$B$51</c:f>
              <c:numCache>
                <c:formatCode>0.0000</c:formatCode>
                <c:ptCount val="1"/>
                <c:pt idx="0">
                  <c:v>0.27499999999999997</c:v>
                </c:pt>
              </c:numCache>
            </c:numRef>
          </c:yVal>
          <c:smooth val="1"/>
          <c:extLst>
            <c:ext xmlns:c16="http://schemas.microsoft.com/office/drawing/2014/chart" uri="{C3380CC4-5D6E-409C-BE32-E72D297353CC}">
              <c16:uniqueId val="{00000004-A88A-49FA-A910-0662731C8705}"/>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1.0987539903202552</c:v>
                </c:pt>
              </c:numCache>
            </c:numRef>
          </c:xVal>
          <c:yVal>
            <c:numRef>
              <c:f>Calculations!$B$54</c:f>
              <c:numCache>
                <c:formatCode>0.000</c:formatCode>
                <c:ptCount val="1"/>
                <c:pt idx="0">
                  <c:v>0.25384615384615383</c:v>
                </c:pt>
              </c:numCache>
            </c:numRef>
          </c:yVal>
          <c:smooth val="1"/>
          <c:extLst>
            <c:ext xmlns:c16="http://schemas.microsoft.com/office/drawing/2014/chart" uri="{C3380CC4-5D6E-409C-BE32-E72D297353CC}">
              <c16:uniqueId val="{00000005-A88A-49FA-A910-0662731C8705}"/>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Calculations!$AC$6:$AC$56</c:f>
              <c:numCache>
                <c:formatCode>General</c:formatCode>
                <c:ptCount val="51"/>
                <c:pt idx="0">
                  <c:v>0</c:v>
                </c:pt>
                <c:pt idx="1">
                  <c:v>0.37424924849623947</c:v>
                </c:pt>
                <c:pt idx="2">
                  <c:v>0.52926836293132051</c:v>
                </c:pt>
                <c:pt idx="3">
                  <c:v>0.64821871308995704</c:v>
                </c:pt>
                <c:pt idx="4">
                  <c:v>0.74849849699247895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B1D8-40E6-A8D9-0B7A5EBEA022}"/>
            </c:ext>
          </c:extLst>
        </c:ser>
        <c:ser>
          <c:idx val="1"/>
          <c:order val="1"/>
          <c:tx>
            <c:v>LV Port Nom</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Calculations!$AG$6:$AG$56</c:f>
              <c:numCache>
                <c:formatCode>General</c:formatCode>
                <c:ptCount val="51"/>
                <c:pt idx="0">
                  <c:v>0</c:v>
                </c:pt>
                <c:pt idx="1">
                  <c:v>0.35083504282315825</c:v>
                </c:pt>
                <c:pt idx="2">
                  <c:v>0.49615567571625596</c:v>
                </c:pt>
                <c:pt idx="3">
                  <c:v>0.60766411924531294</c:v>
                </c:pt>
                <c:pt idx="4">
                  <c:v>0.7016700856463165</c:v>
                </c:pt>
                <c:pt idx="5">
                  <c:v>0.72500000000000009</c:v>
                </c:pt>
                <c:pt idx="6">
                  <c:v>0.72500000000000009</c:v>
                </c:pt>
                <c:pt idx="7">
                  <c:v>0.72500000000000009</c:v>
                </c:pt>
                <c:pt idx="8">
                  <c:v>0.72500000000000009</c:v>
                </c:pt>
                <c:pt idx="9">
                  <c:v>0.72500000000000009</c:v>
                </c:pt>
                <c:pt idx="10">
                  <c:v>0.72500000000000009</c:v>
                </c:pt>
                <c:pt idx="11">
                  <c:v>0.72500000000000009</c:v>
                </c:pt>
                <c:pt idx="12">
                  <c:v>0.72500000000000009</c:v>
                </c:pt>
                <c:pt idx="13">
                  <c:v>0.72500000000000009</c:v>
                </c:pt>
                <c:pt idx="14">
                  <c:v>0.72500000000000009</c:v>
                </c:pt>
                <c:pt idx="15">
                  <c:v>0.72500000000000009</c:v>
                </c:pt>
                <c:pt idx="16">
                  <c:v>0.72500000000000009</c:v>
                </c:pt>
                <c:pt idx="17">
                  <c:v>0.72500000000000009</c:v>
                </c:pt>
                <c:pt idx="18">
                  <c:v>0.72500000000000009</c:v>
                </c:pt>
                <c:pt idx="19">
                  <c:v>0.72500000000000009</c:v>
                </c:pt>
                <c:pt idx="20">
                  <c:v>0.72500000000000009</c:v>
                </c:pt>
                <c:pt idx="21">
                  <c:v>0.72500000000000009</c:v>
                </c:pt>
                <c:pt idx="22">
                  <c:v>0.72500000000000009</c:v>
                </c:pt>
                <c:pt idx="23">
                  <c:v>0.72500000000000009</c:v>
                </c:pt>
                <c:pt idx="24">
                  <c:v>0.72500000000000009</c:v>
                </c:pt>
                <c:pt idx="25">
                  <c:v>0.72500000000000009</c:v>
                </c:pt>
                <c:pt idx="26">
                  <c:v>0.72500000000000009</c:v>
                </c:pt>
                <c:pt idx="27">
                  <c:v>0.72500000000000009</c:v>
                </c:pt>
                <c:pt idx="28">
                  <c:v>0.72500000000000009</c:v>
                </c:pt>
                <c:pt idx="29">
                  <c:v>0.72500000000000009</c:v>
                </c:pt>
                <c:pt idx="30">
                  <c:v>0.72500000000000009</c:v>
                </c:pt>
                <c:pt idx="31">
                  <c:v>0.72500000000000009</c:v>
                </c:pt>
                <c:pt idx="32">
                  <c:v>0.72500000000000009</c:v>
                </c:pt>
                <c:pt idx="33">
                  <c:v>0.72500000000000009</c:v>
                </c:pt>
                <c:pt idx="34">
                  <c:v>0.72500000000000009</c:v>
                </c:pt>
                <c:pt idx="35">
                  <c:v>0.72500000000000009</c:v>
                </c:pt>
                <c:pt idx="36">
                  <c:v>0.72500000000000009</c:v>
                </c:pt>
                <c:pt idx="37">
                  <c:v>0.72500000000000009</c:v>
                </c:pt>
                <c:pt idx="38">
                  <c:v>0.72500000000000009</c:v>
                </c:pt>
                <c:pt idx="39">
                  <c:v>0.72500000000000009</c:v>
                </c:pt>
                <c:pt idx="40">
                  <c:v>0.72500000000000009</c:v>
                </c:pt>
                <c:pt idx="41">
                  <c:v>0.72500000000000009</c:v>
                </c:pt>
                <c:pt idx="42">
                  <c:v>0.72500000000000009</c:v>
                </c:pt>
                <c:pt idx="43">
                  <c:v>0.72500000000000009</c:v>
                </c:pt>
                <c:pt idx="44">
                  <c:v>0.72500000000000009</c:v>
                </c:pt>
                <c:pt idx="45">
                  <c:v>0.72500000000000009</c:v>
                </c:pt>
                <c:pt idx="46">
                  <c:v>0.72500000000000009</c:v>
                </c:pt>
                <c:pt idx="47">
                  <c:v>0.72500000000000009</c:v>
                </c:pt>
                <c:pt idx="48">
                  <c:v>0.72500000000000009</c:v>
                </c:pt>
                <c:pt idx="49">
                  <c:v>0.72500000000000009</c:v>
                </c:pt>
                <c:pt idx="50">
                  <c:v>0.72500000000000009</c:v>
                </c:pt>
              </c:numCache>
            </c:numRef>
          </c:yVal>
          <c:smooth val="1"/>
          <c:extLst>
            <c:ext xmlns:c16="http://schemas.microsoft.com/office/drawing/2014/chart" uri="{C3380CC4-5D6E-409C-BE32-E72D297353CC}">
              <c16:uniqueId val="{00000001-B1D8-40E6-A8D9-0B7A5EBEA022}"/>
            </c:ext>
          </c:extLst>
        </c:ser>
        <c:ser>
          <c:idx val="2"/>
          <c:order val="2"/>
          <c:tx>
            <c:v>LV Port Max</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Calculations!$AK$6:$AK$56</c:f>
              <c:numCache>
                <c:formatCode>General</c:formatCode>
                <c:ptCount val="51"/>
                <c:pt idx="0">
                  <c:v>0</c:v>
                </c:pt>
                <c:pt idx="1">
                  <c:v>0.33672530135323747</c:v>
                </c:pt>
                <c:pt idx="2">
                  <c:v>0.47620148796791584</c:v>
                </c:pt>
                <c:pt idx="3">
                  <c:v>0.58322533013774847</c:v>
                </c:pt>
                <c:pt idx="4">
                  <c:v>0.67345060270647494</c:v>
                </c:pt>
                <c:pt idx="5">
                  <c:v>0.70833333333333326</c:v>
                </c:pt>
                <c:pt idx="6">
                  <c:v>0.70833333333333326</c:v>
                </c:pt>
                <c:pt idx="7">
                  <c:v>0.70833333333333326</c:v>
                </c:pt>
                <c:pt idx="8">
                  <c:v>0.70833333333333326</c:v>
                </c:pt>
                <c:pt idx="9">
                  <c:v>0.70833333333333326</c:v>
                </c:pt>
                <c:pt idx="10">
                  <c:v>0.70833333333333326</c:v>
                </c:pt>
                <c:pt idx="11">
                  <c:v>0.70833333333333326</c:v>
                </c:pt>
                <c:pt idx="12">
                  <c:v>0.70833333333333326</c:v>
                </c:pt>
                <c:pt idx="13">
                  <c:v>0.70833333333333326</c:v>
                </c:pt>
                <c:pt idx="14">
                  <c:v>0.70833333333333326</c:v>
                </c:pt>
                <c:pt idx="15">
                  <c:v>0.70833333333333326</c:v>
                </c:pt>
                <c:pt idx="16">
                  <c:v>0.70833333333333326</c:v>
                </c:pt>
                <c:pt idx="17">
                  <c:v>0.70833333333333326</c:v>
                </c:pt>
                <c:pt idx="18">
                  <c:v>0.70833333333333326</c:v>
                </c:pt>
                <c:pt idx="19">
                  <c:v>0.70833333333333326</c:v>
                </c:pt>
                <c:pt idx="20">
                  <c:v>0.70833333333333326</c:v>
                </c:pt>
                <c:pt idx="21">
                  <c:v>0.70833333333333326</c:v>
                </c:pt>
                <c:pt idx="22">
                  <c:v>0.70833333333333326</c:v>
                </c:pt>
                <c:pt idx="23">
                  <c:v>0.70833333333333326</c:v>
                </c:pt>
                <c:pt idx="24">
                  <c:v>0.70833333333333326</c:v>
                </c:pt>
                <c:pt idx="25">
                  <c:v>0.70833333333333326</c:v>
                </c:pt>
                <c:pt idx="26">
                  <c:v>0.70833333333333326</c:v>
                </c:pt>
                <c:pt idx="27">
                  <c:v>0.70833333333333326</c:v>
                </c:pt>
                <c:pt idx="28">
                  <c:v>0.70833333333333326</c:v>
                </c:pt>
                <c:pt idx="29">
                  <c:v>0.70833333333333326</c:v>
                </c:pt>
                <c:pt idx="30">
                  <c:v>0.70833333333333326</c:v>
                </c:pt>
                <c:pt idx="31">
                  <c:v>0.70833333333333326</c:v>
                </c:pt>
                <c:pt idx="32">
                  <c:v>0.70833333333333326</c:v>
                </c:pt>
                <c:pt idx="33">
                  <c:v>0.70833333333333326</c:v>
                </c:pt>
                <c:pt idx="34">
                  <c:v>0.70833333333333326</c:v>
                </c:pt>
                <c:pt idx="35">
                  <c:v>0.70833333333333326</c:v>
                </c:pt>
                <c:pt idx="36">
                  <c:v>0.70833333333333326</c:v>
                </c:pt>
                <c:pt idx="37">
                  <c:v>0.70833333333333326</c:v>
                </c:pt>
                <c:pt idx="38">
                  <c:v>0.70833333333333326</c:v>
                </c:pt>
                <c:pt idx="39">
                  <c:v>0.70833333333333326</c:v>
                </c:pt>
                <c:pt idx="40">
                  <c:v>0.70833333333333326</c:v>
                </c:pt>
                <c:pt idx="41">
                  <c:v>0.70833333333333326</c:v>
                </c:pt>
                <c:pt idx="42">
                  <c:v>0.70833333333333326</c:v>
                </c:pt>
                <c:pt idx="43">
                  <c:v>0.70833333333333326</c:v>
                </c:pt>
                <c:pt idx="44">
                  <c:v>0.70833333333333326</c:v>
                </c:pt>
                <c:pt idx="45">
                  <c:v>0.70833333333333326</c:v>
                </c:pt>
                <c:pt idx="46">
                  <c:v>0.70833333333333326</c:v>
                </c:pt>
                <c:pt idx="47">
                  <c:v>0.70833333333333326</c:v>
                </c:pt>
                <c:pt idx="48">
                  <c:v>0.70833333333333326</c:v>
                </c:pt>
                <c:pt idx="49">
                  <c:v>0.70833333333333326</c:v>
                </c:pt>
                <c:pt idx="50">
                  <c:v>0.70833333333333326</c:v>
                </c:pt>
              </c:numCache>
            </c:numRef>
          </c:yVal>
          <c:smooth val="1"/>
          <c:extLst>
            <c:ext xmlns:c16="http://schemas.microsoft.com/office/drawing/2014/chart" uri="{C3380CC4-5D6E-409C-BE32-E72D297353CC}">
              <c16:uniqueId val="{00000002-B1D8-40E6-A8D9-0B7A5EBEA022}"/>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1.0040160642570282</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B1D8-40E6-A8D9-0B7A5EBEA022}"/>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1.0676037483266398</c:v>
                </c:pt>
              </c:numCache>
            </c:numRef>
          </c:xVal>
          <c:yVal>
            <c:numRef>
              <c:f>Calculations!$B$60</c:f>
              <c:numCache>
                <c:formatCode>0.000</c:formatCode>
                <c:ptCount val="1"/>
                <c:pt idx="0">
                  <c:v>0.72500000000000009</c:v>
                </c:pt>
              </c:numCache>
            </c:numRef>
          </c:yVal>
          <c:smooth val="0"/>
          <c:extLst>
            <c:ext xmlns:c16="http://schemas.microsoft.com/office/drawing/2014/chart" uri="{C3380CC4-5D6E-409C-BE32-E72D297353CC}">
              <c16:uniqueId val="{00000004-B1D8-40E6-A8D9-0B7A5EBEA022}"/>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1.1062769596906143</c:v>
                </c:pt>
              </c:numCache>
            </c:numRef>
          </c:xVal>
          <c:yVal>
            <c:numRef>
              <c:f>Calculations!$B$63</c:f>
              <c:numCache>
                <c:formatCode>General</c:formatCode>
                <c:ptCount val="1"/>
                <c:pt idx="0">
                  <c:v>0.70833333333333326</c:v>
                </c:pt>
              </c:numCache>
            </c:numRef>
          </c:yVal>
          <c:smooth val="1"/>
          <c:extLst>
            <c:ext xmlns:c16="http://schemas.microsoft.com/office/drawing/2014/chart" uri="{C3380CC4-5D6E-409C-BE32-E72D297353CC}">
              <c16:uniqueId val="{00000005-B1D8-40E6-A8D9-0B7A5EBEA022}"/>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Calculations!$P$6:$P$56</c:f>
              <c:numCache>
                <c:formatCode>General</c:formatCode>
                <c:ptCount val="51"/>
                <c:pt idx="0">
                  <c:v>0</c:v>
                </c:pt>
                <c:pt idx="1">
                  <c:v>0.14774275643131232</c:v>
                </c:pt>
                <c:pt idx="2">
                  <c:v>0.20893980988754671</c:v>
                </c:pt>
                <c:pt idx="3">
                  <c:v>0.25589796058930642</c:v>
                </c:pt>
                <c:pt idx="4">
                  <c:v>0.29548551286262464</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numCache>
            </c:numRef>
          </c:yVal>
          <c:smooth val="1"/>
          <c:extLst>
            <c:ext xmlns:c16="http://schemas.microsoft.com/office/drawing/2014/chart" uri="{C3380CC4-5D6E-409C-BE32-E72D297353CC}">
              <c16:uniqueId val="{00000000-34BE-4A9D-99D7-075941836F19}"/>
            </c:ext>
          </c:extLst>
        </c:ser>
        <c:ser>
          <c:idx val="1"/>
          <c:order val="1"/>
          <c:tx>
            <c:v>HV Port Nom</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Calculations!$T$6:$T$56</c:f>
              <c:numCache>
                <c:formatCode>General</c:formatCode>
                <c:ptCount val="51"/>
                <c:pt idx="0">
                  <c:v>0</c:v>
                </c:pt>
                <c:pt idx="1">
                  <c:v>0.13307536107085313</c:v>
                </c:pt>
                <c:pt idx="2">
                  <c:v>0.18819698044409711</c:v>
                </c:pt>
                <c:pt idx="3">
                  <c:v>0.23049328661029111</c:v>
                </c:pt>
                <c:pt idx="4">
                  <c:v>0.26615072214170626</c:v>
                </c:pt>
                <c:pt idx="5">
                  <c:v>0.27499999999999997</c:v>
                </c:pt>
                <c:pt idx="6">
                  <c:v>0.27499999999999997</c:v>
                </c:pt>
                <c:pt idx="7">
                  <c:v>0.27499999999999997</c:v>
                </c:pt>
                <c:pt idx="8">
                  <c:v>0.27499999999999997</c:v>
                </c:pt>
                <c:pt idx="9">
                  <c:v>0.27499999999999997</c:v>
                </c:pt>
                <c:pt idx="10">
                  <c:v>0.27499999999999997</c:v>
                </c:pt>
                <c:pt idx="11">
                  <c:v>0.27499999999999997</c:v>
                </c:pt>
                <c:pt idx="12">
                  <c:v>0.27499999999999997</c:v>
                </c:pt>
                <c:pt idx="13">
                  <c:v>0.27499999999999997</c:v>
                </c:pt>
                <c:pt idx="14">
                  <c:v>0.27499999999999997</c:v>
                </c:pt>
                <c:pt idx="15">
                  <c:v>0.27499999999999997</c:v>
                </c:pt>
                <c:pt idx="16">
                  <c:v>0.27499999999999997</c:v>
                </c:pt>
                <c:pt idx="17">
                  <c:v>0.27499999999999997</c:v>
                </c:pt>
                <c:pt idx="18">
                  <c:v>0.27499999999999997</c:v>
                </c:pt>
                <c:pt idx="19">
                  <c:v>0.27499999999999997</c:v>
                </c:pt>
                <c:pt idx="20">
                  <c:v>0.27499999999999997</c:v>
                </c:pt>
                <c:pt idx="21">
                  <c:v>0.27499999999999997</c:v>
                </c:pt>
                <c:pt idx="22">
                  <c:v>0.27499999999999997</c:v>
                </c:pt>
                <c:pt idx="23">
                  <c:v>0.27499999999999997</c:v>
                </c:pt>
                <c:pt idx="24">
                  <c:v>0.27499999999999997</c:v>
                </c:pt>
                <c:pt idx="25">
                  <c:v>0.27499999999999997</c:v>
                </c:pt>
                <c:pt idx="26">
                  <c:v>0.27499999999999997</c:v>
                </c:pt>
                <c:pt idx="27">
                  <c:v>0.27499999999999997</c:v>
                </c:pt>
                <c:pt idx="28">
                  <c:v>0.27499999999999997</c:v>
                </c:pt>
                <c:pt idx="29">
                  <c:v>0.27499999999999997</c:v>
                </c:pt>
                <c:pt idx="30">
                  <c:v>0.27499999999999997</c:v>
                </c:pt>
                <c:pt idx="31">
                  <c:v>0.27499999999999997</c:v>
                </c:pt>
                <c:pt idx="32">
                  <c:v>0.27499999999999997</c:v>
                </c:pt>
                <c:pt idx="33">
                  <c:v>0.27499999999999997</c:v>
                </c:pt>
                <c:pt idx="34">
                  <c:v>0.27499999999999997</c:v>
                </c:pt>
                <c:pt idx="35">
                  <c:v>0.27499999999999997</c:v>
                </c:pt>
                <c:pt idx="36">
                  <c:v>0.27499999999999997</c:v>
                </c:pt>
                <c:pt idx="37">
                  <c:v>0.27499999999999997</c:v>
                </c:pt>
                <c:pt idx="38">
                  <c:v>0.27499999999999997</c:v>
                </c:pt>
                <c:pt idx="39">
                  <c:v>0.27499999999999997</c:v>
                </c:pt>
                <c:pt idx="40">
                  <c:v>0.27499999999999997</c:v>
                </c:pt>
                <c:pt idx="41">
                  <c:v>0.27499999999999997</c:v>
                </c:pt>
                <c:pt idx="42">
                  <c:v>0.27499999999999997</c:v>
                </c:pt>
                <c:pt idx="43">
                  <c:v>0.27499999999999997</c:v>
                </c:pt>
                <c:pt idx="44">
                  <c:v>0.27499999999999997</c:v>
                </c:pt>
                <c:pt idx="45">
                  <c:v>0.27499999999999997</c:v>
                </c:pt>
                <c:pt idx="46">
                  <c:v>0.27499999999999997</c:v>
                </c:pt>
                <c:pt idx="47">
                  <c:v>0.27499999999999997</c:v>
                </c:pt>
                <c:pt idx="48">
                  <c:v>0.27499999999999997</c:v>
                </c:pt>
                <c:pt idx="49">
                  <c:v>0.27499999999999997</c:v>
                </c:pt>
                <c:pt idx="50">
                  <c:v>0.27499999999999997</c:v>
                </c:pt>
              </c:numCache>
            </c:numRef>
          </c:yVal>
          <c:smooth val="1"/>
          <c:extLst>
            <c:ext xmlns:c16="http://schemas.microsoft.com/office/drawing/2014/chart" uri="{C3380CC4-5D6E-409C-BE32-E72D297353CC}">
              <c16:uniqueId val="{00000001-34BE-4A9D-99D7-075941836F19}"/>
            </c:ext>
          </c:extLst>
        </c:ser>
        <c:ser>
          <c:idx val="2"/>
          <c:order val="2"/>
          <c:tx>
            <c:v>HV Port Max</c:v>
          </c:tx>
          <c:marker>
            <c:symbol val="none"/>
          </c:marker>
          <c:xVal>
            <c:numRef>
              <c:f>Calculations!$O$6:$O$56</c:f>
              <c:numCache>
                <c:formatCode>General</c:formatCode>
                <c:ptCount val="51"/>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10.749999999999998</c:v>
                </c:pt>
                <c:pt idx="44">
                  <c:v>11</c:v>
                </c:pt>
                <c:pt idx="45">
                  <c:v>11.25</c:v>
                </c:pt>
                <c:pt idx="46">
                  <c:v>11.5</c:v>
                </c:pt>
                <c:pt idx="47">
                  <c:v>11.75</c:v>
                </c:pt>
                <c:pt idx="48">
                  <c:v>12</c:v>
                </c:pt>
                <c:pt idx="49">
                  <c:v>12.25</c:v>
                </c:pt>
                <c:pt idx="50">
                  <c:v>12.5</c:v>
                </c:pt>
              </c:numCache>
            </c:numRef>
          </c:xVal>
          <c:yVal>
            <c:numRef>
              <c:f>Calculations!$X$6:$X$56</c:f>
              <c:numCache>
                <c:formatCode>General</c:formatCode>
                <c:ptCount val="51"/>
                <c:pt idx="0">
                  <c:v>0</c:v>
                </c:pt>
                <c:pt idx="1">
                  <c:v>0.12108500366523114</c:v>
                </c:pt>
                <c:pt idx="2">
                  <c:v>0.17124005438336581</c:v>
                </c:pt>
                <c:pt idx="3">
                  <c:v>0.20972537838284408</c:v>
                </c:pt>
                <c:pt idx="4">
                  <c:v>0.24217000733046229</c:v>
                </c:pt>
                <c:pt idx="5">
                  <c:v>0.25384615384615383</c:v>
                </c:pt>
                <c:pt idx="6">
                  <c:v>0.25384615384615383</c:v>
                </c:pt>
                <c:pt idx="7">
                  <c:v>0.25384615384615383</c:v>
                </c:pt>
                <c:pt idx="8">
                  <c:v>0.25384615384615383</c:v>
                </c:pt>
                <c:pt idx="9">
                  <c:v>0.25384615384615383</c:v>
                </c:pt>
                <c:pt idx="10">
                  <c:v>0.25384615384615383</c:v>
                </c:pt>
                <c:pt idx="11">
                  <c:v>0.25384615384615383</c:v>
                </c:pt>
                <c:pt idx="12">
                  <c:v>0.25384615384615383</c:v>
                </c:pt>
                <c:pt idx="13">
                  <c:v>0.25384615384615383</c:v>
                </c:pt>
                <c:pt idx="14">
                  <c:v>0.25384615384615383</c:v>
                </c:pt>
                <c:pt idx="15">
                  <c:v>0.25384615384615383</c:v>
                </c:pt>
                <c:pt idx="16">
                  <c:v>0.25384615384615383</c:v>
                </c:pt>
                <c:pt idx="17">
                  <c:v>0.25384615384615383</c:v>
                </c:pt>
                <c:pt idx="18">
                  <c:v>0.25384615384615383</c:v>
                </c:pt>
                <c:pt idx="19">
                  <c:v>0.25384615384615383</c:v>
                </c:pt>
                <c:pt idx="20">
                  <c:v>0.25384615384615383</c:v>
                </c:pt>
                <c:pt idx="21">
                  <c:v>0.25384615384615383</c:v>
                </c:pt>
                <c:pt idx="22">
                  <c:v>0.25384615384615383</c:v>
                </c:pt>
                <c:pt idx="23">
                  <c:v>0.25384615384615383</c:v>
                </c:pt>
                <c:pt idx="24">
                  <c:v>0.25384615384615383</c:v>
                </c:pt>
                <c:pt idx="25">
                  <c:v>0.25384615384615383</c:v>
                </c:pt>
                <c:pt idx="26">
                  <c:v>0.25384615384615383</c:v>
                </c:pt>
                <c:pt idx="27">
                  <c:v>0.25384615384615383</c:v>
                </c:pt>
                <c:pt idx="28">
                  <c:v>0.25384615384615383</c:v>
                </c:pt>
                <c:pt idx="29">
                  <c:v>0.25384615384615383</c:v>
                </c:pt>
                <c:pt idx="30">
                  <c:v>0.25384615384615383</c:v>
                </c:pt>
                <c:pt idx="31">
                  <c:v>0.25384615384615383</c:v>
                </c:pt>
                <c:pt idx="32">
                  <c:v>0.25384615384615383</c:v>
                </c:pt>
                <c:pt idx="33">
                  <c:v>0.25384615384615383</c:v>
                </c:pt>
                <c:pt idx="34">
                  <c:v>0.25384615384615383</c:v>
                </c:pt>
                <c:pt idx="35">
                  <c:v>0.25384615384615383</c:v>
                </c:pt>
                <c:pt idx="36">
                  <c:v>0.25384615384615383</c:v>
                </c:pt>
                <c:pt idx="37">
                  <c:v>0.25384615384615383</c:v>
                </c:pt>
                <c:pt idx="38">
                  <c:v>0.25384615384615383</c:v>
                </c:pt>
                <c:pt idx="39">
                  <c:v>0.25384615384615383</c:v>
                </c:pt>
                <c:pt idx="40">
                  <c:v>0.25384615384615383</c:v>
                </c:pt>
                <c:pt idx="41">
                  <c:v>0.25384615384615383</c:v>
                </c:pt>
                <c:pt idx="42">
                  <c:v>0.25384615384615383</c:v>
                </c:pt>
                <c:pt idx="43">
                  <c:v>0.25384615384615383</c:v>
                </c:pt>
                <c:pt idx="44">
                  <c:v>0.25384615384615383</c:v>
                </c:pt>
                <c:pt idx="45">
                  <c:v>0.25384615384615383</c:v>
                </c:pt>
                <c:pt idx="46">
                  <c:v>0.25384615384615383</c:v>
                </c:pt>
                <c:pt idx="47">
                  <c:v>0.25384615384615383</c:v>
                </c:pt>
                <c:pt idx="48">
                  <c:v>0.25384615384615383</c:v>
                </c:pt>
                <c:pt idx="49">
                  <c:v>0.25384615384615383</c:v>
                </c:pt>
                <c:pt idx="50">
                  <c:v>0.25384615384615383</c:v>
                </c:pt>
              </c:numCache>
            </c:numRef>
          </c:yVal>
          <c:smooth val="1"/>
          <c:extLst>
            <c:ext xmlns:c16="http://schemas.microsoft.com/office/drawing/2014/chart" uri="{C3380CC4-5D6E-409C-BE32-E72D297353CC}">
              <c16:uniqueId val="{00000002-34BE-4A9D-99D7-075941836F19}"/>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1.0307898259705488</c:v>
                </c:pt>
              </c:numCache>
            </c:numRef>
          </c:xVal>
          <c:yVal>
            <c:numRef>
              <c:f>Calculations!$B$48</c:f>
              <c:numCache>
                <c:formatCode>General</c:formatCode>
                <c:ptCount val="1"/>
                <c:pt idx="0">
                  <c:v>0.3</c:v>
                </c:pt>
              </c:numCache>
            </c:numRef>
          </c:yVal>
          <c:smooth val="1"/>
          <c:extLst>
            <c:ext xmlns:c16="http://schemas.microsoft.com/office/drawing/2014/chart" uri="{C3380CC4-5D6E-409C-BE32-E72D297353CC}">
              <c16:uniqueId val="{00000003-34BE-4A9D-99D7-075941836F19}"/>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1.0676037483266398</c:v>
                </c:pt>
              </c:numCache>
            </c:numRef>
          </c:xVal>
          <c:yVal>
            <c:numRef>
              <c:f>Calculations!$B$51</c:f>
              <c:numCache>
                <c:formatCode>0.0000</c:formatCode>
                <c:ptCount val="1"/>
                <c:pt idx="0">
                  <c:v>0.27499999999999997</c:v>
                </c:pt>
              </c:numCache>
            </c:numRef>
          </c:yVal>
          <c:smooth val="1"/>
          <c:extLst>
            <c:ext xmlns:c16="http://schemas.microsoft.com/office/drawing/2014/chart" uri="{C3380CC4-5D6E-409C-BE32-E72D297353CC}">
              <c16:uniqueId val="{00000004-34BE-4A9D-99D7-075941836F19}"/>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de-DE"/>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1.0987539903202552</c:v>
                </c:pt>
              </c:numCache>
            </c:numRef>
          </c:xVal>
          <c:yVal>
            <c:numRef>
              <c:f>Calculations!$B$54</c:f>
              <c:numCache>
                <c:formatCode>0.000</c:formatCode>
                <c:ptCount val="1"/>
                <c:pt idx="0">
                  <c:v>0.25384615384615383</c:v>
                </c:pt>
              </c:numCache>
            </c:numRef>
          </c:yVal>
          <c:smooth val="1"/>
          <c:extLst>
            <c:ext xmlns:c16="http://schemas.microsoft.com/office/drawing/2014/chart" uri="{C3380CC4-5D6E-409C-BE32-E72D297353CC}">
              <c16:uniqueId val="{00000005-34BE-4A9D-99D7-075941836F19}"/>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Power Plant</a:t>
            </a:r>
          </a:p>
        </c:rich>
      </c:tx>
      <c:overlay val="0"/>
    </c:title>
    <c:autoTitleDeleted val="0"/>
    <c:plotArea>
      <c:layout/>
      <c:scatterChart>
        <c:scatterStyle val="lineMarker"/>
        <c:varyColors val="0"/>
        <c:ser>
          <c:idx val="0"/>
          <c:order val="0"/>
          <c:tx>
            <c:v>Power Plant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Compensation!$E$8:$E$62</c:f>
              <c:numCache>
                <c:formatCode>General</c:formatCode>
                <c:ptCount val="55"/>
                <c:pt idx="0">
                  <c:v>67.180432475851433</c:v>
                </c:pt>
                <c:pt idx="1">
                  <c:v>67.180428215391601</c:v>
                </c:pt>
                <c:pt idx="2">
                  <c:v>67.180421108525564</c:v>
                </c:pt>
                <c:pt idx="3">
                  <c:v>67.180409253584401</c:v>
                </c:pt>
                <c:pt idx="4">
                  <c:v>67.180389478422669</c:v>
                </c:pt>
                <c:pt idx="5">
                  <c:v>67.180356491665165</c:v>
                </c:pt>
                <c:pt idx="6">
                  <c:v>67.180301466994763</c:v>
                </c:pt>
                <c:pt idx="7">
                  <c:v>67.180209681863928</c:v>
                </c:pt>
                <c:pt idx="8">
                  <c:v>67.180056579354414</c:v>
                </c:pt>
                <c:pt idx="9">
                  <c:v>67.179801200986361</c:v>
                </c:pt>
                <c:pt idx="10">
                  <c:v>67.179375237608411</c:v>
                </c:pt>
                <c:pt idx="11">
                  <c:v>67.178664780828143</c:v>
                </c:pt>
                <c:pt idx="12">
                  <c:v>67.17747992606408</c:v>
                </c:pt>
                <c:pt idx="13">
                  <c:v>67.175504188262238</c:v>
                </c:pt>
                <c:pt idx="14">
                  <c:v>67.172210457837764</c:v>
                </c:pt>
                <c:pt idx="15">
                  <c:v>67.166721737127048</c:v>
                </c:pt>
                <c:pt idx="16">
                  <c:v>67.157581407644727</c:v>
                </c:pt>
                <c:pt idx="17">
                  <c:v>67.142377098209053</c:v>
                </c:pt>
                <c:pt idx="18">
                  <c:v>67.117132637709176</c:v>
                </c:pt>
                <c:pt idx="19">
                  <c:v>67.075346165704403</c:v>
                </c:pt>
                <c:pt idx="20">
                  <c:v>67.006524582969121</c:v>
                </c:pt>
                <c:pt idx="21">
                  <c:v>66.894095987155382</c:v>
                </c:pt>
                <c:pt idx="22">
                  <c:v>66.712797881469712</c:v>
                </c:pt>
                <c:pt idx="23">
                  <c:v>66.426263569428727</c:v>
                </c:pt>
                <c:pt idx="24">
                  <c:v>65.986733034083088</c:v>
                </c:pt>
                <c:pt idx="25">
                  <c:v>65.34005925807341</c:v>
                </c:pt>
                <c:pt idx="26">
                  <c:v>64.438269126233422</c:v>
                </c:pt>
                <c:pt idx="27">
                  <c:v>63.25636189283108</c:v>
                </c:pt>
                <c:pt idx="28">
                  <c:v>61.803047981402912</c:v>
                </c:pt>
                <c:pt idx="29">
                  <c:v>60.116857855384922</c:v>
                </c:pt>
                <c:pt idx="30">
                  <c:v>58.250869973348067</c:v>
                </c:pt>
                <c:pt idx="31">
                  <c:v>56.257113031151221</c:v>
                </c:pt>
                <c:pt idx="32">
                  <c:v>54.17784584960301</c:v>
                </c:pt>
                <c:pt idx="33">
                  <c:v>52.04363478555554</c:v>
                </c:pt>
                <c:pt idx="34">
                  <c:v>49.87504187334882</c:v>
                </c:pt>
                <c:pt idx="35">
                  <c:v>47.685289982223964</c:v>
                </c:pt>
                <c:pt idx="36">
                  <c:v>45.482650243951817</c:v>
                </c:pt>
                <c:pt idx="37">
                  <c:v>43.272209885834769</c:v>
                </c:pt>
                <c:pt idx="38">
                  <c:v>41.057066060094265</c:v>
                </c:pt>
                <c:pt idx="39">
                  <c:v>38.83909276281819</c:v>
                </c:pt>
                <c:pt idx="40">
                  <c:v>36.619419698585872</c:v>
                </c:pt>
                <c:pt idx="41">
                  <c:v>34.39872637409858</c:v>
                </c:pt>
                <c:pt idx="42">
                  <c:v>32.177420960103312</c:v>
                </c:pt>
                <c:pt idx="43">
                  <c:v>29.95574844277791</c:v>
                </c:pt>
                <c:pt idx="44">
                  <c:v>27.733855793344929</c:v>
                </c:pt>
                <c:pt idx="45">
                  <c:v>25.511831156810658</c:v>
                </c:pt>
                <c:pt idx="46">
                  <c:v>23.28972738840632</c:v>
                </c:pt>
                <c:pt idx="47">
                  <c:v>21.067576178931333</c:v>
                </c:pt>
                <c:pt idx="48">
                  <c:v>18.845396528289314</c:v>
                </c:pt>
                <c:pt idx="49">
                  <c:v>16.623199827259036</c:v>
                </c:pt>
                <c:pt idx="50">
                  <c:v>14.40099290466134</c:v>
                </c:pt>
                <c:pt idx="51">
                  <c:v>12.178779854348889</c:v>
                </c:pt>
                <c:pt idx="52">
                  <c:v>9.9565631305513804</c:v>
                </c:pt>
                <c:pt idx="53">
                  <c:v>7.7343442045515438</c:v>
                </c:pt>
                <c:pt idx="54">
                  <c:v>5.5121239583639534</c:v>
                </c:pt>
              </c:numCache>
            </c:numRef>
          </c:yVal>
          <c:smooth val="0"/>
          <c:extLst>
            <c:ext xmlns:c16="http://schemas.microsoft.com/office/drawing/2014/chart" uri="{C3380CC4-5D6E-409C-BE32-E72D297353CC}">
              <c16:uniqueId val="{00000000-B60F-4613-B8B9-F473AF184045}"/>
            </c:ext>
          </c:extLst>
        </c:ser>
        <c:dLbls>
          <c:showLegendKey val="0"/>
          <c:showVal val="0"/>
          <c:showCatName val="0"/>
          <c:showSerName val="0"/>
          <c:showPercent val="0"/>
          <c:showBubbleSize val="0"/>
        </c:dLbls>
        <c:axId val="220836608"/>
        <c:axId val="220838528"/>
      </c:scatterChart>
      <c:scatterChart>
        <c:scatterStyle val="lineMarker"/>
        <c:varyColors val="0"/>
        <c:ser>
          <c:idx val="1"/>
          <c:order val="1"/>
          <c:tx>
            <c:v>Power Plant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Compensation!$F$8:$F$62</c:f>
              <c:numCache>
                <c:formatCode>General</c:formatCode>
                <c:ptCount val="55"/>
                <c:pt idx="0">
                  <c:v>-6.9428537446661429E-2</c:v>
                </c:pt>
                <c:pt idx="1">
                  <c:v>-8.9670374959271243E-2</c:v>
                </c:pt>
                <c:pt idx="2">
                  <c:v>-0.11581367956722648</c:v>
                </c:pt>
                <c:pt idx="3">
                  <c:v>-0.14957898294706062</c:v>
                </c:pt>
                <c:pt idx="4">
                  <c:v>-0.19318839209667193</c:v>
                </c:pt>
                <c:pt idx="5">
                  <c:v>-0.24951177137445249</c:v>
                </c:pt>
                <c:pt idx="6">
                  <c:v>-0.32225548374704777</c:v>
                </c:pt>
                <c:pt idx="7">
                  <c:v>-0.41620602998048628</c:v>
                </c:pt>
                <c:pt idx="8">
                  <c:v>-0.53754444178945449</c:v>
                </c:pt>
                <c:pt idx="9">
                  <c:v>-0.69425173533929163</c:v>
                </c:pt>
                <c:pt idx="10">
                  <c:v>-0.89663128059752384</c:v>
                </c:pt>
                <c:pt idx="11">
                  <c:v>-1.1579806814331015</c:v>
                </c:pt>
                <c:pt idx="12">
                  <c:v>-1.4954535471459003</c:v>
                </c:pt>
                <c:pt idx="13">
                  <c:v>-1.9311596224007557</c:v>
                </c:pt>
                <c:pt idx="14">
                  <c:v>-2.4935579769944933</c:v>
                </c:pt>
                <c:pt idx="15">
                  <c:v>-3.219197060293518</c:v>
                </c:pt>
                <c:pt idx="16">
                  <c:v>-4.1548354156370468</c:v>
                </c:pt>
                <c:pt idx="17">
                  <c:v>-5.3599119059890681</c:v>
                </c:pt>
                <c:pt idx="18">
                  <c:v>-6.9091714837010372</c:v>
                </c:pt>
                <c:pt idx="19">
                  <c:v>-8.8948904097351473</c:v>
                </c:pt>
                <c:pt idx="20">
                  <c:v>-11.42741087112139</c:v>
                </c:pt>
                <c:pt idx="21">
                  <c:v>-14.631366587167337</c:v>
                </c:pt>
                <c:pt idx="22">
                  <c:v>-18.633006880561652</c:v>
                </c:pt>
                <c:pt idx="23">
                  <c:v>-23.532304021065872</c:v>
                </c:pt>
                <c:pt idx="24">
                  <c:v>-29.355483836893871</c:v>
                </c:pt>
                <c:pt idx="25">
                  <c:v>-35.99575502348501</c:v>
                </c:pt>
                <c:pt idx="26">
                  <c:v>-43.174324465993188</c:v>
                </c:pt>
                <c:pt idx="27">
                  <c:v>-50.468919962981637</c:v>
                </c:pt>
                <c:pt idx="28">
                  <c:v>-57.423072309189429</c:v>
                </c:pt>
                <c:pt idx="29">
                  <c:v>-63.677334712823971</c:v>
                </c:pt>
                <c:pt idx="30">
                  <c:v>-69.04085564160863</c:v>
                </c:pt>
                <c:pt idx="31">
                  <c:v>-73.480765037234903</c:v>
                </c:pt>
                <c:pt idx="32">
                  <c:v>-77.067365062943622</c:v>
                </c:pt>
                <c:pt idx="33">
                  <c:v>-79.918486571354379</c:v>
                </c:pt>
                <c:pt idx="34">
                  <c:v>-82.161946779080722</c:v>
                </c:pt>
                <c:pt idx="35">
                  <c:v>-83.916106399739121</c:v>
                </c:pt>
                <c:pt idx="36">
                  <c:v>-85.282368275216939</c:v>
                </c:pt>
                <c:pt idx="37">
                  <c:v>-86.344002102352022</c:v>
                </c:pt>
                <c:pt idx="38">
                  <c:v>-87.167754631388405</c:v>
                </c:pt>
                <c:pt idx="39">
                  <c:v>-87.806379823918078</c:v>
                </c:pt>
                <c:pt idx="40">
                  <c:v>-88.301227171040409</c:v>
                </c:pt>
                <c:pt idx="41">
                  <c:v>-88.684547523282404</c:v>
                </c:pt>
                <c:pt idx="42">
                  <c:v>-88.981421244502599</c:v>
                </c:pt>
                <c:pt idx="43">
                  <c:v>-89.211318185650541</c:v>
                </c:pt>
                <c:pt idx="44">
                  <c:v>-89.389336866722743</c:v>
                </c:pt>
                <c:pt idx="45">
                  <c:v>-89.527178543057403</c:v>
                </c:pt>
                <c:pt idx="46">
                  <c:v>-89.633908189103281</c:v>
                </c:pt>
                <c:pt idx="47">
                  <c:v>-89.716546861351759</c:v>
                </c:pt>
                <c:pt idx="48">
                  <c:v>-89.780531811891976</c:v>
                </c:pt>
                <c:pt idx="49">
                  <c:v>-89.830073419587691</c:v>
                </c:pt>
                <c:pt idx="50">
                  <c:v>-89.868431865565412</c:v>
                </c:pt>
                <c:pt idx="51">
                  <c:v>-89.898131499996808</c:v>
                </c:pt>
                <c:pt idx="52">
                  <c:v>-89.921126886752319</c:v>
                </c:pt>
                <c:pt idx="53">
                  <c:v>-89.938931397422309</c:v>
                </c:pt>
                <c:pt idx="54">
                  <c:v>-89.952716791700738</c:v>
                </c:pt>
              </c:numCache>
            </c:numRef>
          </c:yVal>
          <c:smooth val="0"/>
          <c:extLst>
            <c:ext xmlns:c16="http://schemas.microsoft.com/office/drawing/2014/chart" uri="{C3380CC4-5D6E-409C-BE32-E72D297353CC}">
              <c16:uniqueId val="{00000001-B60F-4613-B8B9-F473AF184045}"/>
            </c:ext>
          </c:extLst>
        </c:ser>
        <c:dLbls>
          <c:showLegendKey val="0"/>
          <c:showVal val="0"/>
          <c:showCatName val="0"/>
          <c:showSerName val="0"/>
          <c:showPercent val="0"/>
          <c:showBubbleSize val="0"/>
        </c:dLbls>
        <c:axId val="220887680"/>
        <c:axId val="220886144"/>
      </c:scatterChart>
      <c:valAx>
        <c:axId val="220836608"/>
        <c:scaling>
          <c:logBase val="10"/>
          <c:orientation val="minMax"/>
          <c:min val="10"/>
        </c:scaling>
        <c:delete val="0"/>
        <c:axPos val="b"/>
        <c:majorGridlines/>
        <c:minorGridlines/>
        <c:numFmt formatCode="General" sourceLinked="1"/>
        <c:majorTickMark val="out"/>
        <c:minorTickMark val="cross"/>
        <c:tickLblPos val="low"/>
        <c:crossAx val="220838528"/>
        <c:crosses val="autoZero"/>
        <c:crossBetween val="midCat"/>
      </c:valAx>
      <c:valAx>
        <c:axId val="220838528"/>
        <c:scaling>
          <c:orientation val="minMax"/>
          <c:max val="60"/>
          <c:min val="-40"/>
        </c:scaling>
        <c:delete val="0"/>
        <c:axPos val="l"/>
        <c:majorGridlines/>
        <c:numFmt formatCode="General" sourceLinked="1"/>
        <c:majorTickMark val="out"/>
        <c:minorTickMark val="none"/>
        <c:tickLblPos val="nextTo"/>
        <c:crossAx val="220836608"/>
        <c:crosses val="autoZero"/>
        <c:crossBetween val="midCat"/>
        <c:majorUnit val="20"/>
      </c:valAx>
      <c:valAx>
        <c:axId val="220886144"/>
        <c:scaling>
          <c:orientation val="minMax"/>
          <c:max val="180"/>
          <c:min val="-180"/>
        </c:scaling>
        <c:delete val="0"/>
        <c:axPos val="r"/>
        <c:numFmt formatCode="General" sourceLinked="1"/>
        <c:majorTickMark val="out"/>
        <c:minorTickMark val="none"/>
        <c:tickLblPos val="nextTo"/>
        <c:crossAx val="220887680"/>
        <c:crosses val="max"/>
        <c:crossBetween val="midCat"/>
        <c:majorUnit val="45"/>
      </c:valAx>
      <c:valAx>
        <c:axId val="220887680"/>
        <c:scaling>
          <c:logBase val="10"/>
          <c:orientation val="minMax"/>
        </c:scaling>
        <c:delete val="1"/>
        <c:axPos val="b"/>
        <c:numFmt formatCode="General" sourceLinked="1"/>
        <c:majorTickMark val="out"/>
        <c:minorTickMark val="none"/>
        <c:tickLblPos val="nextTo"/>
        <c:crossAx val="220886144"/>
        <c:crosses val="autoZero"/>
        <c:crossBetween val="midCat"/>
      </c:valAx>
    </c:plotArea>
    <c:legend>
      <c:legendPos val="l"/>
      <c:layout>
        <c:manualLayout>
          <c:xMode val="edge"/>
          <c:yMode val="edge"/>
          <c:x val="0.69820093925399296"/>
          <c:y val="0.16336876104743336"/>
          <c:w val="0.22001818778535392"/>
          <c:h val="0.13077712429615321"/>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Compensation</a:t>
            </a:r>
          </a:p>
        </c:rich>
      </c:tx>
      <c:overlay val="0"/>
    </c:title>
    <c:autoTitleDeleted val="0"/>
    <c:plotArea>
      <c:layout/>
      <c:scatterChart>
        <c:scatterStyle val="lineMarker"/>
        <c:varyColors val="0"/>
        <c:ser>
          <c:idx val="0"/>
          <c:order val="0"/>
          <c:tx>
            <c:v>Compensation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Compensation!$H$8:$H$62</c:f>
              <c:numCache>
                <c:formatCode>General</c:formatCode>
                <c:ptCount val="55"/>
                <c:pt idx="0">
                  <c:v>50.984224516556992</c:v>
                </c:pt>
                <c:pt idx="1">
                  <c:v>48.762002319895288</c:v>
                </c:pt>
                <c:pt idx="2">
                  <c:v>46.53978014031054</c:v>
                </c:pt>
                <c:pt idx="3">
                  <c:v>44.317557989211984</c:v>
                </c:pt>
                <c:pt idx="4">
                  <c:v>42.095335885631087</c:v>
                </c:pt>
                <c:pt idx="5">
                  <c:v>39.873113861314486</c:v>
                </c:pt>
                <c:pt idx="6">
                  <c:v>37.65089196921884</c:v>
                </c:pt>
                <c:pt idx="7">
                  <c:v>35.428670297680803</c:v>
                </c:pt>
                <c:pt idx="8">
                  <c:v>33.206448994055016</c:v>
                </c:pt>
                <c:pt idx="9">
                  <c:v>30.984228304143606</c:v>
                </c:pt>
                <c:pt idx="10">
                  <c:v>28.762008637968641</c:v>
                </c:pt>
                <c:pt idx="11">
                  <c:v>26.539790679486881</c:v>
                </c:pt>
                <c:pt idx="12">
                  <c:v>24.317575569603065</c:v>
                </c:pt>
                <c:pt idx="13">
                  <c:v>22.095365211450165</c:v>
                </c:pt>
                <c:pt idx="14">
                  <c:v>19.873162779615857</c:v>
                </c:pt>
                <c:pt idx="15">
                  <c:v>17.650973569548547</c:v>
                </c:pt>
                <c:pt idx="16">
                  <c:v>15.428806414357892</c:v>
                </c:pt>
                <c:pt idx="17">
                  <c:v>13.206676047917673</c:v>
                </c:pt>
                <c:pt idx="18">
                  <c:v>10.984607046026051</c:v>
                </c:pt>
                <c:pt idx="19">
                  <c:v>8.7626403986198564</c:v>
                </c:pt>
                <c:pt idx="20">
                  <c:v>6.5408444672215404</c:v>
                </c:pt>
                <c:pt idx="21">
                  <c:v>4.3193332472999195</c:v>
                </c:pt>
                <c:pt idx="22">
                  <c:v>2.0982967878985108</c:v>
                </c:pt>
                <c:pt idx="23">
                  <c:v>-0.12194818714598024</c:v>
                </c:pt>
                <c:pt idx="24">
                  <c:v>-2.3408741760288487</c:v>
                </c:pt>
                <c:pt idx="25">
                  <c:v>-4.5576035437171729</c:v>
                </c:pt>
                <c:pt idx="26">
                  <c:v>-6.7706786552430103</c:v>
                </c:pt>
                <c:pt idx="27">
                  <c:v>-8.9776855724729714</c:v>
                </c:pt>
                <c:pt idx="28">
                  <c:v>-11.174645862300419</c:v>
                </c:pt>
                <c:pt idx="29">
                  <c:v>-13.355054842373432</c:v>
                </c:pt>
                <c:pt idx="30">
                  <c:v>-15.508417230287517</c:v>
                </c:pt>
                <c:pt idx="31">
                  <c:v>-17.618163973272985</c:v>
                </c:pt>
                <c:pt idx="32">
                  <c:v>-19.65905319274966</c:v>
                </c:pt>
                <c:pt idx="33">
                  <c:v>-21.594788284043574</c:v>
                </c:pt>
                <c:pt idx="34">
                  <c:v>-23.377796472623785</c:v>
                </c:pt>
                <c:pt idx="35">
                  <c:v>-24.954354661600895</c:v>
                </c:pt>
                <c:pt idx="36">
                  <c:v>-26.277317443048055</c:v>
                </c:pt>
                <c:pt idx="37">
                  <c:v>-27.323104088083639</c:v>
                </c:pt>
                <c:pt idx="38">
                  <c:v>-28.102663307408697</c:v>
                </c:pt>
                <c:pt idx="39">
                  <c:v>-28.657978468372889</c:v>
                </c:pt>
                <c:pt idx="40">
                  <c:v>-29.047560981923862</c:v>
                </c:pt>
                <c:pt idx="41">
                  <c:v>-29.332140437306528</c:v>
                </c:pt>
                <c:pt idx="42">
                  <c:v>-29.567843529312068</c:v>
                </c:pt>
                <c:pt idx="43">
                  <c:v>-29.806759867611895</c:v>
                </c:pt>
                <c:pt idx="44">
                  <c:v>-30.101284433870855</c:v>
                </c:pt>
                <c:pt idx="45">
                  <c:v>-30.508210551883309</c:v>
                </c:pt>
                <c:pt idx="46">
                  <c:v>-31.088541095473893</c:v>
                </c:pt>
                <c:pt idx="47">
                  <c:v>-31.899611216297025</c:v>
                </c:pt>
                <c:pt idx="48">
                  <c:v>-32.980192781427114</c:v>
                </c:pt>
                <c:pt idx="49">
                  <c:v>-34.336789328783041</c:v>
                </c:pt>
                <c:pt idx="50">
                  <c:v>-35.942034757522492</c:v>
                </c:pt>
                <c:pt idx="51">
                  <c:v>-37.747041238810901</c:v>
                </c:pt>
                <c:pt idx="52">
                  <c:v>-39.698314865880803</c:v>
                </c:pt>
                <c:pt idx="53">
                  <c:v>-41.749555365556112</c:v>
                </c:pt>
                <c:pt idx="54">
                  <c:v>-43.865931759870342</c:v>
                </c:pt>
              </c:numCache>
            </c:numRef>
          </c:yVal>
          <c:smooth val="0"/>
          <c:extLst>
            <c:ext xmlns:c16="http://schemas.microsoft.com/office/drawing/2014/chart" uri="{C3380CC4-5D6E-409C-BE32-E72D297353CC}">
              <c16:uniqueId val="{00000000-C47B-4110-AC0D-2089B50AFCB5}"/>
            </c:ext>
          </c:extLst>
        </c:ser>
        <c:dLbls>
          <c:showLegendKey val="0"/>
          <c:showVal val="0"/>
          <c:showCatName val="0"/>
          <c:showSerName val="0"/>
          <c:showPercent val="0"/>
          <c:showBubbleSize val="0"/>
        </c:dLbls>
        <c:axId val="220981120"/>
        <c:axId val="221385088"/>
      </c:scatterChart>
      <c:scatterChart>
        <c:scatterStyle val="lineMarker"/>
        <c:varyColors val="0"/>
        <c:ser>
          <c:idx val="1"/>
          <c:order val="1"/>
          <c:tx>
            <c:v>Compensation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Compensation!$I$8:$I$62</c:f>
              <c:numCache>
                <c:formatCode>General</c:formatCode>
                <c:ptCount val="55"/>
                <c:pt idx="0">
                  <c:v>90.005093474253954</c:v>
                </c:pt>
                <c:pt idx="1">
                  <c:v>90.006578474952789</c:v>
                </c:pt>
                <c:pt idx="2">
                  <c:v>90.008496427092084</c:v>
                </c:pt>
                <c:pt idx="3">
                  <c:v>90.010973557501089</c:v>
                </c:pt>
                <c:pt idx="4">
                  <c:v>90.014172894377722</c:v>
                </c:pt>
                <c:pt idx="5">
                  <c:v>90.018304996691015</c:v>
                </c:pt>
                <c:pt idx="6">
                  <c:v>90.023641811709211</c:v>
                </c:pt>
                <c:pt idx="7">
                  <c:v>90.030534572624958</c:v>
                </c:pt>
                <c:pt idx="8">
                  <c:v>90.039436914096981</c:v>
                </c:pt>
                <c:pt idx="9">
                  <c:v>90.050934726839543</c:v>
                </c:pt>
                <c:pt idx="10">
                  <c:v>90.065784715703046</c:v>
                </c:pt>
                <c:pt idx="11">
                  <c:v>90.084964198047743</c:v>
                </c:pt>
                <c:pt idx="12">
                  <c:v>90.109735418010629</c:v>
                </c:pt>
                <c:pt idx="13">
                  <c:v>90.141728605530815</c:v>
                </c:pt>
                <c:pt idx="14">
                  <c:v>90.183049238182448</c:v>
                </c:pt>
                <c:pt idx="15">
                  <c:v>90.236416547103119</c:v>
                </c:pt>
                <c:pt idx="16">
                  <c:v>90.305342343836827</c:v>
                </c:pt>
                <c:pt idx="17">
                  <c:v>90.394361853875893</c:v>
                </c:pt>
                <c:pt idx="18">
                  <c:v>90.509331569164146</c:v>
                </c:pt>
                <c:pt idx="19">
                  <c:v>90.657813335272039</c:v>
                </c:pt>
                <c:pt idx="20">
                  <c:v>90.849569118055413</c:v>
                </c:pt>
                <c:pt idx="21">
                  <c:v>91.097197218399401</c:v>
                </c:pt>
                <c:pt idx="22">
                  <c:v>91.416947947688243</c:v>
                </c:pt>
                <c:pt idx="23">
                  <c:v>91.829764152642497</c:v>
                </c:pt>
                <c:pt idx="24">
                  <c:v>92.362597272713884</c:v>
                </c:pt>
                <c:pt idx="25">
                  <c:v>93.050047455284556</c:v>
                </c:pt>
                <c:pt idx="26">
                  <c:v>93.936354517069987</c:v>
                </c:pt>
                <c:pt idx="27">
                  <c:v>95.077699167539706</c:v>
                </c:pt>
                <c:pt idx="28">
                  <c:v>96.544607577421885</c:v>
                </c:pt>
                <c:pt idx="29">
                  <c:v>98.423885057841247</c:v>
                </c:pt>
                <c:pt idx="30">
                  <c:v>100.8187630792131</c:v>
                </c:pt>
                <c:pt idx="31">
                  <c:v>103.84460539807615</c:v>
                </c:pt>
                <c:pt idx="32">
                  <c:v>107.61553531825295</c:v>
                </c:pt>
                <c:pt idx="33">
                  <c:v>112.21562619639209</c:v>
                </c:pt>
                <c:pt idx="34">
                  <c:v>117.65029252849551</c:v>
                </c:pt>
                <c:pt idx="35">
                  <c:v>123.78574369489975</c:v>
                </c:pt>
                <c:pt idx="36">
                  <c:v>130.30872111476</c:v>
                </c:pt>
                <c:pt idx="37">
                  <c:v>136.75366571398536</c:v>
                </c:pt>
                <c:pt idx="38">
                  <c:v>142.61010545970737</c:v>
                </c:pt>
                <c:pt idx="39">
                  <c:v>147.45109753329339</c:v>
                </c:pt>
                <c:pt idx="40">
                  <c:v>151.00170734362857</c:v>
                </c:pt>
                <c:pt idx="41">
                  <c:v>153.12649081574637</c:v>
                </c:pt>
                <c:pt idx="42">
                  <c:v>153.7762427394718</c:v>
                </c:pt>
                <c:pt idx="43">
                  <c:v>152.94102622704727</c:v>
                </c:pt>
                <c:pt idx="44">
                  <c:v>150.63406125073212</c:v>
                </c:pt>
                <c:pt idx="45">
                  <c:v>146.91230146805617</c:v>
                </c:pt>
                <c:pt idx="46">
                  <c:v>141.92603070857905</c:v>
                </c:pt>
                <c:pt idx="47">
                  <c:v>135.96992686805143</c:v>
                </c:pt>
                <c:pt idx="48">
                  <c:v>129.48689437904153</c:v>
                </c:pt>
                <c:pt idx="49">
                  <c:v>122.98926854454253</c:v>
                </c:pt>
                <c:pt idx="50">
                  <c:v>116.92807899949355</c:v>
                </c:pt>
                <c:pt idx="51">
                  <c:v>111.59385802178893</c:v>
                </c:pt>
                <c:pt idx="52">
                  <c:v>107.09991661932065</c:v>
                </c:pt>
                <c:pt idx="53">
                  <c:v>103.42774351951151</c:v>
                </c:pt>
                <c:pt idx="54">
                  <c:v>100.48725777443188</c:v>
                </c:pt>
              </c:numCache>
            </c:numRef>
          </c:yVal>
          <c:smooth val="0"/>
          <c:extLst>
            <c:ext xmlns:c16="http://schemas.microsoft.com/office/drawing/2014/chart" uri="{C3380CC4-5D6E-409C-BE32-E72D297353CC}">
              <c16:uniqueId val="{00000001-C47B-4110-AC0D-2089B50AFCB5}"/>
            </c:ext>
          </c:extLst>
        </c:ser>
        <c:dLbls>
          <c:showLegendKey val="0"/>
          <c:showVal val="0"/>
          <c:showCatName val="0"/>
          <c:showSerName val="0"/>
          <c:showPercent val="0"/>
          <c:showBubbleSize val="0"/>
        </c:dLbls>
        <c:axId val="222761344"/>
        <c:axId val="221386624"/>
      </c:scatterChart>
      <c:valAx>
        <c:axId val="220981120"/>
        <c:scaling>
          <c:logBase val="10"/>
          <c:orientation val="minMax"/>
          <c:min val="10"/>
        </c:scaling>
        <c:delete val="0"/>
        <c:axPos val="b"/>
        <c:majorGridlines/>
        <c:minorGridlines/>
        <c:numFmt formatCode="General" sourceLinked="1"/>
        <c:majorTickMark val="out"/>
        <c:minorTickMark val="cross"/>
        <c:tickLblPos val="low"/>
        <c:crossAx val="221385088"/>
        <c:crosses val="autoZero"/>
        <c:crossBetween val="midCat"/>
      </c:valAx>
      <c:valAx>
        <c:axId val="221385088"/>
        <c:scaling>
          <c:orientation val="minMax"/>
          <c:max val="60"/>
          <c:min val="-40"/>
        </c:scaling>
        <c:delete val="0"/>
        <c:axPos val="l"/>
        <c:majorGridlines/>
        <c:numFmt formatCode="General" sourceLinked="1"/>
        <c:majorTickMark val="out"/>
        <c:minorTickMark val="none"/>
        <c:tickLblPos val="nextTo"/>
        <c:crossAx val="220981120"/>
        <c:crosses val="autoZero"/>
        <c:crossBetween val="midCat"/>
        <c:majorUnit val="20"/>
      </c:valAx>
      <c:valAx>
        <c:axId val="221386624"/>
        <c:scaling>
          <c:orientation val="minMax"/>
          <c:max val="180"/>
          <c:min val="-180"/>
        </c:scaling>
        <c:delete val="0"/>
        <c:axPos val="r"/>
        <c:numFmt formatCode="General" sourceLinked="1"/>
        <c:majorTickMark val="out"/>
        <c:minorTickMark val="none"/>
        <c:tickLblPos val="nextTo"/>
        <c:crossAx val="222761344"/>
        <c:crosses val="max"/>
        <c:crossBetween val="midCat"/>
        <c:majorUnit val="45"/>
      </c:valAx>
      <c:valAx>
        <c:axId val="222761344"/>
        <c:scaling>
          <c:logBase val="10"/>
          <c:orientation val="minMax"/>
        </c:scaling>
        <c:delete val="1"/>
        <c:axPos val="b"/>
        <c:numFmt formatCode="General" sourceLinked="1"/>
        <c:majorTickMark val="out"/>
        <c:minorTickMark val="none"/>
        <c:tickLblPos val="nextTo"/>
        <c:crossAx val="221386624"/>
        <c:crosses val="autoZero"/>
        <c:crossBetween val="midCat"/>
      </c:valAx>
    </c:plotArea>
    <c:legend>
      <c:legendPos val="l"/>
      <c:layout>
        <c:manualLayout>
          <c:xMode val="edge"/>
          <c:yMode val="edge"/>
          <c:x val="0.65602831874863543"/>
          <c:y val="0.38756332343240335"/>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svg"/><Relationship Id="rId18" Type="http://schemas.openxmlformats.org/officeDocument/2006/relationships/image" Target="../media/image12.png"/><Relationship Id="rId3" Type="http://schemas.openxmlformats.org/officeDocument/2006/relationships/image" Target="../media/image1.jpg"/><Relationship Id="rId21" Type="http://schemas.openxmlformats.org/officeDocument/2006/relationships/image" Target="../media/image15.svg"/><Relationship Id="rId7" Type="http://schemas.openxmlformats.org/officeDocument/2006/relationships/image" Target="../media/image3.svg"/><Relationship Id="rId12" Type="http://schemas.openxmlformats.org/officeDocument/2006/relationships/image" Target="../media/image6.png"/><Relationship Id="rId17" Type="http://schemas.openxmlformats.org/officeDocument/2006/relationships/image" Target="../media/image11.svg"/><Relationship Id="rId2" Type="http://schemas.openxmlformats.org/officeDocument/2006/relationships/hyperlink" Target="http://www.ti.com/product/lm5171-q1" TargetMode="External"/><Relationship Id="rId16" Type="http://schemas.openxmlformats.org/officeDocument/2006/relationships/image" Target="../media/image10.png"/><Relationship Id="rId20" Type="http://schemas.openxmlformats.org/officeDocument/2006/relationships/image" Target="../media/image14.png"/><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5.xml"/><Relationship Id="rId5" Type="http://schemas.openxmlformats.org/officeDocument/2006/relationships/chart" Target="../charts/chart3.xml"/><Relationship Id="rId15" Type="http://schemas.openxmlformats.org/officeDocument/2006/relationships/image" Target="../media/image9.svg"/><Relationship Id="rId10" Type="http://schemas.openxmlformats.org/officeDocument/2006/relationships/chart" Target="../charts/chart4.xml"/><Relationship Id="rId19" Type="http://schemas.openxmlformats.org/officeDocument/2006/relationships/image" Target="../media/image13.svg"/><Relationship Id="rId4" Type="http://schemas.openxmlformats.org/officeDocument/2006/relationships/chart" Target="../charts/chart2.xml"/><Relationship Id="rId9" Type="http://schemas.openxmlformats.org/officeDocument/2006/relationships/image" Target="../media/image5.svg"/><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6.gif"/><Relationship Id="rId1" Type="http://schemas.openxmlformats.org/officeDocument/2006/relationships/hyperlink" Target="http://www.ti.com" TargetMode="External"/></Relationships>
</file>

<file path=xl/drawings/drawing1.xml><?xml version="1.0" encoding="utf-8"?>
<xdr:wsDr xmlns:xdr="http://schemas.openxmlformats.org/drawingml/2006/spreadsheetDrawing" xmlns:a="http://schemas.openxmlformats.org/drawingml/2006/main">
  <xdr:twoCellAnchor>
    <xdr:from>
      <xdr:col>8</xdr:col>
      <xdr:colOff>136498</xdr:colOff>
      <xdr:row>148</xdr:row>
      <xdr:rowOff>66098</xdr:rowOff>
    </xdr:from>
    <xdr:to>
      <xdr:col>19</xdr:col>
      <xdr:colOff>2302</xdr:colOff>
      <xdr:row>167</xdr:row>
      <xdr:rowOff>174928</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2283071</xdr:colOff>
      <xdr:row>3</xdr:row>
      <xdr:rowOff>774</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896" b="8304"/>
        <a:stretch/>
      </xdr:blipFill>
      <xdr:spPr>
        <a:xfrm>
          <a:off x="0" y="0"/>
          <a:ext cx="2283071" cy="538656"/>
        </a:xfrm>
        <a:prstGeom prst="rect">
          <a:avLst/>
        </a:prstGeom>
      </xdr:spPr>
    </xdr:pic>
    <xdr:clientData/>
  </xdr:twoCellAnchor>
  <xdr:twoCellAnchor>
    <xdr:from>
      <xdr:col>15</xdr:col>
      <xdr:colOff>51288</xdr:colOff>
      <xdr:row>73</xdr:row>
      <xdr:rowOff>38832</xdr:rowOff>
    </xdr:from>
    <xdr:to>
      <xdr:col>15</xdr:col>
      <xdr:colOff>205154</xdr:colOff>
      <xdr:row>73</xdr:row>
      <xdr:rowOff>178043</xdr:rowOff>
    </xdr:to>
    <xdr:sp macro="" textlink="">
      <xdr:nvSpPr>
        <xdr:cNvPr id="19" name="Oval 18">
          <a:extLst>
            <a:ext uri="{FF2B5EF4-FFF2-40B4-BE49-F238E27FC236}">
              <a16:creationId xmlns:a16="http://schemas.microsoft.com/office/drawing/2014/main" id="{00000000-0008-0000-0000-000013000000}"/>
            </a:ext>
          </a:extLst>
        </xdr:cNvPr>
        <xdr:cNvSpPr/>
      </xdr:nvSpPr>
      <xdr:spPr>
        <a:xfrm>
          <a:off x="11747988" y="14173932"/>
          <a:ext cx="153866" cy="1392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134593</xdr:colOff>
      <xdr:row>170</xdr:row>
      <xdr:rowOff>8964</xdr:rowOff>
    </xdr:from>
    <xdr:to>
      <xdr:col>19</xdr:col>
      <xdr:colOff>2301</xdr:colOff>
      <xdr:row>187</xdr:row>
      <xdr:rowOff>13247</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188</xdr:row>
      <xdr:rowOff>17393</xdr:rowOff>
    </xdr:from>
    <xdr:to>
      <xdr:col>19</xdr:col>
      <xdr:colOff>1059</xdr:colOff>
      <xdr:row>205</xdr:row>
      <xdr:rowOff>22774</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75511</xdr:colOff>
      <xdr:row>192</xdr:row>
      <xdr:rowOff>220485</xdr:rowOff>
    </xdr:from>
    <xdr:to>
      <xdr:col>8</xdr:col>
      <xdr:colOff>53285</xdr:colOff>
      <xdr:row>202</xdr:row>
      <xdr:rowOff>113456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4407315" y="39322681"/>
          <a:ext cx="3100318" cy="2129275"/>
        </a:xfrm>
        <a:prstGeom prst="rect">
          <a:avLst/>
        </a:prstGeom>
      </xdr:spPr>
    </xdr:pic>
    <xdr:clientData/>
  </xdr:twoCellAnchor>
  <xdr:twoCellAnchor editAs="oneCell">
    <xdr:from>
      <xdr:col>3</xdr:col>
      <xdr:colOff>84385</xdr:colOff>
      <xdr:row>174</xdr:row>
      <xdr:rowOff>81332</xdr:rowOff>
    </xdr:from>
    <xdr:to>
      <xdr:col>8</xdr:col>
      <xdr:colOff>17219</xdr:colOff>
      <xdr:row>183</xdr:row>
      <xdr:rowOff>175351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416189" y="35580593"/>
          <a:ext cx="3055378" cy="2098410"/>
        </a:xfrm>
        <a:prstGeom prst="rect">
          <a:avLst/>
        </a:prstGeom>
      </xdr:spPr>
    </xdr:pic>
    <xdr:clientData/>
  </xdr:twoCellAnchor>
  <xdr:twoCellAnchor>
    <xdr:from>
      <xdr:col>11</xdr:col>
      <xdr:colOff>285254</xdr:colOff>
      <xdr:row>69</xdr:row>
      <xdr:rowOff>6626</xdr:rowOff>
    </xdr:from>
    <xdr:to>
      <xdr:col>18</xdr:col>
      <xdr:colOff>237629</xdr:colOff>
      <xdr:row>84</xdr:row>
      <xdr:rowOff>141684</xdr:rowOff>
    </xdr:to>
    <xdr:graphicFrame macro="">
      <xdr:nvGraphicFramePr>
        <xdr:cNvPr id="23" name="Chart 22">
          <a:extLst>
            <a:ext uri="{FF2B5EF4-FFF2-40B4-BE49-F238E27FC236}">
              <a16:creationId xmlns:a16="http://schemas.microsoft.com/office/drawing/2014/main" id="{11479CB3-2E04-45DE-97A4-7FE8E08A1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428129</xdr:colOff>
      <xdr:row>69</xdr:row>
      <xdr:rowOff>527</xdr:rowOff>
    </xdr:from>
    <xdr:to>
      <xdr:col>10</xdr:col>
      <xdr:colOff>409079</xdr:colOff>
      <xdr:row>84</xdr:row>
      <xdr:rowOff>149087</xdr:rowOff>
    </xdr:to>
    <xdr:graphicFrame macro="">
      <xdr:nvGraphicFramePr>
        <xdr:cNvPr id="24" name="Chart 23">
          <a:extLst>
            <a:ext uri="{FF2B5EF4-FFF2-40B4-BE49-F238E27FC236}">
              <a16:creationId xmlns:a16="http://schemas.microsoft.com/office/drawing/2014/main" id="{BF8813A4-09F6-4099-B576-FC255CA20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371227</xdr:colOff>
      <xdr:row>90</xdr:row>
      <xdr:rowOff>75530</xdr:rowOff>
    </xdr:from>
    <xdr:to>
      <xdr:col>18</xdr:col>
      <xdr:colOff>539444</xdr:colOff>
      <xdr:row>98</xdr:row>
      <xdr:rowOff>157370</xdr:rowOff>
    </xdr:to>
    <xdr:pic>
      <xdr:nvPicPr>
        <xdr:cNvPr id="7" name="Picture 6">
          <a:extLst>
            <a:ext uri="{FF2B5EF4-FFF2-40B4-BE49-F238E27FC236}">
              <a16:creationId xmlns:a16="http://schemas.microsoft.com/office/drawing/2014/main" id="{DD70EA7D-FAA2-495F-801D-F2E13F16C9E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703031" y="18173030"/>
          <a:ext cx="9651804" cy="1812905"/>
        </a:xfrm>
        <a:prstGeom prst="rect">
          <a:avLst/>
        </a:prstGeom>
      </xdr:spPr>
    </xdr:pic>
    <xdr:clientData/>
  </xdr:twoCellAnchor>
  <xdr:twoCellAnchor editAs="oneCell">
    <xdr:from>
      <xdr:col>4</xdr:col>
      <xdr:colOff>106349</xdr:colOff>
      <xdr:row>116</xdr:row>
      <xdr:rowOff>92634</xdr:rowOff>
    </xdr:from>
    <xdr:to>
      <xdr:col>10</xdr:col>
      <xdr:colOff>334040</xdr:colOff>
      <xdr:row>125</xdr:row>
      <xdr:rowOff>49696</xdr:rowOff>
    </xdr:to>
    <xdr:pic>
      <xdr:nvPicPr>
        <xdr:cNvPr id="14" name="Picture 13">
          <a:extLst>
            <a:ext uri="{FF2B5EF4-FFF2-40B4-BE49-F238E27FC236}">
              <a16:creationId xmlns:a16="http://schemas.microsoft.com/office/drawing/2014/main" id="{A090BBE4-0BE9-4943-A596-3C76E8888F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051066" y="23457873"/>
          <a:ext cx="3963148" cy="2011149"/>
        </a:xfrm>
        <a:prstGeom prst="rect">
          <a:avLst/>
        </a:prstGeom>
      </xdr:spPr>
    </xdr:pic>
    <xdr:clientData/>
  </xdr:twoCellAnchor>
  <xdr:twoCellAnchor editAs="oneCell">
    <xdr:from>
      <xdr:col>4</xdr:col>
      <xdr:colOff>73881</xdr:colOff>
      <xdr:row>130</xdr:row>
      <xdr:rowOff>57158</xdr:rowOff>
    </xdr:from>
    <xdr:to>
      <xdr:col>11</xdr:col>
      <xdr:colOff>166031</xdr:colOff>
      <xdr:row>138</xdr:row>
      <xdr:rowOff>8282</xdr:rowOff>
    </xdr:to>
    <xdr:pic>
      <xdr:nvPicPr>
        <xdr:cNvPr id="8" name="Picture 7">
          <a:extLst>
            <a:ext uri="{FF2B5EF4-FFF2-40B4-BE49-F238E27FC236}">
              <a16:creationId xmlns:a16="http://schemas.microsoft.com/office/drawing/2014/main" id="{E55E7BF0-5861-4CF1-A435-80AE1FD3F6D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018598" y="26445549"/>
          <a:ext cx="4440520" cy="1615929"/>
        </a:xfrm>
        <a:prstGeom prst="rect">
          <a:avLst/>
        </a:prstGeom>
      </xdr:spPr>
    </xdr:pic>
    <xdr:clientData/>
  </xdr:twoCellAnchor>
  <xdr:twoCellAnchor editAs="oneCell">
    <xdr:from>
      <xdr:col>3</xdr:col>
      <xdr:colOff>88894</xdr:colOff>
      <xdr:row>147</xdr:row>
      <xdr:rowOff>185643</xdr:rowOff>
    </xdr:from>
    <xdr:to>
      <xdr:col>8</xdr:col>
      <xdr:colOff>19766</xdr:colOff>
      <xdr:row>160</xdr:row>
      <xdr:rowOff>204304</xdr:rowOff>
    </xdr:to>
    <xdr:pic>
      <xdr:nvPicPr>
        <xdr:cNvPr id="16" name="Picture 15">
          <a:extLst>
            <a:ext uri="{FF2B5EF4-FFF2-40B4-BE49-F238E27FC236}">
              <a16:creationId xmlns:a16="http://schemas.microsoft.com/office/drawing/2014/main" id="{2B0ED0F8-9295-4AE8-9595-BCA72FC1DB6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420698" y="29895360"/>
          <a:ext cx="3053416" cy="2883781"/>
        </a:xfrm>
        <a:prstGeom prst="rect">
          <a:avLst/>
        </a:prstGeom>
      </xdr:spPr>
    </xdr:pic>
    <xdr:clientData/>
  </xdr:twoCellAnchor>
  <xdr:twoCellAnchor editAs="oneCell">
    <xdr:from>
      <xdr:col>3</xdr:col>
      <xdr:colOff>86092</xdr:colOff>
      <xdr:row>11</xdr:row>
      <xdr:rowOff>149086</xdr:rowOff>
    </xdr:from>
    <xdr:to>
      <xdr:col>17</xdr:col>
      <xdr:colOff>416271</xdr:colOff>
      <xdr:row>68</xdr:row>
      <xdr:rowOff>59705</xdr:rowOff>
    </xdr:to>
    <xdr:pic>
      <xdr:nvPicPr>
        <xdr:cNvPr id="5" name="Picture 4">
          <a:extLst>
            <a:ext uri="{FF2B5EF4-FFF2-40B4-BE49-F238E27FC236}">
              <a16:creationId xmlns:a16="http://schemas.microsoft.com/office/drawing/2014/main" id="{16ED57DF-A281-4372-8DA3-D8A653C66EF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4417896" y="2228021"/>
          <a:ext cx="8968940" cy="11305762"/>
        </a:xfrm>
        <a:prstGeom prst="rect">
          <a:avLst/>
        </a:prstGeom>
      </xdr:spPr>
    </xdr:pic>
    <xdr:clientData/>
  </xdr:twoCellAnchor>
  <xdr:twoCellAnchor>
    <xdr:from>
      <xdr:col>9</xdr:col>
      <xdr:colOff>225137</xdr:colOff>
      <xdr:row>162</xdr:row>
      <xdr:rowOff>86591</xdr:rowOff>
    </xdr:from>
    <xdr:to>
      <xdr:col>12</xdr:col>
      <xdr:colOff>319199</xdr:colOff>
      <xdr:row>163</xdr:row>
      <xdr:rowOff>30381</xdr:rowOff>
    </xdr:to>
    <xdr:sp macro="" textlink="Compensation!AD46">
      <xdr:nvSpPr>
        <xdr:cNvPr id="17" name="TextBox 14">
          <a:extLst>
            <a:ext uri="{FF2B5EF4-FFF2-40B4-BE49-F238E27FC236}">
              <a16:creationId xmlns:a16="http://schemas.microsoft.com/office/drawing/2014/main" id="{195E6FCF-FDEB-44CB-97DA-167BD650BA8B}"/>
            </a:ext>
          </a:extLst>
        </xdr:cNvPr>
        <xdr:cNvSpPr txBox="1"/>
      </xdr:nvSpPr>
      <xdr:spPr>
        <a:xfrm>
          <a:off x="8243455" y="32731364"/>
          <a:ext cx="1912471" cy="1862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EB2E94E3-E584-4E22-BB1D-4AC7B23193B9}" type="TxLink">
            <a:rPr lang="en-US" sz="1100" b="1" i="0" u="none" strike="noStrike">
              <a:solidFill>
                <a:schemeClr val="accent1"/>
              </a:solidFill>
              <a:latin typeface="Calibri"/>
              <a:cs typeface="Calibri"/>
            </a:rPr>
            <a:pPr/>
            <a:t>Crossover Frequency = 61 kHz</a:t>
          </a:fld>
          <a:endParaRPr lang="en-US" sz="2400" b="1">
            <a:solidFill>
              <a:schemeClr val="accent1"/>
            </a:solidFill>
            <a:latin typeface="+mn-lt"/>
            <a:cs typeface="Arial" panose="020B0604020202020204" pitchFamily="34" charset="0"/>
          </a:endParaRPr>
        </a:p>
      </xdr:txBody>
    </xdr:sp>
    <xdr:clientData/>
  </xdr:twoCellAnchor>
  <xdr:twoCellAnchor>
    <xdr:from>
      <xdr:col>9</xdr:col>
      <xdr:colOff>221675</xdr:colOff>
      <xdr:row>164</xdr:row>
      <xdr:rowOff>5196</xdr:rowOff>
    </xdr:from>
    <xdr:to>
      <xdr:col>11</xdr:col>
      <xdr:colOff>311728</xdr:colOff>
      <xdr:row>164</xdr:row>
      <xdr:rowOff>183931</xdr:rowOff>
    </xdr:to>
    <xdr:sp macro="" textlink="Compensation!AD47">
      <xdr:nvSpPr>
        <xdr:cNvPr id="18" name="TextBox 14">
          <a:extLst>
            <a:ext uri="{FF2B5EF4-FFF2-40B4-BE49-F238E27FC236}">
              <a16:creationId xmlns:a16="http://schemas.microsoft.com/office/drawing/2014/main" id="{1A81911A-0D8E-471F-96EF-9289299579C5}"/>
            </a:ext>
          </a:extLst>
        </xdr:cNvPr>
        <xdr:cNvSpPr txBox="1"/>
      </xdr:nvSpPr>
      <xdr:spPr>
        <a:xfrm>
          <a:off x="8275227" y="33066799"/>
          <a:ext cx="1311880" cy="1787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7E07AFCF-77FB-47C4-BF82-E1779C96325E}" type="TxLink">
            <a:rPr lang="en-US" sz="1100" b="1" i="0" u="none" strike="noStrike">
              <a:solidFill>
                <a:srgbClr val="C00000"/>
              </a:solidFill>
              <a:latin typeface="Calibri"/>
              <a:cs typeface="Calibri"/>
            </a:rPr>
            <a:pPr/>
            <a:t>Phase Margin = 64°</a:t>
          </a:fld>
          <a:endParaRPr lang="en-US" sz="2400" b="1">
            <a:solidFill>
              <a:srgbClr val="C00000"/>
            </a:solidFill>
            <a:latin typeface="+mn-lt"/>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0.10018</cdr:x>
      <cdr:y>0.71611</cdr:y>
    </cdr:from>
    <cdr:to>
      <cdr:x>0.38219</cdr:x>
      <cdr:y>0.76554</cdr:y>
    </cdr:to>
    <cdr:sp macro="" textlink="Compensation!$AK$128">
      <cdr:nvSpPr>
        <cdr:cNvPr id="2" name="TextBox 14">
          <a:extLst xmlns:a="http://schemas.openxmlformats.org/drawingml/2006/main">
            <a:ext uri="{FF2B5EF4-FFF2-40B4-BE49-F238E27FC236}">
              <a16:creationId xmlns:a16="http://schemas.microsoft.com/office/drawing/2014/main" id="{195E6FCF-FDEB-44CB-97DA-167BD650BA8B}"/>
            </a:ext>
          </a:extLst>
        </cdr:cNvPr>
        <cdr:cNvSpPr txBox="1"/>
      </cdr:nvSpPr>
      <cdr:spPr>
        <a:xfrm xmlns:a="http://schemas.openxmlformats.org/drawingml/2006/main">
          <a:off x="685398" y="2660263"/>
          <a:ext cx="1929418" cy="18362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571CB637-A595-49C5-A731-75963E740014}" type="TxLink">
            <a:rPr lang="en-US" sz="1100" b="1" i="0" u="none" strike="noStrike">
              <a:solidFill>
                <a:schemeClr val="accent1"/>
              </a:solidFill>
              <a:latin typeface="Calibri"/>
              <a:ea typeface="+mn-ea"/>
              <a:cs typeface="Calibri"/>
            </a:rPr>
            <a:pPr marL="0" indent="0"/>
            <a:t>Crossover Frequency = 0,2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0.10075</cdr:x>
      <cdr:y>0.77713</cdr:y>
    </cdr:from>
    <cdr:to>
      <cdr:x>0.2928</cdr:x>
      <cdr:y>0.82645</cdr:y>
    </cdr:to>
    <cdr:sp macro="" textlink="Compensation!$AK$129">
      <cdr:nvSpPr>
        <cdr:cNvPr id="3" name="TextBox 14">
          <a:extLst xmlns:a="http://schemas.openxmlformats.org/drawingml/2006/main">
            <a:ext uri="{FF2B5EF4-FFF2-40B4-BE49-F238E27FC236}">
              <a16:creationId xmlns:a16="http://schemas.microsoft.com/office/drawing/2014/main" id="{1A81911A-0D8E-471F-96EF-9289299579C5}"/>
            </a:ext>
          </a:extLst>
        </cdr:cNvPr>
        <cdr:cNvSpPr txBox="1"/>
      </cdr:nvSpPr>
      <cdr:spPr>
        <a:xfrm xmlns:a="http://schemas.openxmlformats.org/drawingml/2006/main">
          <a:off x="689298" y="2886946"/>
          <a:ext cx="1313941" cy="18321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CD44E736-3079-4010-BF0A-2FF4ED155B18}" type="TxLink">
            <a:rPr lang="en-US" sz="1100" b="1" i="0" u="none" strike="noStrike">
              <a:solidFill>
                <a:srgbClr val="C00000"/>
              </a:solidFill>
              <a:latin typeface="Calibri"/>
              <a:ea typeface="+mn-ea"/>
              <a:cs typeface="Calibri"/>
            </a:rPr>
            <a:pPr marL="0" indent="0"/>
            <a:t>Phase Margin = 98°</a:t>
          </a:fld>
          <a:endParaRPr lang="en-US" sz="1100" b="1" i="0" u="none" strike="noStrike">
            <a:solidFill>
              <a:srgbClr val="C00000"/>
            </a:solidFill>
            <a:latin typeface="Calibri"/>
            <a:ea typeface="+mn-ea"/>
            <a:cs typeface="Calibri"/>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0.10153</cdr:x>
      <cdr:y>0.71778</cdr:y>
    </cdr:from>
    <cdr:to>
      <cdr:x>0.38435</cdr:x>
      <cdr:y>0.76719</cdr:y>
    </cdr:to>
    <cdr:sp macro="" textlink="Compensation!$AK$217">
      <cdr:nvSpPr>
        <cdr:cNvPr id="2" name="TextBox 14">
          <a:extLst xmlns:a="http://schemas.openxmlformats.org/drawingml/2006/main">
            <a:ext uri="{FF2B5EF4-FFF2-40B4-BE49-F238E27FC236}">
              <a16:creationId xmlns:a16="http://schemas.microsoft.com/office/drawing/2014/main" id="{7DFFBA52-CB87-46DC-BBD0-BC269C9B2679}"/>
            </a:ext>
          </a:extLst>
        </cdr:cNvPr>
        <cdr:cNvSpPr txBox="1"/>
      </cdr:nvSpPr>
      <cdr:spPr>
        <a:xfrm xmlns:a="http://schemas.openxmlformats.org/drawingml/2006/main">
          <a:off x="692700" y="2667269"/>
          <a:ext cx="1929572" cy="1836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EFC15940-C90C-4432-BF4D-6790ADA7B94A}" type="TxLink">
            <a:rPr lang="en-US" sz="1100" b="1" i="0" u="none" strike="noStrike">
              <a:solidFill>
                <a:schemeClr val="accent1"/>
              </a:solidFill>
              <a:latin typeface="Calibri"/>
              <a:ea typeface="+mn-ea"/>
              <a:cs typeface="Calibri"/>
            </a:rPr>
            <a:pPr marL="0" indent="0"/>
            <a:t>Crossover Frequency = 1,8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0.10186</cdr:x>
      <cdr:y>0.77736</cdr:y>
    </cdr:from>
    <cdr:to>
      <cdr:x>0.29445</cdr:x>
      <cdr:y>0.82667</cdr:y>
    </cdr:to>
    <cdr:sp macro="" textlink="Compensation!$AK$218">
      <cdr:nvSpPr>
        <cdr:cNvPr id="3" name="TextBox 14">
          <a:extLst xmlns:a="http://schemas.openxmlformats.org/drawingml/2006/main">
            <a:ext uri="{FF2B5EF4-FFF2-40B4-BE49-F238E27FC236}">
              <a16:creationId xmlns:a16="http://schemas.microsoft.com/office/drawing/2014/main" id="{BA5545DC-57BA-471F-974E-C1FC032F5915}"/>
            </a:ext>
          </a:extLst>
        </cdr:cNvPr>
        <cdr:cNvSpPr txBox="1"/>
      </cdr:nvSpPr>
      <cdr:spPr>
        <a:xfrm xmlns:a="http://schemas.openxmlformats.org/drawingml/2006/main">
          <a:off x="694952" y="2888668"/>
          <a:ext cx="1313967" cy="18323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16C044E2-B621-411D-8501-E719163EF9F7}" type="TxLink">
            <a:rPr lang="en-US" sz="1100" b="1" i="0" u="none" strike="noStrike">
              <a:solidFill>
                <a:srgbClr val="C00000"/>
              </a:solidFill>
              <a:latin typeface="Calibri"/>
              <a:ea typeface="+mn-ea"/>
              <a:cs typeface="Calibri"/>
            </a:rPr>
            <a:pPr marL="0" indent="0"/>
            <a:t>Phase Margin = 81°</a:t>
          </a:fld>
          <a:endParaRPr lang="en-US" sz="1100" b="1" i="0" u="none" strike="noStrike">
            <a:solidFill>
              <a:srgbClr val="C00000"/>
            </a:solidFill>
            <a:latin typeface="Calibri"/>
            <a:ea typeface="+mn-ea"/>
            <a:cs typeface="Calibri"/>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403539</xdr:colOff>
      <xdr:row>14</xdr:row>
      <xdr:rowOff>57686</xdr:rowOff>
    </xdr:from>
    <xdr:to>
      <xdr:col>38</xdr:col>
      <xdr:colOff>95250</xdr:colOff>
      <xdr:row>33</xdr:row>
      <xdr:rowOff>9806</xdr:rowOff>
    </xdr:to>
    <xdr:graphicFrame macro="">
      <xdr:nvGraphicFramePr>
        <xdr:cNvPr id="4" name="Chart 3">
          <a:extLst>
            <a:ext uri="{FF2B5EF4-FFF2-40B4-BE49-F238E27FC236}">
              <a16:creationId xmlns:a16="http://schemas.microsoft.com/office/drawing/2014/main" id="{F5CBAC80-3B6A-4224-BFA3-DA4C22E7B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7099</xdr:colOff>
      <xdr:row>14</xdr:row>
      <xdr:rowOff>113749</xdr:rowOff>
    </xdr:from>
    <xdr:to>
      <xdr:col>26</xdr:col>
      <xdr:colOff>96896</xdr:colOff>
      <xdr:row>33</xdr:row>
      <xdr:rowOff>81668</xdr:rowOff>
    </xdr:to>
    <xdr:graphicFrame macro="">
      <xdr:nvGraphicFramePr>
        <xdr:cNvPr id="5" name="Chart 4">
          <a:extLst>
            <a:ext uri="{FF2B5EF4-FFF2-40B4-BE49-F238E27FC236}">
              <a16:creationId xmlns:a16="http://schemas.microsoft.com/office/drawing/2014/main" id="{332C74A6-993E-4C16-B9C6-84634B54E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612320</xdr:colOff>
      <xdr:row>5</xdr:row>
      <xdr:rowOff>176894</xdr:rowOff>
    </xdr:from>
    <xdr:to>
      <xdr:col>22</xdr:col>
      <xdr:colOff>511971</xdr:colOff>
      <xdr:row>23</xdr:row>
      <xdr:rowOff>69522</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598714</xdr:colOff>
      <xdr:row>24</xdr:row>
      <xdr:rowOff>0</xdr:rowOff>
    </xdr:from>
    <xdr:to>
      <xdr:col>22</xdr:col>
      <xdr:colOff>498365</xdr:colOff>
      <xdr:row>42</xdr:row>
      <xdr:rowOff>83128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27214</xdr:colOff>
      <xdr:row>44</xdr:row>
      <xdr:rowOff>0</xdr:rowOff>
    </xdr:from>
    <xdr:to>
      <xdr:col>22</xdr:col>
      <xdr:colOff>539186</xdr:colOff>
      <xdr:row>62</xdr:row>
      <xdr:rowOff>83128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69274</xdr:colOff>
      <xdr:row>167</xdr:row>
      <xdr:rowOff>123825</xdr:rowOff>
    </xdr:from>
    <xdr:to>
      <xdr:col>43</xdr:col>
      <xdr:colOff>548452</xdr:colOff>
      <xdr:row>187</xdr:row>
      <xdr:rowOff>138113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125867</xdr:colOff>
      <xdr:row>77</xdr:row>
      <xdr:rowOff>551397</xdr:rowOff>
    </xdr:from>
    <xdr:to>
      <xdr:col>43</xdr:col>
      <xdr:colOff>88284</xdr:colOff>
      <xdr:row>99</xdr:row>
      <xdr:rowOff>143864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101</xdr:row>
      <xdr:rowOff>0</xdr:rowOff>
    </xdr:from>
    <xdr:to>
      <xdr:col>39</xdr:col>
      <xdr:colOff>370494</xdr:colOff>
      <xdr:row>120</xdr:row>
      <xdr:rowOff>96075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189</xdr:row>
      <xdr:rowOff>23812</xdr:rowOff>
    </xdr:from>
    <xdr:to>
      <xdr:col>39</xdr:col>
      <xdr:colOff>275244</xdr:colOff>
      <xdr:row>208</xdr:row>
      <xdr:rowOff>119887</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66626</xdr:rowOff>
    </xdr:to>
    <xdr:pic>
      <xdr:nvPicPr>
        <xdr:cNvPr id="2" name="Picture 1" descr="ti logo">
          <a:hlinkClick xmlns:r="http://schemas.openxmlformats.org/officeDocument/2006/relationships" r:id="rId1"/>
          <a:extLst>
            <a:ext uri="{FF2B5EF4-FFF2-40B4-BE49-F238E27FC236}">
              <a16:creationId xmlns:a16="http://schemas.microsoft.com/office/drawing/2014/main" id="{7F4A31C9-CC8E-4C7E-874A-5BF5441C9C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76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F1BDFA78-8DE2-4207-B9BD-96352FCE71EA}"/>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ECCC6192-3A7D-44E4-A46B-A07AED784DC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2024</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47624</xdr:rowOff>
    </xdr:from>
    <xdr:ext cx="11229977" cy="4219576"/>
    <xdr:sp macro="" textlink="">
      <xdr:nvSpPr>
        <xdr:cNvPr id="5" name="TextBox 4">
          <a:extLst>
            <a:ext uri="{FF2B5EF4-FFF2-40B4-BE49-F238E27FC236}">
              <a16:creationId xmlns:a16="http://schemas.microsoft.com/office/drawing/2014/main" id="{D27F3F2E-5CFA-4D29-B5A0-C07AB4F1E69C}"/>
            </a:ext>
          </a:extLst>
        </xdr:cNvPr>
        <xdr:cNvSpPr txBox="1"/>
      </xdr:nvSpPr>
      <xdr:spPr>
        <a:xfrm>
          <a:off x="95247" y="1133474"/>
          <a:ext cx="11229977" cy="421957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t">
          <a:noAutofit/>
        </a:bodyPr>
        <a:lstStyle/>
        <a:p>
          <a:pPr algn="ctr" eaLnBrk="1" fontAlgn="auto" latinLnBrk="0" hangingPunct="1"/>
          <a:r>
            <a:rPr lang="en-US" sz="1800" b="1" i="0" baseline="0">
              <a:solidFill>
                <a:schemeClr val="tx1"/>
              </a:solidFill>
              <a:effectLst/>
              <a:latin typeface="+mn-lt"/>
              <a:ea typeface="+mn-ea"/>
              <a:cs typeface="+mn-cs"/>
            </a:rPr>
            <a:t>IMPORTANT NOTICE AND DISCLAIMER</a:t>
          </a:r>
          <a:endParaRPr lang="en-US" sz="1800">
            <a:effectLst/>
          </a:endParaRPr>
        </a:p>
        <a:p>
          <a:pPr eaLnBrk="1" fontAlgn="auto" latinLnBrk="0" hangingPunct="1"/>
          <a:br>
            <a:rPr lang="en-US" sz="1100" b="0" i="0" baseline="0">
              <a:solidFill>
                <a:schemeClr val="tx1"/>
              </a:solidFill>
              <a:effectLst/>
              <a:latin typeface="+mn-lt"/>
              <a:ea typeface="+mn-ea"/>
              <a:cs typeface="+mn-cs"/>
            </a:rPr>
          </a:br>
          <a:r>
            <a:rPr lang="en-US" sz="1100" b="0" i="0" baseline="0">
              <a:solidFill>
                <a:schemeClr val="tx1"/>
              </a:solidFill>
              <a:effectLst/>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endParaRPr lang="en-US" sz="1100">
            <a:effectLst/>
          </a:endParaRPr>
        </a:p>
        <a:p>
          <a:pP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 objects to and rejects any additional or different terms you may have proposed. </a:t>
          </a:r>
          <a:endParaRPr lang="en-US" sz="1100">
            <a:effectLst/>
          </a:endParaRPr>
        </a:p>
        <a:p>
          <a:pPr algn="ct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Mailing Address: Texas Instruments, Post Office Box 655303, Dallas, Texas 75265</a:t>
          </a:r>
          <a:endParaRPr lang="en-US" sz="1800">
            <a:effectLst/>
          </a:endParaRPr>
        </a:p>
        <a:p>
          <a:pPr algn="ctr" eaLnBrk="1" fontAlgn="auto" latinLnBrk="0" hangingPunct="1"/>
          <a:r>
            <a:rPr lang="en-US" sz="1100">
              <a:solidFill>
                <a:schemeClr val="tx1"/>
              </a:solidFill>
              <a:effectLst/>
              <a:latin typeface="+mn-lt"/>
              <a:ea typeface="+mn-ea"/>
              <a:cs typeface="+mn-cs"/>
            </a:rPr>
            <a:t>Copyright © 2024, Texas Instruments Incorporated</a:t>
          </a:r>
          <a:endParaRPr lang="en-US" sz="1800">
            <a:effectLst/>
          </a:endParaRP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D7DD9A64-977C-4777-B92B-61BAA5145A67}"/>
            </a:ext>
          </a:extLst>
        </xdr:cNvPr>
        <xdr:cNvSpPr txBox="1"/>
      </xdr:nvSpPr>
      <xdr:spPr>
        <a:xfrm>
          <a:off x="99057" y="544624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i.com/tool/SYNC-BOOST-FET-LOSS-CALC" TargetMode="External"/><Relationship Id="rId1" Type="http://schemas.openxmlformats.org/officeDocument/2006/relationships/hyperlink" Target="https://www.ti.com/tool/SYNC-BUCK-FET-LOSS-CAL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11"/>
  <sheetViews>
    <sheetView tabSelected="1" zoomScaleNormal="100" workbookViewId="0">
      <selection activeCell="B109" sqref="B109"/>
    </sheetView>
  </sheetViews>
  <sheetFormatPr defaultColWidth="9.109375" defaultRowHeight="14.4"/>
  <cols>
    <col min="1" max="1" width="50.109375" style="116" customWidth="1"/>
    <col min="2" max="2" width="10" style="117" customWidth="1"/>
    <col min="3" max="3" width="4.6640625" style="117" customWidth="1"/>
    <col min="4" max="4" width="9.109375" style="117"/>
    <col min="5" max="5" width="10" style="117" bestFit="1" customWidth="1"/>
    <col min="6" max="9" width="9.109375" style="117"/>
    <col min="10" max="10" width="9.109375" style="117" customWidth="1"/>
    <col min="11" max="17" width="9.109375" style="117"/>
    <col min="18" max="18" width="12.6640625" style="117" customWidth="1"/>
    <col min="19" max="19" width="9.109375" style="136"/>
    <col min="20" max="16384" width="9.109375" style="117"/>
  </cols>
  <sheetData>
    <row r="1" spans="1:22" s="234" customFormat="1">
      <c r="A1" s="233" t="s">
        <v>353</v>
      </c>
    </row>
    <row r="2" spans="1:22" s="236" customFormat="1">
      <c r="A2" s="235"/>
    </row>
    <row r="3" spans="1:22" s="236" customFormat="1" ht="12.75" customHeight="1">
      <c r="A3" s="235"/>
    </row>
    <row r="4" spans="1:22" s="105" customFormat="1" ht="15" thickBot="1">
      <c r="A4" s="104"/>
      <c r="F4" s="106"/>
      <c r="G4" s="106"/>
      <c r="H4" s="106"/>
      <c r="I4" s="106"/>
      <c r="J4" s="106"/>
      <c r="K4" s="106"/>
      <c r="L4" s="106"/>
      <c r="M4" s="106"/>
      <c r="N4" s="106"/>
      <c r="O4" s="106"/>
      <c r="P4" s="106"/>
      <c r="Q4" s="106"/>
      <c r="R4" s="106"/>
      <c r="S4" s="107"/>
      <c r="T4" s="106"/>
      <c r="U4" s="106"/>
      <c r="V4" s="106"/>
    </row>
    <row r="5" spans="1:22" s="105" customFormat="1" ht="15" thickBot="1">
      <c r="A5" s="108"/>
      <c r="B5" s="109"/>
      <c r="C5" s="110" t="s">
        <v>115</v>
      </c>
      <c r="F5" s="106"/>
      <c r="G5" s="111" t="s">
        <v>242</v>
      </c>
      <c r="H5" s="111"/>
      <c r="I5" s="111"/>
      <c r="K5" s="106"/>
      <c r="L5" s="106"/>
      <c r="M5" s="106"/>
      <c r="N5" s="106"/>
      <c r="O5" s="106"/>
      <c r="P5" s="106"/>
      <c r="R5" s="172" t="s">
        <v>243</v>
      </c>
      <c r="S5" s="107"/>
      <c r="T5" s="106"/>
      <c r="U5" s="106"/>
      <c r="V5" s="106"/>
    </row>
    <row r="6" spans="1:22" s="113" customFormat="1" ht="15" thickBot="1">
      <c r="A6" s="112"/>
      <c r="F6" s="114"/>
      <c r="G6" s="114"/>
      <c r="H6" s="114"/>
      <c r="I6" s="114"/>
      <c r="J6" s="114"/>
      <c r="K6" s="114"/>
      <c r="L6" s="114"/>
      <c r="M6" s="114"/>
      <c r="N6" s="114"/>
      <c r="O6" s="114"/>
      <c r="P6" s="114"/>
      <c r="Q6" s="114"/>
      <c r="R6" s="114"/>
      <c r="S6" s="115"/>
      <c r="T6" s="114"/>
      <c r="U6" s="114"/>
      <c r="V6" s="114"/>
    </row>
    <row r="7" spans="1:22">
      <c r="F7" s="118"/>
      <c r="G7" s="118"/>
      <c r="H7" s="118"/>
      <c r="I7" s="118"/>
      <c r="J7" s="118"/>
      <c r="K7" s="118"/>
      <c r="L7" s="118"/>
      <c r="M7" s="118"/>
      <c r="N7" s="118"/>
      <c r="O7" s="118"/>
      <c r="P7" s="118"/>
      <c r="Q7" s="118"/>
      <c r="R7" s="118"/>
      <c r="S7" s="119"/>
      <c r="T7" s="118"/>
      <c r="U7" s="118"/>
      <c r="V7" s="118"/>
    </row>
    <row r="8" spans="1:22" ht="18.75" customHeight="1">
      <c r="A8" s="221" t="s">
        <v>352</v>
      </c>
      <c r="B8" s="221"/>
      <c r="C8" s="221"/>
      <c r="F8" s="118"/>
      <c r="O8" s="118"/>
      <c r="P8" s="118"/>
      <c r="Q8" s="118"/>
      <c r="R8" s="118"/>
      <c r="S8" s="119"/>
      <c r="T8" s="118"/>
      <c r="U8" s="118"/>
      <c r="V8" s="118"/>
    </row>
    <row r="9" spans="1:22" ht="8.1" customHeight="1" thickBot="1">
      <c r="A9" s="120"/>
      <c r="B9" s="120"/>
      <c r="C9" s="120"/>
      <c r="F9" s="118"/>
      <c r="O9" s="118"/>
      <c r="P9" s="118"/>
      <c r="Q9" s="118"/>
      <c r="R9" s="118"/>
      <c r="S9" s="119"/>
      <c r="T9" s="118"/>
      <c r="U9" s="118"/>
      <c r="V9" s="118"/>
    </row>
    <row r="10" spans="1:22" ht="17.25" customHeight="1" thickBot="1">
      <c r="A10" s="222" t="s">
        <v>264</v>
      </c>
      <c r="B10" s="223"/>
      <c r="C10" s="224"/>
      <c r="F10" s="118"/>
      <c r="G10" s="232" t="s">
        <v>239</v>
      </c>
      <c r="H10" s="232"/>
      <c r="I10" s="232"/>
      <c r="J10" s="232"/>
      <c r="K10" s="232"/>
      <c r="L10" s="232"/>
      <c r="M10" s="232"/>
      <c r="N10" s="232"/>
      <c r="O10" s="121"/>
      <c r="P10" s="118"/>
      <c r="Q10" s="118"/>
      <c r="R10" s="118"/>
      <c r="S10" s="119"/>
      <c r="T10" s="118"/>
      <c r="U10" s="118"/>
      <c r="V10" s="118"/>
    </row>
    <row r="11" spans="1:22" ht="15" customHeight="1">
      <c r="A11" s="146" t="s">
        <v>269</v>
      </c>
      <c r="B11" s="141">
        <v>11</v>
      </c>
      <c r="C11" s="123" t="s">
        <v>1</v>
      </c>
      <c r="E11" s="118"/>
      <c r="F11" s="118"/>
      <c r="G11" s="232"/>
      <c r="H11" s="232"/>
      <c r="I11" s="232"/>
      <c r="J11" s="232"/>
      <c r="K11" s="232"/>
      <c r="L11" s="232"/>
      <c r="M11" s="232"/>
      <c r="N11" s="232"/>
      <c r="O11" s="118"/>
      <c r="P11" s="118"/>
      <c r="Q11" s="118"/>
      <c r="R11" s="118"/>
      <c r="S11" s="119"/>
      <c r="T11" s="118"/>
      <c r="U11" s="118"/>
      <c r="V11" s="118"/>
    </row>
    <row r="12" spans="1:22" ht="15" customHeight="1">
      <c r="A12" s="146" t="s">
        <v>270</v>
      </c>
      <c r="B12" s="141">
        <v>12</v>
      </c>
      <c r="C12" s="123" t="s">
        <v>1</v>
      </c>
      <c r="E12" s="118"/>
      <c r="F12" s="118"/>
      <c r="G12" s="118"/>
      <c r="H12" s="118"/>
      <c r="I12" s="118"/>
      <c r="J12" s="118"/>
      <c r="K12" s="118"/>
      <c r="L12" s="118"/>
      <c r="M12" s="118"/>
      <c r="N12" s="118"/>
      <c r="O12" s="118"/>
      <c r="P12" s="118"/>
      <c r="Q12" s="118"/>
      <c r="R12" s="118"/>
      <c r="S12" s="119"/>
      <c r="T12" s="118"/>
      <c r="U12" s="118"/>
      <c r="V12" s="118"/>
    </row>
    <row r="13" spans="1:22" ht="15" thickBot="1">
      <c r="A13" s="152" t="s">
        <v>271</v>
      </c>
      <c r="B13" s="142">
        <v>13</v>
      </c>
      <c r="C13" s="125" t="s">
        <v>1</v>
      </c>
      <c r="E13" s="118"/>
      <c r="F13" s="118"/>
      <c r="G13" s="118"/>
      <c r="H13" s="118"/>
      <c r="I13" s="118"/>
      <c r="J13" s="118"/>
      <c r="K13" s="118"/>
      <c r="L13" s="118"/>
      <c r="M13" s="118"/>
      <c r="N13" s="118"/>
      <c r="O13" s="118"/>
      <c r="P13" s="118"/>
      <c r="Q13" s="118"/>
      <c r="R13" s="118"/>
      <c r="S13" s="119"/>
      <c r="T13" s="118"/>
      <c r="U13" s="118"/>
      <c r="V13" s="118"/>
    </row>
    <row r="14" spans="1:22" ht="15" thickBot="1">
      <c r="B14" s="126"/>
      <c r="E14" s="118"/>
      <c r="F14" s="118"/>
      <c r="G14" s="118"/>
      <c r="H14" s="118"/>
      <c r="I14" s="118"/>
      <c r="J14" s="118"/>
      <c r="K14" s="118"/>
      <c r="L14" s="118"/>
      <c r="M14" s="118"/>
      <c r="N14" s="118"/>
      <c r="O14" s="118"/>
      <c r="P14" s="118"/>
      <c r="Q14" s="118"/>
      <c r="R14" s="118"/>
      <c r="S14" s="119"/>
      <c r="T14" s="118"/>
      <c r="U14" s="118"/>
      <c r="V14" s="118"/>
    </row>
    <row r="15" spans="1:22" ht="15" thickBot="1">
      <c r="A15" s="222" t="s">
        <v>578</v>
      </c>
      <c r="B15" s="223"/>
      <c r="C15" s="224"/>
      <c r="E15" s="118"/>
      <c r="F15" s="118"/>
      <c r="G15" s="118"/>
      <c r="H15" s="118"/>
      <c r="I15" s="118"/>
      <c r="J15" s="118"/>
      <c r="K15" s="118"/>
      <c r="L15" s="118"/>
      <c r="M15" s="118"/>
      <c r="N15" s="118"/>
      <c r="O15" s="118"/>
      <c r="P15" s="118"/>
      <c r="Q15" s="118"/>
      <c r="R15" s="118"/>
      <c r="S15" s="119"/>
      <c r="T15" s="118"/>
      <c r="U15" s="118"/>
      <c r="V15" s="118"/>
    </row>
    <row r="16" spans="1:22">
      <c r="A16" s="146" t="s">
        <v>266</v>
      </c>
      <c r="B16" s="141">
        <v>3</v>
      </c>
      <c r="C16" s="123" t="s">
        <v>1</v>
      </c>
      <c r="E16" s="118"/>
      <c r="F16" s="118"/>
      <c r="G16" s="118"/>
      <c r="H16" s="118"/>
      <c r="I16" s="118"/>
      <c r="J16" s="118"/>
      <c r="K16" s="118"/>
      <c r="L16" s="118"/>
      <c r="M16" s="118"/>
      <c r="N16" s="118"/>
      <c r="O16" s="118"/>
      <c r="P16" s="118"/>
      <c r="Q16" s="118"/>
      <c r="R16" s="118"/>
      <c r="S16" s="119"/>
      <c r="T16" s="118"/>
      <c r="U16" s="118"/>
      <c r="V16" s="118"/>
    </row>
    <row r="17" spans="1:22">
      <c r="A17" s="146" t="s">
        <v>267</v>
      </c>
      <c r="B17" s="141">
        <v>3.3</v>
      </c>
      <c r="C17" s="123" t="s">
        <v>1</v>
      </c>
      <c r="E17" s="118"/>
      <c r="F17" s="118"/>
      <c r="G17" s="118"/>
      <c r="H17" s="118"/>
      <c r="I17" s="118"/>
      <c r="J17" s="118"/>
      <c r="K17" s="118"/>
      <c r="L17" s="118"/>
      <c r="M17" s="118"/>
      <c r="N17" s="118"/>
      <c r="O17" s="118"/>
      <c r="P17" s="118"/>
      <c r="Q17" s="118"/>
      <c r="R17" s="118"/>
      <c r="S17" s="119"/>
      <c r="T17" s="118"/>
      <c r="U17" s="118"/>
      <c r="V17" s="118"/>
    </row>
    <row r="18" spans="1:22" ht="15" thickBot="1">
      <c r="A18" s="152" t="s">
        <v>268</v>
      </c>
      <c r="B18" s="142">
        <v>3.5</v>
      </c>
      <c r="C18" s="125" t="s">
        <v>1</v>
      </c>
      <c r="F18" s="118"/>
      <c r="G18" s="118"/>
      <c r="H18" s="118"/>
      <c r="I18" s="118"/>
      <c r="J18" s="118"/>
      <c r="K18" s="118"/>
      <c r="L18" s="118"/>
      <c r="M18" s="118"/>
      <c r="N18" s="118"/>
      <c r="O18" s="118"/>
      <c r="P18" s="118"/>
      <c r="Q18" s="118"/>
      <c r="R18" s="118"/>
      <c r="S18" s="119"/>
      <c r="T18" s="118"/>
      <c r="U18" s="118"/>
      <c r="V18" s="118"/>
    </row>
    <row r="19" spans="1:22" ht="15" thickBot="1">
      <c r="B19" s="126"/>
      <c r="F19" s="118"/>
      <c r="G19" s="118"/>
      <c r="H19" s="118"/>
      <c r="I19" s="118"/>
      <c r="J19" s="118"/>
      <c r="K19" s="118"/>
      <c r="L19" s="118"/>
      <c r="M19" s="118"/>
      <c r="N19" s="118"/>
      <c r="O19" s="118"/>
      <c r="P19" s="118"/>
      <c r="Q19" s="118"/>
      <c r="R19" s="118"/>
      <c r="S19" s="119"/>
      <c r="T19" s="118"/>
      <c r="U19" s="118"/>
      <c r="V19" s="118"/>
    </row>
    <row r="20" spans="1:22" ht="15" thickBot="1">
      <c r="A20" s="222" t="s">
        <v>2</v>
      </c>
      <c r="B20" s="223"/>
      <c r="C20" s="224"/>
      <c r="F20" s="118"/>
      <c r="G20" s="118"/>
      <c r="H20" s="118"/>
      <c r="I20" s="118"/>
      <c r="J20" s="118"/>
      <c r="K20" s="118"/>
      <c r="L20" s="118"/>
      <c r="M20" s="118"/>
      <c r="N20" s="118"/>
      <c r="O20" s="118"/>
      <c r="P20" s="118"/>
      <c r="Q20" s="118"/>
      <c r="R20" s="118"/>
      <c r="S20" s="119"/>
      <c r="T20" s="118"/>
      <c r="U20" s="118"/>
      <c r="V20" s="118"/>
    </row>
    <row r="21" spans="1:22">
      <c r="A21" s="146" t="s">
        <v>265</v>
      </c>
      <c r="B21" s="141">
        <v>415</v>
      </c>
      <c r="C21" s="123" t="s">
        <v>3</v>
      </c>
      <c r="F21" s="118"/>
      <c r="G21" s="118"/>
      <c r="H21" s="118"/>
      <c r="I21" s="118"/>
      <c r="J21" s="118"/>
      <c r="K21" s="118"/>
      <c r="L21" s="118"/>
      <c r="M21" s="118"/>
      <c r="N21" s="118"/>
      <c r="O21" s="118"/>
      <c r="P21" s="118"/>
      <c r="Q21" s="118"/>
      <c r="R21" s="118"/>
      <c r="S21" s="119"/>
      <c r="T21" s="118"/>
      <c r="U21" s="118"/>
      <c r="V21" s="118"/>
    </row>
    <row r="22" spans="1:22" ht="16.2" thickBot="1">
      <c r="A22" s="152" t="s">
        <v>373</v>
      </c>
      <c r="B22" s="132">
        <f>Calculations!B16</f>
        <v>10.000000000000002</v>
      </c>
      <c r="C22" s="125" t="s">
        <v>16</v>
      </c>
      <c r="F22" s="118"/>
      <c r="G22" s="118"/>
      <c r="H22" s="118"/>
      <c r="I22" s="118"/>
      <c r="J22" s="118"/>
      <c r="K22" s="118"/>
      <c r="L22" s="118"/>
      <c r="M22" s="118"/>
      <c r="N22" s="118"/>
      <c r="O22" s="118"/>
      <c r="P22" s="118"/>
      <c r="Q22" s="118"/>
      <c r="R22" s="118"/>
      <c r="S22" s="119"/>
      <c r="T22" s="118"/>
      <c r="U22" s="118"/>
      <c r="V22" s="118"/>
    </row>
    <row r="23" spans="1:22" ht="15" thickBot="1">
      <c r="F23" s="118"/>
      <c r="G23" s="118"/>
      <c r="H23" s="118"/>
      <c r="I23" s="118"/>
      <c r="J23" s="118"/>
      <c r="K23" s="118"/>
      <c r="L23" s="118"/>
      <c r="M23" s="118"/>
      <c r="N23" s="118"/>
      <c r="O23" s="118"/>
      <c r="P23" s="118"/>
      <c r="Q23" s="118"/>
      <c r="R23" s="118"/>
      <c r="S23" s="119"/>
      <c r="T23" s="118"/>
      <c r="U23" s="118"/>
      <c r="V23" s="118"/>
    </row>
    <row r="24" spans="1:22" ht="15" thickBot="1">
      <c r="A24" s="222" t="s">
        <v>240</v>
      </c>
      <c r="B24" s="223"/>
      <c r="C24" s="224"/>
      <c r="F24" s="118"/>
      <c r="G24" s="118"/>
      <c r="H24" s="118"/>
      <c r="I24" s="118"/>
      <c r="J24" s="118"/>
      <c r="K24" s="118"/>
      <c r="L24" s="118"/>
      <c r="M24" s="118"/>
      <c r="N24" s="118"/>
      <c r="O24" s="118"/>
      <c r="P24" s="118"/>
      <c r="Q24" s="118"/>
      <c r="R24" s="118"/>
      <c r="S24" s="119"/>
      <c r="T24" s="118"/>
      <c r="U24" s="118"/>
      <c r="V24" s="118"/>
    </row>
    <row r="25" spans="1:22">
      <c r="A25" s="146" t="s">
        <v>27</v>
      </c>
      <c r="B25" s="141">
        <v>1</v>
      </c>
      <c r="C25" s="123"/>
      <c r="F25" s="118"/>
      <c r="G25" s="118"/>
      <c r="H25" s="118"/>
      <c r="I25" s="118"/>
      <c r="J25" s="118"/>
      <c r="K25" s="118"/>
      <c r="L25" s="118"/>
      <c r="M25" s="118"/>
      <c r="N25" s="118"/>
      <c r="O25" s="118"/>
      <c r="P25" s="118"/>
      <c r="Q25" s="118"/>
      <c r="R25" s="118"/>
      <c r="S25" s="119"/>
      <c r="T25" s="118"/>
      <c r="U25" s="118"/>
      <c r="V25" s="118"/>
    </row>
    <row r="26" spans="1:22">
      <c r="A26" s="146" t="s">
        <v>589</v>
      </c>
      <c r="B26" s="141">
        <v>12</v>
      </c>
      <c r="C26" s="123" t="s">
        <v>4</v>
      </c>
      <c r="F26" s="118"/>
      <c r="G26" s="118"/>
      <c r="H26" s="118"/>
      <c r="I26" s="118"/>
      <c r="J26" s="118"/>
      <c r="K26" s="118"/>
      <c r="L26" s="118"/>
      <c r="M26" s="118"/>
      <c r="N26" s="118"/>
      <c r="O26" s="118"/>
      <c r="P26" s="118"/>
      <c r="Q26" s="118"/>
      <c r="R26" s="118"/>
      <c r="S26" s="119"/>
      <c r="T26" s="118"/>
      <c r="U26" s="118"/>
      <c r="V26" s="118"/>
    </row>
    <row r="27" spans="1:22">
      <c r="A27" s="146" t="s">
        <v>590</v>
      </c>
      <c r="B27" s="141">
        <v>5</v>
      </c>
      <c r="C27" s="123" t="s">
        <v>4</v>
      </c>
      <c r="F27" s="118"/>
      <c r="G27" s="118"/>
      <c r="H27" s="118"/>
      <c r="I27" s="118"/>
      <c r="J27" s="118"/>
      <c r="K27" s="118"/>
      <c r="L27" s="118"/>
      <c r="M27" s="118"/>
      <c r="N27" s="118"/>
      <c r="O27" s="118"/>
      <c r="P27" s="118"/>
      <c r="Q27" s="118"/>
      <c r="R27" s="118"/>
      <c r="S27" s="119"/>
      <c r="T27" s="118"/>
      <c r="U27" s="118"/>
      <c r="V27" s="118"/>
    </row>
    <row r="28" spans="1:22" ht="15.6">
      <c r="A28" s="146" t="s">
        <v>374</v>
      </c>
      <c r="B28" s="128">
        <f>Calculations!B30</f>
        <v>4.166666666666667</v>
      </c>
      <c r="C28" s="123" t="s">
        <v>7</v>
      </c>
      <c r="F28" s="118"/>
      <c r="G28" s="118"/>
      <c r="H28" s="118"/>
      <c r="I28" s="118"/>
      <c r="J28" s="118"/>
      <c r="K28" s="118"/>
      <c r="L28" s="118"/>
      <c r="M28" s="118"/>
      <c r="N28" s="118"/>
      <c r="O28" s="118"/>
      <c r="P28" s="118"/>
      <c r="Q28" s="118"/>
      <c r="R28" s="118"/>
      <c r="S28" s="119"/>
      <c r="T28" s="118"/>
      <c r="U28" s="118"/>
      <c r="V28" s="118"/>
    </row>
    <row r="29" spans="1:22" ht="15.6">
      <c r="A29" s="146" t="s">
        <v>398</v>
      </c>
      <c r="B29" s="141">
        <v>4</v>
      </c>
      <c r="C29" s="123" t="s">
        <v>7</v>
      </c>
      <c r="F29" s="118"/>
      <c r="G29" s="118"/>
      <c r="H29" s="118"/>
      <c r="I29" s="118"/>
      <c r="J29" s="118"/>
      <c r="K29" s="118"/>
      <c r="L29" s="118"/>
      <c r="M29" s="118"/>
      <c r="N29" s="118"/>
      <c r="O29" s="118"/>
      <c r="P29" s="118"/>
      <c r="Q29" s="118"/>
      <c r="R29" s="118"/>
      <c r="S29" s="119"/>
      <c r="T29" s="118"/>
      <c r="U29" s="118"/>
      <c r="V29" s="118"/>
    </row>
    <row r="30" spans="1:22">
      <c r="A30" s="146" t="s">
        <v>375</v>
      </c>
      <c r="B30" s="117">
        <f>I_Channel</f>
        <v>12.5</v>
      </c>
      <c r="C30" s="123" t="s">
        <v>4</v>
      </c>
      <c r="F30" s="118"/>
      <c r="G30" s="118"/>
      <c r="H30" s="118"/>
      <c r="I30" s="118"/>
      <c r="J30" s="118"/>
      <c r="K30" s="118"/>
      <c r="L30" s="118"/>
      <c r="M30" s="118"/>
      <c r="N30" s="118"/>
      <c r="O30" s="118"/>
      <c r="P30" s="118"/>
      <c r="Q30" s="118"/>
      <c r="R30" s="118"/>
      <c r="S30" s="119"/>
      <c r="T30" s="118"/>
      <c r="U30" s="118"/>
      <c r="V30" s="118"/>
    </row>
    <row r="31" spans="1:22" ht="15" thickBot="1">
      <c r="A31" s="152" t="s">
        <v>577</v>
      </c>
      <c r="B31" s="127">
        <f>Calculations!B34</f>
        <v>12.5</v>
      </c>
      <c r="C31" s="125" t="s">
        <v>4</v>
      </c>
      <c r="F31" s="118"/>
      <c r="G31" s="118"/>
      <c r="H31" s="118"/>
      <c r="I31" s="118"/>
      <c r="J31" s="118"/>
      <c r="K31" s="118"/>
      <c r="L31" s="118"/>
      <c r="M31" s="118"/>
      <c r="N31" s="118"/>
      <c r="O31" s="118"/>
      <c r="P31" s="118"/>
      <c r="Q31" s="118"/>
      <c r="R31" s="118"/>
      <c r="S31" s="119"/>
      <c r="T31" s="118"/>
      <c r="U31" s="118"/>
      <c r="V31" s="118"/>
    </row>
    <row r="32" spans="1:22" ht="18">
      <c r="A32" s="237"/>
      <c r="B32" s="237"/>
      <c r="C32" s="237"/>
      <c r="F32" s="118"/>
      <c r="G32" s="118"/>
      <c r="H32" s="118"/>
      <c r="I32" s="118"/>
      <c r="J32" s="118"/>
      <c r="K32" s="118"/>
      <c r="L32" s="118"/>
      <c r="M32" s="118"/>
      <c r="N32" s="118"/>
      <c r="O32" s="118"/>
      <c r="P32" s="118"/>
      <c r="Q32" s="118"/>
      <c r="R32" s="118"/>
      <c r="S32" s="119"/>
      <c r="T32" s="118"/>
      <c r="U32" s="118"/>
      <c r="V32" s="118"/>
    </row>
    <row r="33" spans="1:22" ht="18">
      <c r="A33" s="221" t="s">
        <v>241</v>
      </c>
      <c r="B33" s="221"/>
      <c r="C33" s="221"/>
      <c r="F33" s="118"/>
      <c r="G33" s="118"/>
      <c r="H33" s="118"/>
      <c r="I33" s="118"/>
      <c r="J33" s="118"/>
      <c r="K33" s="118"/>
      <c r="L33" s="118"/>
      <c r="M33" s="118"/>
      <c r="N33" s="118"/>
      <c r="O33" s="118"/>
      <c r="P33" s="118"/>
      <c r="Q33" s="118"/>
      <c r="R33" s="118"/>
      <c r="S33" s="119"/>
      <c r="T33" s="118"/>
      <c r="U33" s="118"/>
      <c r="V33" s="118"/>
    </row>
    <row r="34" spans="1:22" ht="8.1" customHeight="1" thickBot="1">
      <c r="A34" s="129"/>
      <c r="B34" s="129"/>
      <c r="C34" s="129"/>
      <c r="F34" s="118"/>
      <c r="G34" s="118"/>
      <c r="H34" s="118"/>
      <c r="I34" s="118"/>
      <c r="J34" s="118"/>
      <c r="K34" s="118"/>
      <c r="L34" s="118"/>
      <c r="M34" s="118"/>
      <c r="N34" s="118"/>
      <c r="O34" s="118"/>
      <c r="P34" s="118"/>
      <c r="Q34" s="118"/>
      <c r="R34" s="118"/>
      <c r="S34" s="119"/>
      <c r="T34" s="118"/>
      <c r="U34" s="118"/>
      <c r="V34" s="118"/>
    </row>
    <row r="35" spans="1:22" ht="15" thickBot="1">
      <c r="A35" s="222" t="s">
        <v>9</v>
      </c>
      <c r="B35" s="223"/>
      <c r="C35" s="224"/>
      <c r="F35" s="118"/>
      <c r="G35" s="118"/>
      <c r="H35" s="118"/>
      <c r="I35" s="118"/>
      <c r="J35" s="118"/>
      <c r="K35" s="118"/>
      <c r="L35" s="118"/>
      <c r="M35" s="118"/>
      <c r="N35" s="118"/>
      <c r="O35" s="118"/>
      <c r="P35" s="118"/>
      <c r="Q35" s="118"/>
      <c r="R35" s="118"/>
      <c r="S35" s="119"/>
      <c r="T35" s="118"/>
      <c r="U35" s="118"/>
      <c r="V35" s="118"/>
    </row>
    <row r="36" spans="1:22">
      <c r="A36" s="146" t="s">
        <v>376</v>
      </c>
      <c r="B36" s="143">
        <v>17</v>
      </c>
      <c r="C36" s="130" t="s">
        <v>26</v>
      </c>
      <c r="F36" s="118"/>
      <c r="G36" s="118"/>
      <c r="H36" s="118"/>
      <c r="I36" s="118"/>
      <c r="J36" s="118"/>
      <c r="K36" s="118"/>
      <c r="L36" s="118"/>
      <c r="M36" s="118"/>
      <c r="N36" s="118"/>
      <c r="O36" s="118"/>
      <c r="P36" s="118"/>
      <c r="Q36" s="118"/>
      <c r="R36" s="118"/>
      <c r="S36" s="119"/>
      <c r="T36" s="118"/>
      <c r="U36" s="118"/>
      <c r="V36" s="118"/>
    </row>
    <row r="37" spans="1:22">
      <c r="A37" s="146" t="s">
        <v>381</v>
      </c>
      <c r="B37" s="133">
        <f>Calculations!B42</f>
        <v>2.9084664449653816</v>
      </c>
      <c r="C37" s="123" t="s">
        <v>6</v>
      </c>
      <c r="F37" s="118"/>
      <c r="G37" s="118"/>
      <c r="H37" s="118"/>
      <c r="I37" s="118"/>
      <c r="J37" s="118"/>
      <c r="K37" s="118"/>
      <c r="L37" s="118"/>
      <c r="M37" s="118"/>
      <c r="N37" s="118"/>
      <c r="O37" s="118"/>
      <c r="P37" s="118"/>
      <c r="Q37" s="118"/>
      <c r="R37" s="118"/>
      <c r="S37" s="119"/>
      <c r="T37" s="118"/>
      <c r="U37" s="118"/>
      <c r="V37" s="118"/>
    </row>
    <row r="38" spans="1:22" ht="15.6">
      <c r="A38" s="146" t="s">
        <v>399</v>
      </c>
      <c r="B38" s="141">
        <v>2.7</v>
      </c>
      <c r="C38" s="123" t="s">
        <v>6</v>
      </c>
      <c r="E38" s="131"/>
      <c r="F38" s="118"/>
      <c r="G38" s="118"/>
      <c r="H38" s="118"/>
      <c r="I38" s="118"/>
      <c r="J38" s="118"/>
      <c r="K38" s="118"/>
      <c r="L38" s="118"/>
      <c r="M38" s="118"/>
      <c r="N38" s="118"/>
      <c r="O38" s="118"/>
      <c r="P38" s="118"/>
      <c r="Q38" s="118"/>
      <c r="R38" s="118"/>
      <c r="S38" s="119"/>
      <c r="T38" s="118"/>
      <c r="U38" s="118"/>
      <c r="V38" s="118"/>
    </row>
    <row r="39" spans="1:22">
      <c r="A39" s="146" t="s">
        <v>29</v>
      </c>
      <c r="B39" s="141">
        <v>2.6</v>
      </c>
      <c r="C39" s="123" t="s">
        <v>7</v>
      </c>
      <c r="F39" s="118"/>
      <c r="G39" s="118"/>
      <c r="H39" s="118"/>
      <c r="I39" s="118"/>
      <c r="J39" s="118"/>
      <c r="K39" s="118"/>
      <c r="L39" s="118"/>
      <c r="M39" s="118"/>
      <c r="N39" s="118"/>
      <c r="O39" s="118"/>
      <c r="P39" s="118"/>
      <c r="Q39" s="118"/>
      <c r="R39" s="118"/>
      <c r="S39" s="119"/>
      <c r="T39" s="118"/>
      <c r="U39" s="118"/>
      <c r="V39" s="118"/>
    </row>
    <row r="40" spans="1:22" ht="15" thickBot="1">
      <c r="A40" s="152" t="s">
        <v>390</v>
      </c>
      <c r="B40" s="132">
        <f>I_Channel_Peak_No_Ilimit</f>
        <v>13.098753990320255</v>
      </c>
      <c r="C40" s="125" t="s">
        <v>4</v>
      </c>
      <c r="F40" s="118"/>
      <c r="G40" s="118"/>
      <c r="H40" s="118"/>
      <c r="I40" s="118"/>
      <c r="J40" s="118"/>
      <c r="K40" s="118"/>
      <c r="L40" s="118"/>
      <c r="M40" s="118"/>
      <c r="N40" s="118"/>
      <c r="O40" s="118"/>
      <c r="P40" s="118"/>
      <c r="Q40" s="118"/>
      <c r="R40" s="118"/>
      <c r="S40" s="119"/>
      <c r="T40" s="118"/>
      <c r="U40" s="118"/>
      <c r="V40" s="118"/>
    </row>
    <row r="41" spans="1:22">
      <c r="A41" s="122"/>
      <c r="B41" s="133"/>
      <c r="F41" s="118"/>
      <c r="G41" s="118"/>
      <c r="H41" s="118"/>
      <c r="I41" s="118"/>
      <c r="J41" s="118"/>
      <c r="K41" s="118"/>
      <c r="L41" s="118"/>
      <c r="M41" s="118"/>
      <c r="N41" s="118"/>
      <c r="O41" s="118"/>
      <c r="P41" s="118"/>
      <c r="Q41" s="118"/>
      <c r="R41" s="118"/>
      <c r="S41" s="119"/>
      <c r="T41" s="118"/>
      <c r="U41" s="118"/>
      <c r="V41" s="118"/>
    </row>
    <row r="42" spans="1:22" ht="18">
      <c r="A42" s="221" t="s">
        <v>460</v>
      </c>
      <c r="B42" s="221"/>
      <c r="C42" s="221"/>
      <c r="F42" s="118"/>
      <c r="G42" s="118"/>
      <c r="H42" s="118"/>
      <c r="I42" s="118"/>
      <c r="J42" s="118"/>
      <c r="K42" s="118"/>
      <c r="L42" s="118"/>
      <c r="M42" s="118"/>
      <c r="N42" s="118"/>
      <c r="O42" s="118"/>
      <c r="P42" s="118"/>
      <c r="Q42" s="118"/>
      <c r="R42" s="118"/>
      <c r="S42" s="119"/>
      <c r="T42" s="118"/>
      <c r="U42" s="118"/>
      <c r="V42" s="118"/>
    </row>
    <row r="43" spans="1:22" ht="8.1" customHeight="1" thickBot="1">
      <c r="A43" s="158"/>
      <c r="B43" s="133"/>
      <c r="F43" s="118"/>
      <c r="G43" s="118"/>
      <c r="H43" s="118"/>
      <c r="I43" s="118"/>
      <c r="J43" s="118"/>
      <c r="K43" s="118"/>
      <c r="L43" s="118"/>
      <c r="M43" s="118"/>
      <c r="N43" s="118"/>
      <c r="O43" s="118"/>
      <c r="P43" s="118"/>
      <c r="Q43" s="118"/>
      <c r="R43" s="118"/>
      <c r="S43" s="119"/>
      <c r="T43" s="118"/>
      <c r="U43" s="118"/>
      <c r="V43" s="118"/>
    </row>
    <row r="44" spans="1:22" ht="15" thickBot="1">
      <c r="A44" s="222" t="s">
        <v>244</v>
      </c>
      <c r="B44" s="223"/>
      <c r="C44" s="224"/>
      <c r="F44" s="118"/>
      <c r="G44" s="118"/>
      <c r="H44" s="118"/>
      <c r="I44" s="118"/>
      <c r="J44" s="118"/>
      <c r="K44" s="118"/>
      <c r="L44" s="118"/>
      <c r="M44" s="118"/>
      <c r="N44" s="118"/>
      <c r="O44" s="118"/>
      <c r="P44" s="118"/>
      <c r="Q44" s="118"/>
      <c r="R44" s="118"/>
      <c r="S44" s="119"/>
      <c r="T44" s="118"/>
      <c r="U44" s="118"/>
      <c r="V44" s="118"/>
    </row>
    <row r="45" spans="1:22">
      <c r="A45" s="159" t="s">
        <v>391</v>
      </c>
      <c r="B45" s="174">
        <v>5</v>
      </c>
      <c r="C45" s="175" t="s">
        <v>26</v>
      </c>
      <c r="F45" s="118"/>
      <c r="G45" s="118"/>
      <c r="H45" s="118"/>
      <c r="I45" s="118"/>
      <c r="J45" s="118"/>
      <c r="K45" s="118"/>
      <c r="L45" s="118"/>
      <c r="M45" s="118"/>
      <c r="N45" s="118"/>
      <c r="O45" s="118"/>
      <c r="P45" s="118"/>
      <c r="Q45" s="118"/>
      <c r="R45" s="118"/>
      <c r="S45" s="119"/>
      <c r="T45" s="118"/>
      <c r="U45" s="118"/>
      <c r="V45" s="118"/>
    </row>
    <row r="46" spans="1:22">
      <c r="A46" s="146" t="s">
        <v>393</v>
      </c>
      <c r="B46" s="133">
        <f>I_Channel_Peak_Select</f>
        <v>13.753691689836268</v>
      </c>
      <c r="C46" s="123" t="s">
        <v>4</v>
      </c>
      <c r="F46" s="118"/>
      <c r="G46" s="118"/>
      <c r="H46" s="118"/>
      <c r="I46" s="118"/>
      <c r="J46" s="118"/>
      <c r="K46" s="118"/>
      <c r="L46" s="118"/>
      <c r="M46" s="118"/>
      <c r="N46" s="118"/>
      <c r="O46" s="118"/>
      <c r="P46" s="118"/>
      <c r="Q46" s="118"/>
      <c r="R46" s="118"/>
      <c r="S46" s="119"/>
      <c r="T46" s="118"/>
      <c r="U46" s="118"/>
      <c r="V46" s="118"/>
    </row>
    <row r="47" spans="1:22">
      <c r="A47" s="146" t="s">
        <v>392</v>
      </c>
      <c r="B47" s="143">
        <v>14</v>
      </c>
      <c r="C47" s="123" t="s">
        <v>4</v>
      </c>
      <c r="F47" s="118"/>
      <c r="G47" s="118"/>
      <c r="H47" s="118"/>
      <c r="I47" s="118"/>
      <c r="J47" s="118"/>
      <c r="K47" s="118"/>
      <c r="L47" s="118"/>
      <c r="M47" s="118"/>
      <c r="N47" s="118"/>
      <c r="O47" s="118"/>
      <c r="P47" s="118"/>
      <c r="Q47" s="118"/>
      <c r="R47" s="118"/>
      <c r="S47" s="119"/>
      <c r="T47" s="118"/>
      <c r="U47" s="118"/>
      <c r="V47" s="118"/>
    </row>
    <row r="48" spans="1:22" ht="15.6">
      <c r="A48" s="146" t="s">
        <v>536</v>
      </c>
      <c r="B48" s="133">
        <f>Calculations!B79</f>
        <v>1.1200000000000001</v>
      </c>
      <c r="C48" s="123" t="s">
        <v>1</v>
      </c>
      <c r="F48" s="118"/>
      <c r="G48" s="118"/>
      <c r="H48" s="118"/>
      <c r="I48" s="118"/>
      <c r="J48" s="118"/>
      <c r="K48" s="118"/>
      <c r="L48" s="118"/>
      <c r="M48" s="118"/>
      <c r="N48" s="118"/>
      <c r="O48" s="118"/>
      <c r="P48" s="118"/>
      <c r="Q48" s="118"/>
      <c r="R48" s="118"/>
      <c r="S48" s="119"/>
      <c r="T48" s="118"/>
      <c r="U48" s="118"/>
      <c r="V48" s="118"/>
    </row>
    <row r="49" spans="1:22">
      <c r="A49" s="122" t="s">
        <v>534</v>
      </c>
      <c r="B49" s="141">
        <v>3.5</v>
      </c>
      <c r="C49" s="176" t="s">
        <v>1</v>
      </c>
      <c r="F49" s="118"/>
      <c r="G49" s="118"/>
      <c r="H49" s="118"/>
      <c r="I49" s="118"/>
      <c r="J49" s="118"/>
      <c r="K49" s="118"/>
      <c r="L49" s="118"/>
      <c r="M49" s="118"/>
      <c r="N49" s="118"/>
      <c r="O49" s="118"/>
      <c r="P49" s="118"/>
      <c r="Q49" s="118"/>
      <c r="R49" s="118"/>
      <c r="S49" s="119"/>
      <c r="T49" s="118"/>
      <c r="U49" s="118"/>
      <c r="V49" s="118"/>
    </row>
    <row r="50" spans="1:22" ht="15.6">
      <c r="A50" s="122" t="s">
        <v>537</v>
      </c>
      <c r="B50" s="117">
        <f>Calculations!B81</f>
        <v>11.200000000000001</v>
      </c>
      <c r="C50" s="176" t="s">
        <v>95</v>
      </c>
      <c r="F50" s="118"/>
      <c r="G50" s="118"/>
      <c r="H50" s="118"/>
      <c r="I50" s="118"/>
      <c r="J50" s="118"/>
      <c r="K50" s="118"/>
      <c r="L50" s="118"/>
      <c r="M50" s="118"/>
      <c r="N50" s="118"/>
      <c r="O50" s="118"/>
      <c r="P50" s="118"/>
      <c r="Q50" s="118"/>
      <c r="R50" s="118"/>
      <c r="S50" s="119"/>
      <c r="T50" s="118"/>
      <c r="U50" s="118"/>
      <c r="V50" s="118"/>
    </row>
    <row r="51" spans="1:22" ht="15.6">
      <c r="A51" s="122" t="s">
        <v>538</v>
      </c>
      <c r="B51" s="141">
        <v>15</v>
      </c>
      <c r="C51" s="176" t="s">
        <v>95</v>
      </c>
      <c r="F51" s="118"/>
      <c r="G51" s="118"/>
      <c r="H51" s="118"/>
      <c r="I51" s="118"/>
      <c r="J51" s="118"/>
      <c r="K51" s="118"/>
      <c r="L51" s="118"/>
      <c r="M51" s="118"/>
      <c r="N51" s="118"/>
      <c r="O51" s="118"/>
      <c r="P51" s="118"/>
      <c r="Q51" s="118"/>
      <c r="R51" s="118"/>
      <c r="S51" s="119"/>
      <c r="T51" s="118"/>
      <c r="U51" s="118"/>
      <c r="V51" s="118"/>
    </row>
    <row r="52" spans="1:22" ht="15.6">
      <c r="A52" s="122" t="s">
        <v>539</v>
      </c>
      <c r="B52" s="128">
        <f>Calculations!B83</f>
        <v>31.874999999999993</v>
      </c>
      <c r="C52" s="176" t="s">
        <v>95</v>
      </c>
      <c r="F52" s="118"/>
      <c r="G52" s="118"/>
      <c r="H52" s="118"/>
      <c r="I52" s="118"/>
      <c r="J52" s="118"/>
      <c r="K52" s="118"/>
      <c r="L52" s="118"/>
      <c r="M52" s="118"/>
      <c r="N52" s="118"/>
      <c r="O52" s="118"/>
      <c r="P52" s="118"/>
      <c r="Q52" s="118"/>
      <c r="R52" s="118"/>
      <c r="S52" s="119"/>
      <c r="T52" s="118"/>
      <c r="U52" s="118"/>
      <c r="V52" s="118"/>
    </row>
    <row r="53" spans="1:22" ht="15.6">
      <c r="A53" s="122" t="s">
        <v>540</v>
      </c>
      <c r="B53" s="141">
        <v>33</v>
      </c>
      <c r="C53" s="176" t="s">
        <v>95</v>
      </c>
      <c r="F53" s="118"/>
      <c r="G53" s="118"/>
      <c r="H53" s="118"/>
      <c r="I53" s="118"/>
      <c r="J53" s="118"/>
      <c r="K53" s="118"/>
      <c r="L53" s="118"/>
      <c r="M53" s="118"/>
      <c r="N53" s="118"/>
      <c r="O53" s="118"/>
      <c r="P53" s="118"/>
      <c r="Q53" s="118"/>
      <c r="R53" s="118"/>
      <c r="S53" s="119"/>
      <c r="T53" s="118"/>
      <c r="U53" s="118"/>
      <c r="V53" s="118"/>
    </row>
    <row r="54" spans="1:22" ht="15.6">
      <c r="A54" s="122" t="s">
        <v>551</v>
      </c>
      <c r="B54" s="128">
        <f>Calculations!B85</f>
        <v>1.09375</v>
      </c>
      <c r="C54" s="176" t="s">
        <v>1</v>
      </c>
      <c r="F54" s="118"/>
      <c r="G54" s="118"/>
      <c r="H54" s="118"/>
      <c r="I54" s="118"/>
      <c r="J54" s="118"/>
      <c r="K54" s="118"/>
      <c r="L54" s="118"/>
      <c r="M54" s="118"/>
      <c r="N54" s="118"/>
      <c r="O54" s="118"/>
      <c r="P54" s="118"/>
      <c r="Q54" s="118"/>
      <c r="R54" s="118"/>
      <c r="S54" s="119"/>
      <c r="T54" s="118"/>
      <c r="U54" s="118"/>
      <c r="V54" s="118"/>
    </row>
    <row r="55" spans="1:22" ht="15" thickBot="1">
      <c r="A55" s="178" t="s">
        <v>459</v>
      </c>
      <c r="B55" s="132">
        <f>Calculations!B86</f>
        <v>13.671875</v>
      </c>
      <c r="C55" s="177" t="s">
        <v>4</v>
      </c>
      <c r="F55" s="118"/>
      <c r="G55" s="118"/>
      <c r="H55" s="118"/>
      <c r="I55" s="118"/>
      <c r="J55" s="118"/>
      <c r="K55" s="118"/>
      <c r="L55" s="118"/>
      <c r="M55" s="118"/>
      <c r="N55" s="118"/>
      <c r="O55" s="118"/>
      <c r="P55" s="118"/>
      <c r="Q55" s="118"/>
      <c r="R55" s="118"/>
      <c r="S55" s="119"/>
      <c r="T55" s="118"/>
      <c r="U55" s="118"/>
      <c r="V55" s="118"/>
    </row>
    <row r="56" spans="1:22">
      <c r="B56" s="133"/>
      <c r="F56" s="118"/>
      <c r="G56" s="118"/>
      <c r="H56" s="118"/>
      <c r="I56" s="118"/>
      <c r="J56" s="118"/>
      <c r="K56" s="118"/>
      <c r="L56" s="118"/>
      <c r="M56" s="118"/>
      <c r="N56" s="118"/>
      <c r="O56" s="118"/>
      <c r="P56" s="118"/>
      <c r="Q56" s="118"/>
      <c r="R56" s="118"/>
      <c r="S56" s="119"/>
      <c r="T56" s="118"/>
      <c r="U56" s="118"/>
      <c r="V56" s="118"/>
    </row>
    <row r="57" spans="1:22" ht="18">
      <c r="A57" s="221" t="s">
        <v>246</v>
      </c>
      <c r="B57" s="221"/>
      <c r="C57" s="221"/>
      <c r="F57" s="118"/>
      <c r="G57" s="118"/>
      <c r="H57" s="118"/>
      <c r="I57" s="118"/>
      <c r="J57" s="118"/>
      <c r="K57" s="118"/>
      <c r="L57" s="118"/>
      <c r="M57" s="118"/>
      <c r="N57" s="118"/>
      <c r="O57" s="118"/>
      <c r="P57" s="118"/>
      <c r="Q57" s="118"/>
      <c r="R57" s="118"/>
      <c r="S57" s="119"/>
      <c r="T57" s="118"/>
      <c r="U57" s="118"/>
      <c r="V57" s="118"/>
    </row>
    <row r="58" spans="1:22" ht="8.1" customHeight="1" thickBot="1">
      <c r="B58" s="133"/>
      <c r="F58" s="118"/>
      <c r="G58" s="118"/>
      <c r="H58" s="118"/>
      <c r="I58" s="118"/>
      <c r="J58" s="118"/>
      <c r="K58" s="118"/>
      <c r="L58" s="118"/>
      <c r="M58" s="118"/>
      <c r="N58" s="118"/>
      <c r="O58" s="118"/>
      <c r="P58" s="118"/>
      <c r="Q58" s="118"/>
      <c r="R58" s="118"/>
      <c r="S58" s="119"/>
      <c r="T58" s="118"/>
      <c r="U58" s="118"/>
      <c r="V58" s="118"/>
    </row>
    <row r="59" spans="1:22" ht="15" thickBot="1">
      <c r="A59" s="222" t="s">
        <v>273</v>
      </c>
      <c r="B59" s="223"/>
      <c r="C59" s="224"/>
      <c r="F59" s="118"/>
      <c r="G59" s="118"/>
      <c r="H59" s="118"/>
      <c r="I59" s="118"/>
      <c r="J59" s="118"/>
      <c r="K59" s="118"/>
      <c r="L59" s="118"/>
      <c r="M59" s="118"/>
      <c r="N59" s="118"/>
      <c r="O59" s="118"/>
      <c r="P59" s="118"/>
      <c r="Q59" s="118"/>
      <c r="R59" s="118"/>
      <c r="S59" s="119"/>
      <c r="T59" s="118"/>
      <c r="U59" s="118"/>
      <c r="V59" s="118"/>
    </row>
    <row r="60" spans="1:22" ht="15.6">
      <c r="A60" s="146" t="s">
        <v>400</v>
      </c>
      <c r="B60" s="141">
        <v>305</v>
      </c>
      <c r="C60" s="134" t="s">
        <v>32</v>
      </c>
      <c r="F60" s="118"/>
      <c r="G60" s="118"/>
      <c r="H60" s="118"/>
      <c r="I60" s="118"/>
      <c r="J60" s="118"/>
      <c r="K60" s="118"/>
      <c r="L60" s="118"/>
      <c r="M60" s="118"/>
      <c r="N60" s="118"/>
      <c r="O60" s="118"/>
      <c r="P60" s="118"/>
      <c r="Q60" s="118"/>
      <c r="R60" s="118"/>
      <c r="S60" s="119"/>
      <c r="T60" s="118"/>
      <c r="U60" s="118"/>
      <c r="V60" s="118"/>
    </row>
    <row r="61" spans="1:22" ht="15" thickBot="1">
      <c r="A61" s="152" t="s">
        <v>275</v>
      </c>
      <c r="B61" s="142">
        <v>10</v>
      </c>
      <c r="C61" s="125" t="s">
        <v>7</v>
      </c>
      <c r="F61" s="118"/>
      <c r="G61" s="118"/>
      <c r="H61" s="118"/>
      <c r="I61" s="118"/>
      <c r="J61" s="118"/>
      <c r="K61" s="118"/>
      <c r="L61" s="118"/>
      <c r="M61" s="118"/>
      <c r="N61" s="118"/>
      <c r="O61" s="118"/>
      <c r="P61" s="118"/>
      <c r="Q61" s="118"/>
      <c r="R61" s="118"/>
      <c r="S61" s="119"/>
      <c r="T61" s="118"/>
      <c r="U61" s="118"/>
      <c r="V61" s="118"/>
    </row>
    <row r="62" spans="1:22" ht="15" thickBot="1">
      <c r="A62" s="222" t="s">
        <v>274</v>
      </c>
      <c r="B62" s="223"/>
      <c r="C62" s="224"/>
      <c r="F62" s="118"/>
      <c r="G62" s="118"/>
      <c r="H62" s="118"/>
      <c r="I62" s="118"/>
      <c r="J62" s="118"/>
      <c r="K62" s="118"/>
      <c r="L62" s="118"/>
      <c r="M62" s="118"/>
      <c r="N62" s="118"/>
      <c r="O62" s="118"/>
      <c r="P62" s="118"/>
      <c r="Q62" s="118"/>
      <c r="R62" s="118"/>
      <c r="S62" s="119"/>
      <c r="T62" s="118"/>
      <c r="U62" s="118"/>
      <c r="V62" s="118"/>
    </row>
    <row r="63" spans="1:22" ht="15.6">
      <c r="A63" s="146" t="s">
        <v>401</v>
      </c>
      <c r="B63" s="141">
        <v>320</v>
      </c>
      <c r="C63" s="134" t="s">
        <v>32</v>
      </c>
      <c r="F63" s="118"/>
      <c r="G63" s="118"/>
      <c r="H63" s="118"/>
      <c r="I63" s="118"/>
      <c r="J63" s="118"/>
      <c r="K63" s="118"/>
      <c r="L63" s="118"/>
      <c r="M63" s="118"/>
      <c r="N63" s="118"/>
      <c r="O63" s="118"/>
      <c r="P63" s="118"/>
      <c r="Q63" s="118"/>
      <c r="R63" s="118"/>
      <c r="S63" s="119"/>
      <c r="T63" s="118"/>
      <c r="U63" s="118"/>
      <c r="V63" s="118"/>
    </row>
    <row r="64" spans="1:22" ht="15" thickBot="1">
      <c r="A64" s="152" t="s">
        <v>276</v>
      </c>
      <c r="B64" s="142">
        <v>10</v>
      </c>
      <c r="C64" s="125" t="s">
        <v>7</v>
      </c>
      <c r="F64" s="118"/>
      <c r="G64" s="118"/>
      <c r="H64" s="118"/>
      <c r="I64" s="118"/>
      <c r="J64" s="118"/>
      <c r="K64" s="118"/>
      <c r="L64" s="118"/>
      <c r="M64" s="118"/>
      <c r="N64" s="118"/>
      <c r="O64" s="118"/>
      <c r="P64" s="118"/>
      <c r="Q64" s="118"/>
      <c r="R64" s="118"/>
      <c r="S64" s="119"/>
      <c r="T64" s="118"/>
      <c r="U64" s="118"/>
      <c r="V64" s="118"/>
    </row>
    <row r="65" spans="1:22">
      <c r="F65" s="118"/>
      <c r="G65" s="118"/>
      <c r="H65" s="118"/>
      <c r="I65" s="118"/>
      <c r="J65" s="118"/>
      <c r="K65" s="118"/>
      <c r="L65" s="118"/>
      <c r="M65" s="118"/>
      <c r="N65" s="118"/>
      <c r="O65" s="118"/>
      <c r="P65" s="118"/>
      <c r="Q65" s="118"/>
      <c r="R65" s="118"/>
      <c r="S65" s="119"/>
      <c r="T65" s="118"/>
      <c r="U65" s="118"/>
      <c r="V65" s="118"/>
    </row>
    <row r="66" spans="1:22" ht="18">
      <c r="A66" s="221" t="s">
        <v>252</v>
      </c>
      <c r="B66" s="221"/>
      <c r="C66" s="221"/>
      <c r="F66" s="118"/>
      <c r="G66" s="118"/>
      <c r="H66" s="118"/>
      <c r="I66" s="118"/>
      <c r="J66" s="118"/>
      <c r="K66" s="118"/>
      <c r="L66" s="118"/>
      <c r="M66" s="118"/>
      <c r="N66" s="118"/>
      <c r="O66" s="118"/>
      <c r="P66" s="118"/>
      <c r="Q66" s="118"/>
      <c r="R66" s="118"/>
      <c r="S66" s="119"/>
      <c r="T66" s="118"/>
      <c r="U66" s="118"/>
      <c r="V66" s="118"/>
    </row>
    <row r="67" spans="1:22" ht="8.1" customHeight="1" thickBot="1">
      <c r="F67" s="118"/>
      <c r="G67" s="118"/>
      <c r="H67" s="118"/>
      <c r="I67" s="118"/>
      <c r="J67" s="118"/>
      <c r="K67" s="118"/>
      <c r="L67" s="118"/>
      <c r="M67" s="118"/>
      <c r="N67" s="118"/>
      <c r="O67" s="118"/>
      <c r="P67" s="118"/>
      <c r="Q67" s="118"/>
      <c r="R67" s="118"/>
      <c r="S67" s="119"/>
      <c r="T67" s="118"/>
      <c r="U67" s="118"/>
      <c r="V67" s="118"/>
    </row>
    <row r="68" spans="1:22" ht="15" thickBot="1">
      <c r="A68" s="188" t="s">
        <v>480</v>
      </c>
      <c r="B68" s="230" t="s">
        <v>475</v>
      </c>
      <c r="C68" s="231"/>
      <c r="F68" s="118"/>
      <c r="G68" s="118"/>
      <c r="H68" s="118"/>
      <c r="I68" s="118"/>
      <c r="J68" s="118"/>
      <c r="K68" s="118"/>
      <c r="L68" s="118"/>
      <c r="M68" s="118"/>
      <c r="N68" s="118"/>
      <c r="O68" s="118"/>
      <c r="P68" s="118"/>
      <c r="Q68" s="118"/>
      <c r="R68" s="118"/>
      <c r="S68" s="119"/>
      <c r="T68" s="118"/>
      <c r="U68" s="118"/>
      <c r="V68" s="118"/>
    </row>
    <row r="69" spans="1:22" ht="15" thickBot="1">
      <c r="A69" s="227" t="s">
        <v>462</v>
      </c>
      <c r="B69" s="228"/>
      <c r="C69" s="229"/>
      <c r="F69" s="118"/>
      <c r="G69" s="118"/>
      <c r="H69" s="118"/>
      <c r="I69" s="118"/>
      <c r="J69" s="118"/>
      <c r="K69" s="118"/>
      <c r="L69" s="118"/>
      <c r="M69" s="118"/>
      <c r="N69" s="118"/>
      <c r="O69" s="118"/>
      <c r="P69" s="118"/>
      <c r="Q69" s="118"/>
      <c r="R69" s="118"/>
      <c r="S69" s="119"/>
      <c r="T69" s="118"/>
      <c r="U69" s="118"/>
      <c r="V69" s="118"/>
    </row>
    <row r="70" spans="1:22">
      <c r="A70" s="179" t="s">
        <v>463</v>
      </c>
      <c r="B70" s="144">
        <v>2</v>
      </c>
      <c r="C70" s="135" t="s">
        <v>103</v>
      </c>
      <c r="F70" s="118"/>
      <c r="G70" s="118"/>
      <c r="H70" s="118"/>
      <c r="I70" s="118"/>
      <c r="J70" s="118"/>
      <c r="K70" s="118"/>
      <c r="L70" s="118"/>
      <c r="M70" s="118"/>
      <c r="N70" s="118"/>
      <c r="O70" s="118"/>
      <c r="P70" s="118"/>
      <c r="Q70" s="118"/>
      <c r="R70" s="118"/>
      <c r="S70" s="119"/>
      <c r="T70" s="118"/>
      <c r="U70" s="118"/>
      <c r="V70" s="118"/>
    </row>
    <row r="71" spans="1:22" ht="15.6">
      <c r="A71" s="146" t="s">
        <v>532</v>
      </c>
      <c r="B71" s="141">
        <v>2</v>
      </c>
      <c r="C71" s="123" t="s">
        <v>1</v>
      </c>
      <c r="F71" s="118"/>
      <c r="G71" s="118"/>
      <c r="H71" s="118"/>
      <c r="I71" s="118"/>
      <c r="J71" s="118"/>
      <c r="K71" s="118"/>
      <c r="L71" s="118"/>
      <c r="M71" s="118"/>
      <c r="N71" s="118"/>
      <c r="O71" s="118"/>
      <c r="P71" s="118"/>
      <c r="Q71" s="118"/>
      <c r="R71" s="118"/>
      <c r="S71" s="119"/>
      <c r="T71" s="118"/>
      <c r="U71" s="118"/>
      <c r="V71" s="118"/>
    </row>
    <row r="72" spans="1:22">
      <c r="A72" s="122" t="s">
        <v>533</v>
      </c>
      <c r="B72" s="141">
        <v>3.5</v>
      </c>
      <c r="C72" s="176" t="s">
        <v>1</v>
      </c>
      <c r="F72" s="118"/>
      <c r="G72" s="118"/>
      <c r="H72" s="118"/>
      <c r="I72" s="118"/>
      <c r="J72" s="118"/>
      <c r="K72" s="118"/>
      <c r="L72" s="118"/>
      <c r="M72" s="118"/>
      <c r="N72" s="118"/>
      <c r="O72" s="118"/>
      <c r="P72" s="118"/>
      <c r="Q72" s="118"/>
      <c r="R72" s="118"/>
      <c r="S72" s="119"/>
      <c r="T72" s="118"/>
      <c r="U72" s="118"/>
      <c r="V72" s="118"/>
    </row>
    <row r="73" spans="1:22" ht="16.2" thickBot="1">
      <c r="A73" s="122" t="s">
        <v>541</v>
      </c>
      <c r="B73" s="117">
        <f>Calculations!B94</f>
        <v>20</v>
      </c>
      <c r="C73" s="176" t="s">
        <v>95</v>
      </c>
      <c r="F73" s="118"/>
      <c r="G73" s="118"/>
      <c r="H73" s="118"/>
      <c r="I73" s="118"/>
      <c r="J73" s="118"/>
      <c r="K73" s="118"/>
      <c r="L73" s="118"/>
      <c r="M73" s="118"/>
      <c r="N73" s="118"/>
      <c r="O73" s="118"/>
      <c r="P73" s="118"/>
      <c r="Q73" s="118"/>
      <c r="R73" s="118"/>
      <c r="S73" s="119"/>
      <c r="T73" s="118"/>
      <c r="U73" s="118"/>
      <c r="V73" s="118"/>
    </row>
    <row r="74" spans="1:22" ht="16.2" thickBot="1">
      <c r="A74" s="122" t="s">
        <v>542</v>
      </c>
      <c r="B74" s="141">
        <v>20</v>
      </c>
      <c r="C74" s="176" t="s">
        <v>95</v>
      </c>
      <c r="P74" s="219" t="s">
        <v>289</v>
      </c>
      <c r="Q74" s="220"/>
    </row>
    <row r="75" spans="1:22" ht="15.6">
      <c r="A75" s="122" t="s">
        <v>544</v>
      </c>
      <c r="B75" s="117">
        <f>Calculations!B96</f>
        <v>15</v>
      </c>
      <c r="C75" s="176" t="s">
        <v>95</v>
      </c>
    </row>
    <row r="76" spans="1:22" ht="15.6">
      <c r="A76" s="122" t="s">
        <v>543</v>
      </c>
      <c r="B76" s="141">
        <v>15</v>
      </c>
      <c r="C76" s="176" t="s">
        <v>95</v>
      </c>
    </row>
    <row r="77" spans="1:22" ht="15.6">
      <c r="A77" s="122" t="s">
        <v>549</v>
      </c>
      <c r="B77" s="117">
        <f>Calculations!B98</f>
        <v>2</v>
      </c>
      <c r="C77" s="176" t="s">
        <v>1</v>
      </c>
    </row>
    <row r="78" spans="1:22" ht="15.6">
      <c r="A78" s="122" t="s">
        <v>545</v>
      </c>
      <c r="B78" s="204">
        <f>Calculations!B99</f>
        <v>0.11666666666666667</v>
      </c>
      <c r="C78" s="123" t="s">
        <v>32</v>
      </c>
    </row>
    <row r="79" spans="1:22" ht="15.6">
      <c r="A79" s="122" t="s">
        <v>546</v>
      </c>
      <c r="B79" s="141">
        <v>0.1</v>
      </c>
      <c r="C79" s="123" t="s">
        <v>32</v>
      </c>
    </row>
    <row r="80" spans="1:22" ht="15" thickBot="1">
      <c r="A80" s="124" t="s">
        <v>550</v>
      </c>
      <c r="B80" s="205">
        <f>Calculations!B101</f>
        <v>1.7142857142857142</v>
      </c>
      <c r="C80" s="125" t="s">
        <v>103</v>
      </c>
      <c r="E80"/>
    </row>
    <row r="81" spans="1:21" ht="15" thickBot="1">
      <c r="A81" s="222" t="s">
        <v>464</v>
      </c>
      <c r="B81" s="223"/>
      <c r="C81" s="224"/>
    </row>
    <row r="82" spans="1:21">
      <c r="A82" s="122" t="s">
        <v>547</v>
      </c>
      <c r="B82" s="141">
        <v>5</v>
      </c>
      <c r="C82" s="123" t="s">
        <v>103</v>
      </c>
    </row>
    <row r="83" spans="1:21" ht="15.6">
      <c r="A83" s="122" t="s">
        <v>479</v>
      </c>
      <c r="B83" s="128">
        <f>Calculations!B106</f>
        <v>101.6260162601626</v>
      </c>
      <c r="C83" s="123" t="s">
        <v>40</v>
      </c>
    </row>
    <row r="84" spans="1:21" ht="15.6">
      <c r="A84" s="122" t="s">
        <v>474</v>
      </c>
      <c r="B84" s="141">
        <v>100</v>
      </c>
      <c r="C84" s="123" t="s">
        <v>40</v>
      </c>
    </row>
    <row r="85" spans="1:21" ht="15" thickBot="1">
      <c r="A85" s="124" t="s">
        <v>548</v>
      </c>
      <c r="B85" s="205">
        <f>Calculations!B108</f>
        <v>4.9200000000000008</v>
      </c>
      <c r="C85" s="125" t="s">
        <v>103</v>
      </c>
    </row>
    <row r="87" spans="1:21" ht="18">
      <c r="A87" s="221" t="s">
        <v>349</v>
      </c>
      <c r="B87" s="221"/>
      <c r="C87" s="221"/>
    </row>
    <row r="88" spans="1:21" ht="8.1" customHeight="1" thickBot="1">
      <c r="E88" s="118"/>
      <c r="F88" s="118"/>
      <c r="G88" s="118"/>
      <c r="H88" s="118"/>
      <c r="I88" s="118"/>
      <c r="J88" s="118"/>
      <c r="K88" s="118"/>
      <c r="L88" s="118"/>
      <c r="M88" s="118"/>
      <c r="N88" s="118"/>
      <c r="O88" s="118"/>
      <c r="P88" s="118"/>
      <c r="Q88" s="118"/>
      <c r="R88" s="118"/>
      <c r="S88" s="119"/>
    </row>
    <row r="89" spans="1:21" ht="15" thickBot="1">
      <c r="A89" s="222" t="s">
        <v>102</v>
      </c>
      <c r="B89" s="223"/>
      <c r="C89" s="224"/>
      <c r="E89" s="118"/>
      <c r="F89" s="118"/>
      <c r="G89" s="118"/>
      <c r="H89" s="118"/>
      <c r="I89" s="118"/>
      <c r="J89" s="118"/>
      <c r="K89" s="118"/>
      <c r="L89" s="118"/>
      <c r="M89" s="118"/>
      <c r="N89" s="118"/>
      <c r="O89" s="118"/>
      <c r="P89" s="118"/>
      <c r="Q89" s="118"/>
      <c r="R89" s="118"/>
      <c r="S89" s="119"/>
    </row>
    <row r="90" spans="1:21">
      <c r="A90" s="122" t="s">
        <v>106</v>
      </c>
      <c r="B90" s="225" t="s">
        <v>146</v>
      </c>
      <c r="C90" s="226"/>
      <c r="E90" s="118"/>
      <c r="F90" s="216" t="s">
        <v>432</v>
      </c>
      <c r="G90" s="216"/>
      <c r="H90" s="216"/>
      <c r="I90" s="118"/>
      <c r="J90" s="118"/>
      <c r="K90" s="216" t="s">
        <v>433</v>
      </c>
      <c r="L90" s="216"/>
      <c r="M90" s="216"/>
      <c r="N90" s="118"/>
      <c r="O90" s="118"/>
      <c r="P90" s="118"/>
      <c r="Q90" s="216" t="s">
        <v>434</v>
      </c>
      <c r="R90" s="216"/>
      <c r="S90" s="119"/>
    </row>
    <row r="91" spans="1:21">
      <c r="A91" s="122" t="s">
        <v>262</v>
      </c>
      <c r="B91" s="141">
        <v>3</v>
      </c>
      <c r="C91" s="123" t="s">
        <v>1</v>
      </c>
      <c r="E91" s="118"/>
      <c r="F91" s="118"/>
      <c r="G91" s="118"/>
      <c r="H91" s="118"/>
      <c r="I91" s="118"/>
      <c r="J91" s="118"/>
      <c r="K91" s="118"/>
      <c r="L91" s="118"/>
      <c r="M91" s="118"/>
      <c r="N91" s="118"/>
      <c r="O91" s="118"/>
      <c r="P91" s="118"/>
      <c r="Q91" s="118"/>
      <c r="R91" s="118"/>
      <c r="S91" s="119"/>
    </row>
    <row r="92" spans="1:21" ht="15.6">
      <c r="A92" s="122" t="s">
        <v>254</v>
      </c>
      <c r="B92" s="141">
        <v>49.9</v>
      </c>
      <c r="C92" s="123" t="s">
        <v>95</v>
      </c>
      <c r="E92" s="118"/>
      <c r="F92" s="118"/>
      <c r="G92" s="118"/>
      <c r="H92" s="118"/>
      <c r="I92" s="118"/>
      <c r="J92" s="118"/>
      <c r="K92" s="118"/>
      <c r="L92" s="118"/>
      <c r="M92" s="118"/>
      <c r="N92" s="118"/>
      <c r="O92" s="118"/>
      <c r="P92" s="118"/>
      <c r="Q92" s="118"/>
      <c r="R92" s="118"/>
      <c r="S92" s="119"/>
    </row>
    <row r="93" spans="1:21" ht="15.6">
      <c r="A93" s="122" t="s">
        <v>350</v>
      </c>
      <c r="B93" s="137">
        <f>Calculations!B118</f>
        <v>9.98</v>
      </c>
      <c r="C93" s="123" t="s">
        <v>95</v>
      </c>
      <c r="E93" s="118"/>
      <c r="F93" s="118"/>
      <c r="G93" s="118"/>
      <c r="H93" s="118"/>
      <c r="I93" s="118"/>
      <c r="J93" s="118"/>
      <c r="K93" s="118"/>
      <c r="L93" s="118"/>
      <c r="M93" s="118"/>
      <c r="N93" s="118"/>
      <c r="O93" s="118"/>
      <c r="P93" s="118"/>
      <c r="Q93" s="118"/>
      <c r="R93" s="118"/>
      <c r="S93" s="119"/>
    </row>
    <row r="94" spans="1:21" ht="15.6">
      <c r="A94" s="122" t="s">
        <v>255</v>
      </c>
      <c r="B94" s="141">
        <v>10</v>
      </c>
      <c r="C94" s="123" t="s">
        <v>95</v>
      </c>
      <c r="E94" s="118"/>
      <c r="F94" s="118"/>
      <c r="G94" s="118"/>
      <c r="H94" s="118"/>
      <c r="I94" s="118"/>
      <c r="J94" s="118"/>
      <c r="K94" s="118"/>
      <c r="L94" s="118"/>
      <c r="M94" s="118"/>
      <c r="N94" s="118"/>
      <c r="O94" s="118"/>
      <c r="P94" s="118"/>
      <c r="Q94" s="118"/>
      <c r="R94" s="118"/>
      <c r="S94" s="119"/>
    </row>
    <row r="95" spans="1:21">
      <c r="A95" s="122" t="s">
        <v>260</v>
      </c>
      <c r="B95" s="217" t="s">
        <v>256</v>
      </c>
      <c r="C95" s="218"/>
      <c r="E95" s="118"/>
      <c r="F95" s="118"/>
      <c r="G95" s="118"/>
      <c r="H95" s="118"/>
      <c r="I95" s="118"/>
      <c r="J95" s="118"/>
      <c r="K95" s="118"/>
      <c r="L95" s="118"/>
      <c r="M95" s="118"/>
      <c r="N95" s="118"/>
      <c r="O95" s="118"/>
      <c r="P95" s="118"/>
      <c r="Q95" s="118"/>
      <c r="R95" s="118"/>
      <c r="S95" s="119"/>
      <c r="T95" s="138"/>
      <c r="U95" s="138"/>
    </row>
    <row r="96" spans="1:21">
      <c r="A96" s="122" t="s">
        <v>204</v>
      </c>
      <c r="B96" s="141">
        <v>4</v>
      </c>
      <c r="C96" s="123" t="s">
        <v>1</v>
      </c>
      <c r="E96" s="118"/>
      <c r="F96" s="118"/>
      <c r="G96" s="118"/>
      <c r="H96" s="118"/>
      <c r="I96" s="118"/>
      <c r="J96" s="118"/>
      <c r="K96" s="118"/>
      <c r="L96" s="118"/>
      <c r="M96" s="118"/>
      <c r="N96" s="118"/>
      <c r="O96" s="118"/>
      <c r="P96" s="118"/>
      <c r="Q96" s="118"/>
      <c r="R96" s="118"/>
      <c r="S96" s="119"/>
    </row>
    <row r="97" spans="1:19" ht="15.6">
      <c r="A97" s="122" t="s">
        <v>257</v>
      </c>
      <c r="B97" s="128">
        <f>Calculations!B122</f>
        <v>124.95826377295494</v>
      </c>
      <c r="C97" s="123" t="s">
        <v>95</v>
      </c>
      <c r="E97" s="118"/>
      <c r="F97" s="118"/>
      <c r="G97" s="118"/>
      <c r="H97" s="118"/>
      <c r="I97" s="118"/>
      <c r="J97" s="118"/>
      <c r="K97" s="118"/>
      <c r="L97" s="118"/>
      <c r="M97" s="118"/>
      <c r="N97" s="118"/>
      <c r="O97" s="118"/>
      <c r="P97" s="118"/>
      <c r="Q97" s="118"/>
      <c r="R97" s="118"/>
      <c r="S97" s="119"/>
    </row>
    <row r="98" spans="1:19" ht="15.6">
      <c r="A98" s="122" t="s">
        <v>258</v>
      </c>
      <c r="B98" s="141">
        <v>20</v>
      </c>
      <c r="C98" s="123" t="s">
        <v>95</v>
      </c>
      <c r="E98" s="118"/>
      <c r="F98" s="118"/>
      <c r="G98" s="118"/>
      <c r="H98" s="118"/>
      <c r="I98" s="118"/>
      <c r="J98" s="118"/>
      <c r="K98" s="118"/>
      <c r="L98" s="118"/>
      <c r="M98" s="118"/>
      <c r="N98" s="118"/>
      <c r="O98" s="118"/>
      <c r="P98" s="118"/>
      <c r="Q98" s="118"/>
      <c r="R98" s="118"/>
      <c r="S98" s="119"/>
    </row>
    <row r="99" spans="1:19">
      <c r="A99" s="122" t="s">
        <v>259</v>
      </c>
      <c r="B99" s="133">
        <f>Calculations!B124</f>
        <v>0.8502004008016032</v>
      </c>
      <c r="C99" s="123" t="s">
        <v>1</v>
      </c>
      <c r="E99" s="118"/>
      <c r="F99" s="118"/>
      <c r="G99" s="118"/>
      <c r="H99" s="118"/>
      <c r="I99" s="118"/>
      <c r="J99" s="118"/>
      <c r="K99" s="118"/>
      <c r="L99" s="118"/>
      <c r="M99" s="118"/>
      <c r="N99" s="118"/>
      <c r="O99" s="118"/>
      <c r="P99" s="118"/>
      <c r="Q99" s="118"/>
      <c r="R99" s="118"/>
      <c r="S99" s="119"/>
    </row>
    <row r="100" spans="1:19">
      <c r="A100" s="122" t="s">
        <v>261</v>
      </c>
      <c r="B100" s="137">
        <f>Calculations!B125</f>
        <v>3.0010020040080159</v>
      </c>
      <c r="C100" s="123" t="s">
        <v>1</v>
      </c>
      <c r="E100" s="118"/>
      <c r="F100" s="118"/>
      <c r="G100" s="118"/>
      <c r="H100" s="118"/>
      <c r="I100" s="118"/>
      <c r="J100" s="118"/>
      <c r="K100" s="118"/>
      <c r="L100" s="139"/>
      <c r="M100" s="118"/>
      <c r="N100" s="118"/>
      <c r="O100" s="118"/>
      <c r="P100" s="118"/>
      <c r="Q100" s="118"/>
      <c r="R100" s="118"/>
      <c r="S100" s="119"/>
    </row>
    <row r="101" spans="1:19">
      <c r="A101" s="122" t="s">
        <v>263</v>
      </c>
      <c r="B101" s="137">
        <f>Calculations!B126</f>
        <v>2.1508016032064128</v>
      </c>
      <c r="C101" s="123" t="s">
        <v>1</v>
      </c>
      <c r="E101" s="118"/>
      <c r="F101" s="118"/>
      <c r="G101" s="118"/>
      <c r="H101" s="118"/>
      <c r="I101" s="118"/>
      <c r="J101" s="118"/>
      <c r="K101" s="118"/>
      <c r="L101" s="139"/>
      <c r="M101" s="118"/>
      <c r="N101" s="118"/>
      <c r="O101" s="118"/>
      <c r="P101" s="118"/>
      <c r="Q101" s="118"/>
      <c r="R101" s="118"/>
      <c r="S101" s="119"/>
    </row>
    <row r="102" spans="1:19" ht="15" thickBot="1">
      <c r="A102" s="197" t="s">
        <v>152</v>
      </c>
      <c r="B102" s="140">
        <f>Calculations!B127</f>
        <v>1.5005010020040082</v>
      </c>
      <c r="C102" s="125" t="s">
        <v>1</v>
      </c>
      <c r="E102" s="118"/>
      <c r="F102" s="118"/>
      <c r="G102" s="118"/>
      <c r="H102" s="118"/>
      <c r="I102" s="118"/>
      <c r="J102" s="118"/>
      <c r="K102" s="118"/>
      <c r="L102" s="139"/>
      <c r="M102" s="118"/>
      <c r="N102" s="118"/>
      <c r="O102" s="118"/>
      <c r="P102" s="118"/>
      <c r="Q102" s="118"/>
      <c r="R102" s="118"/>
      <c r="S102" s="119"/>
    </row>
    <row r="103" spans="1:19">
      <c r="B103" s="137"/>
      <c r="E103" s="118"/>
      <c r="F103" s="118"/>
      <c r="G103" s="118"/>
      <c r="H103" s="118"/>
      <c r="I103" s="118"/>
      <c r="J103" s="118"/>
      <c r="K103" s="118"/>
      <c r="L103" s="139"/>
      <c r="M103" s="118"/>
      <c r="N103" s="118"/>
      <c r="O103" s="118"/>
      <c r="P103" s="118"/>
      <c r="Q103" s="118"/>
      <c r="R103" s="118"/>
      <c r="S103" s="119"/>
    </row>
    <row r="104" spans="1:19" ht="18">
      <c r="A104" s="221" t="s">
        <v>492</v>
      </c>
      <c r="B104" s="221"/>
      <c r="C104" s="221"/>
      <c r="E104" s="118"/>
      <c r="F104" s="118"/>
      <c r="G104" s="118"/>
      <c r="H104" s="118"/>
      <c r="I104" s="118"/>
      <c r="J104" s="118"/>
      <c r="K104" s="118"/>
      <c r="L104" s="139"/>
      <c r="M104" s="118"/>
      <c r="N104" s="118"/>
      <c r="O104" s="118"/>
      <c r="P104" s="118"/>
      <c r="Q104" s="118"/>
      <c r="R104" s="118"/>
      <c r="S104" s="119"/>
    </row>
    <row r="105" spans="1:19" ht="7.95" customHeight="1" thickBot="1">
      <c r="B105" s="133"/>
      <c r="E105" s="118"/>
      <c r="F105" s="118"/>
      <c r="G105" s="118"/>
      <c r="H105" s="118"/>
      <c r="I105" s="118"/>
      <c r="J105" s="118"/>
      <c r="K105" s="118"/>
      <c r="L105" s="139"/>
      <c r="M105" s="118"/>
      <c r="N105" s="118"/>
      <c r="O105" s="118"/>
      <c r="P105" s="118"/>
      <c r="Q105" s="118"/>
      <c r="R105" s="118"/>
      <c r="S105" s="119"/>
    </row>
    <row r="106" spans="1:19" ht="15" thickBot="1">
      <c r="A106" s="227" t="s">
        <v>493</v>
      </c>
      <c r="B106" s="228"/>
      <c r="C106" s="229"/>
      <c r="E106" s="118"/>
      <c r="F106" s="118"/>
      <c r="G106" s="118"/>
      <c r="H106" s="118"/>
      <c r="I106" s="118"/>
      <c r="J106" s="118"/>
      <c r="K106" s="118"/>
      <c r="L106" s="139"/>
      <c r="M106" s="118"/>
      <c r="N106" s="118"/>
      <c r="O106" s="118"/>
      <c r="P106" s="118"/>
      <c r="Q106" s="118"/>
      <c r="R106" s="118"/>
      <c r="S106" s="119"/>
    </row>
    <row r="107" spans="1:19">
      <c r="A107" s="179" t="s">
        <v>553</v>
      </c>
      <c r="B107" s="144">
        <v>13</v>
      </c>
      <c r="C107" s="200" t="s">
        <v>1</v>
      </c>
      <c r="E107" s="118"/>
      <c r="F107" s="118"/>
      <c r="G107" s="118"/>
      <c r="H107" s="118"/>
      <c r="I107" s="118"/>
      <c r="J107" s="118"/>
      <c r="K107" s="118"/>
      <c r="L107" s="139"/>
      <c r="M107" s="118"/>
      <c r="N107" s="118"/>
      <c r="O107" s="118"/>
      <c r="P107" s="118"/>
      <c r="Q107" s="118"/>
      <c r="R107" s="118"/>
      <c r="S107" s="119"/>
    </row>
    <row r="108" spans="1:19" ht="15.6">
      <c r="A108" s="122" t="s">
        <v>552</v>
      </c>
      <c r="B108" s="117">
        <f>Calculations!B131</f>
        <v>1</v>
      </c>
      <c r="C108" s="198" t="s">
        <v>95</v>
      </c>
      <c r="E108" s="118"/>
      <c r="F108" s="118"/>
      <c r="G108" s="118"/>
      <c r="H108" s="118"/>
      <c r="I108" s="118"/>
      <c r="J108" s="118"/>
      <c r="K108" s="118"/>
      <c r="L108" s="139"/>
      <c r="M108" s="118"/>
      <c r="N108" s="118"/>
      <c r="O108" s="118"/>
      <c r="P108" s="118"/>
      <c r="Q108" s="118"/>
      <c r="R108" s="118"/>
      <c r="S108" s="119"/>
    </row>
    <row r="109" spans="1:19" ht="15.6">
      <c r="A109" s="122" t="s">
        <v>559</v>
      </c>
      <c r="B109" s="141">
        <v>10</v>
      </c>
      <c r="C109" s="198" t="s">
        <v>95</v>
      </c>
      <c r="E109" s="118"/>
      <c r="F109" s="118"/>
      <c r="G109" s="118"/>
      <c r="H109" s="118"/>
      <c r="I109" s="118"/>
      <c r="J109" s="118"/>
      <c r="K109" s="118"/>
      <c r="L109" s="139"/>
      <c r="M109" s="118"/>
      <c r="N109" s="118"/>
      <c r="O109" s="118"/>
      <c r="P109" s="118"/>
      <c r="Q109" s="118"/>
      <c r="R109" s="118"/>
      <c r="S109" s="119"/>
    </row>
    <row r="110" spans="1:19" ht="15.6">
      <c r="A110" s="122" t="s">
        <v>560</v>
      </c>
      <c r="B110" s="117">
        <f>Calculations!B133</f>
        <v>120</v>
      </c>
      <c r="C110" s="198" t="s">
        <v>95</v>
      </c>
      <c r="E110" s="118"/>
      <c r="F110" s="139"/>
      <c r="G110" s="139"/>
      <c r="H110" s="139"/>
      <c r="I110" s="139"/>
      <c r="J110" s="139"/>
      <c r="K110" s="139"/>
      <c r="L110" s="139"/>
      <c r="M110" s="118"/>
      <c r="N110" s="118"/>
      <c r="O110" s="118"/>
      <c r="P110" s="118"/>
      <c r="Q110" s="118"/>
      <c r="R110" s="118"/>
      <c r="S110" s="119"/>
    </row>
    <row r="111" spans="1:19" ht="15.6">
      <c r="A111" s="122" t="s">
        <v>561</v>
      </c>
      <c r="B111" s="141">
        <v>120</v>
      </c>
      <c r="C111" s="198" t="s">
        <v>95</v>
      </c>
      <c r="E111" s="118"/>
      <c r="F111" s="139"/>
      <c r="G111" s="139"/>
      <c r="H111" s="139"/>
      <c r="I111" s="139"/>
      <c r="J111" s="139"/>
      <c r="K111" s="139"/>
      <c r="L111" s="139"/>
      <c r="M111" s="118"/>
      <c r="N111" s="118"/>
      <c r="O111" s="118"/>
      <c r="P111" s="118"/>
      <c r="Q111" s="118"/>
      <c r="R111" s="118"/>
      <c r="S111" s="119"/>
    </row>
    <row r="112" spans="1:19" ht="15" thickBot="1">
      <c r="A112" s="124" t="s">
        <v>554</v>
      </c>
      <c r="B112" s="127">
        <f>Calculations!B135</f>
        <v>13</v>
      </c>
      <c r="C112" s="199" t="s">
        <v>1</v>
      </c>
      <c r="E112" s="118"/>
      <c r="F112" s="139"/>
      <c r="G112" s="139"/>
      <c r="H112" s="139"/>
      <c r="I112" s="139"/>
      <c r="J112" s="139"/>
      <c r="K112" s="139"/>
      <c r="L112" s="139"/>
      <c r="M112" s="118"/>
      <c r="N112" s="118"/>
      <c r="O112" s="118"/>
      <c r="P112" s="118"/>
      <c r="Q112" s="118"/>
      <c r="R112" s="118"/>
      <c r="S112" s="119"/>
    </row>
    <row r="113" spans="1:19">
      <c r="A113" s="195"/>
      <c r="B113" s="126"/>
      <c r="E113" s="118"/>
      <c r="F113" s="139"/>
      <c r="G113" s="139"/>
      <c r="H113" s="139"/>
      <c r="I113" s="139"/>
      <c r="J113" s="139"/>
      <c r="K113" s="139"/>
      <c r="L113" s="139"/>
      <c r="M113" s="118"/>
      <c r="N113" s="118"/>
      <c r="O113" s="118"/>
      <c r="P113" s="118"/>
      <c r="Q113" s="118"/>
      <c r="R113" s="118"/>
      <c r="S113" s="119"/>
    </row>
    <row r="114" spans="1:19">
      <c r="A114" s="195"/>
      <c r="E114" s="118"/>
      <c r="F114" s="139"/>
      <c r="G114" s="139"/>
      <c r="H114" s="139"/>
      <c r="I114" s="139"/>
      <c r="J114" s="139"/>
      <c r="K114" s="139"/>
      <c r="L114" s="139"/>
      <c r="M114" s="118"/>
      <c r="N114" s="118"/>
      <c r="O114" s="118"/>
      <c r="P114" s="118"/>
      <c r="Q114" s="118"/>
      <c r="R114" s="118"/>
      <c r="S114" s="119"/>
    </row>
    <row r="115" spans="1:19" ht="18">
      <c r="A115" s="221" t="s">
        <v>524</v>
      </c>
      <c r="B115" s="221"/>
      <c r="C115" s="221"/>
      <c r="E115" s="118"/>
      <c r="F115" s="139"/>
      <c r="G115" s="139"/>
      <c r="H115" s="139"/>
      <c r="I115" s="139"/>
      <c r="J115" s="139"/>
      <c r="K115" s="139"/>
      <c r="L115" s="139"/>
      <c r="M115" s="118"/>
      <c r="N115" s="118"/>
      <c r="O115" s="118"/>
      <c r="P115" s="118"/>
      <c r="Q115" s="118"/>
      <c r="R115" s="118"/>
      <c r="S115" s="119"/>
    </row>
    <row r="116" spans="1:19" ht="8.1" customHeight="1" thickBot="1">
      <c r="E116" s="118"/>
      <c r="F116" s="139"/>
      <c r="G116" s="139"/>
      <c r="H116" s="139"/>
      <c r="I116" s="139"/>
      <c r="J116" s="139"/>
      <c r="K116" s="139"/>
      <c r="L116" s="139"/>
      <c r="M116" s="118"/>
      <c r="N116" s="118"/>
      <c r="O116" s="118"/>
      <c r="P116" s="118"/>
      <c r="Q116" s="118"/>
      <c r="R116" s="118"/>
      <c r="S116" s="119"/>
    </row>
    <row r="117" spans="1:19" ht="15" thickBot="1">
      <c r="A117" s="222" t="s">
        <v>435</v>
      </c>
      <c r="B117" s="223"/>
      <c r="C117" s="224"/>
      <c r="E117" s="118"/>
      <c r="F117" s="118"/>
      <c r="G117" s="118"/>
      <c r="H117" s="118"/>
      <c r="I117" s="118"/>
      <c r="J117" s="118"/>
      <c r="K117" s="118"/>
      <c r="L117" s="118"/>
      <c r="M117" s="118"/>
      <c r="N117" s="118"/>
      <c r="O117" s="118"/>
      <c r="P117" s="118"/>
      <c r="Q117" s="118"/>
      <c r="R117" s="118"/>
      <c r="S117" s="119"/>
    </row>
    <row r="118" spans="1:19" ht="15.6">
      <c r="A118" s="122" t="s">
        <v>582</v>
      </c>
      <c r="B118" s="141">
        <v>3</v>
      </c>
      <c r="C118" s="123" t="s">
        <v>1</v>
      </c>
      <c r="E118" s="118"/>
      <c r="F118" s="118"/>
      <c r="G118" s="118"/>
      <c r="H118" s="118"/>
      <c r="I118" s="118"/>
      <c r="J118" s="118"/>
      <c r="K118" s="118"/>
      <c r="L118" s="118"/>
      <c r="M118" s="118"/>
      <c r="N118" s="118"/>
      <c r="O118" s="118"/>
      <c r="P118" s="118"/>
      <c r="Q118" s="118"/>
      <c r="R118" s="118"/>
      <c r="S118" s="119"/>
    </row>
    <row r="119" spans="1:19" ht="15.6">
      <c r="A119" s="122" t="s">
        <v>437</v>
      </c>
      <c r="B119" s="133">
        <f>Calculations!B140</f>
        <v>19.999999999999996</v>
      </c>
      <c r="C119" s="123" t="s">
        <v>95</v>
      </c>
      <c r="E119" s="118"/>
      <c r="F119" s="118"/>
      <c r="G119" s="118"/>
      <c r="H119" s="118"/>
      <c r="I119" s="118"/>
      <c r="J119" s="118"/>
      <c r="K119" s="118"/>
      <c r="L119" s="118"/>
      <c r="M119" s="118"/>
      <c r="N119" s="118"/>
      <c r="O119" s="118"/>
      <c r="P119" s="118"/>
      <c r="Q119" s="118"/>
      <c r="R119" s="118"/>
      <c r="S119" s="119"/>
    </row>
    <row r="120" spans="1:19" ht="15.6">
      <c r="A120" s="122" t="s">
        <v>438</v>
      </c>
      <c r="B120" s="141">
        <v>10</v>
      </c>
      <c r="C120" s="123" t="s">
        <v>95</v>
      </c>
      <c r="E120" s="118"/>
      <c r="F120" s="118"/>
      <c r="G120" s="118"/>
      <c r="H120" s="118"/>
      <c r="I120" s="118"/>
      <c r="J120" s="118"/>
      <c r="K120" s="118"/>
      <c r="L120" s="118"/>
      <c r="M120" s="118"/>
      <c r="N120" s="118"/>
      <c r="O120" s="118"/>
      <c r="P120" s="118"/>
      <c r="Q120" s="118"/>
      <c r="R120" s="118"/>
      <c r="S120" s="119"/>
    </row>
    <row r="121" spans="1:19" ht="15.6">
      <c r="A121" s="122" t="s">
        <v>439</v>
      </c>
      <c r="B121" s="128">
        <f>Calculations!B142</f>
        <v>1.5</v>
      </c>
      <c r="C121" s="123" t="s">
        <v>1</v>
      </c>
      <c r="E121" s="118"/>
      <c r="F121" s="118"/>
      <c r="G121" s="118"/>
      <c r="H121" s="118"/>
      <c r="I121" s="118"/>
      <c r="J121" s="118"/>
      <c r="K121" s="118"/>
      <c r="L121" s="118"/>
      <c r="M121" s="118"/>
      <c r="N121" s="118"/>
      <c r="O121" s="118"/>
      <c r="P121" s="118"/>
      <c r="Q121" s="118"/>
      <c r="R121" s="118"/>
      <c r="S121" s="119"/>
    </row>
    <row r="122" spans="1:19" ht="15.6">
      <c r="A122" s="122" t="s">
        <v>440</v>
      </c>
      <c r="B122" s="128">
        <f>Calculations!B143</f>
        <v>0.5</v>
      </c>
      <c r="C122" s="123" t="s">
        <v>1</v>
      </c>
      <c r="E122" s="118"/>
      <c r="F122" s="118"/>
      <c r="G122" s="118"/>
      <c r="H122" s="118"/>
      <c r="I122" s="118"/>
      <c r="J122" s="118"/>
      <c r="K122" s="118"/>
      <c r="L122" s="118"/>
      <c r="M122" s="118"/>
      <c r="N122" s="118"/>
      <c r="O122" s="118"/>
      <c r="P122" s="118"/>
      <c r="Q122" s="118"/>
      <c r="R122" s="118"/>
      <c r="S122" s="119"/>
    </row>
    <row r="123" spans="1:19" ht="15.6">
      <c r="A123" s="122" t="s">
        <v>441</v>
      </c>
      <c r="B123" s="133">
        <f>Calculations!B144</f>
        <v>9.9999999999999982</v>
      </c>
      <c r="C123" s="123" t="s">
        <v>40</v>
      </c>
      <c r="E123" s="118"/>
      <c r="F123" s="118"/>
      <c r="G123" s="118"/>
      <c r="H123" s="118"/>
      <c r="I123" s="118"/>
      <c r="J123" s="118"/>
      <c r="K123" s="118"/>
      <c r="L123" s="118"/>
      <c r="M123" s="118"/>
      <c r="N123" s="118"/>
      <c r="O123" s="118"/>
      <c r="P123" s="118"/>
      <c r="Q123" s="118"/>
      <c r="R123" s="118"/>
      <c r="S123" s="119"/>
    </row>
    <row r="124" spans="1:19" ht="15.6">
      <c r="A124" s="122" t="s">
        <v>442</v>
      </c>
      <c r="B124" s="141">
        <v>10</v>
      </c>
      <c r="C124" s="123" t="s">
        <v>40</v>
      </c>
      <c r="E124" s="118"/>
      <c r="F124" s="118"/>
      <c r="G124" s="118"/>
      <c r="H124" s="118"/>
      <c r="I124" s="118"/>
      <c r="J124" s="118"/>
      <c r="K124" s="118"/>
      <c r="L124" s="118"/>
      <c r="M124" s="118"/>
      <c r="N124" s="118"/>
      <c r="O124" s="118"/>
      <c r="P124" s="118"/>
      <c r="Q124" s="118"/>
      <c r="R124" s="118"/>
      <c r="S124" s="119"/>
    </row>
    <row r="125" spans="1:19" ht="15.6">
      <c r="A125" s="122" t="s">
        <v>443</v>
      </c>
      <c r="B125" s="137">
        <f>Calculations!B147</f>
        <v>0.67420579778858014</v>
      </c>
      <c r="C125" s="123" t="s">
        <v>68</v>
      </c>
      <c r="E125" s="118"/>
      <c r="F125" s="118"/>
      <c r="G125" s="118"/>
      <c r="H125" s="118"/>
      <c r="I125" s="118"/>
      <c r="J125" s="118"/>
      <c r="K125" s="118"/>
      <c r="L125" s="118"/>
      <c r="M125" s="118"/>
      <c r="N125" s="118"/>
      <c r="O125" s="118"/>
      <c r="P125" s="118"/>
      <c r="Q125" s="118"/>
      <c r="R125" s="118"/>
      <c r="S125" s="119"/>
    </row>
    <row r="126" spans="1:19" ht="16.2" thickBot="1">
      <c r="A126" s="124" t="s">
        <v>444</v>
      </c>
      <c r="B126" s="132">
        <f>Calculations!B146</f>
        <v>1.5915494309189535</v>
      </c>
      <c r="C126" s="125" t="s">
        <v>3</v>
      </c>
      <c r="E126" s="118"/>
      <c r="F126" s="118"/>
      <c r="G126" s="118"/>
      <c r="H126" s="118"/>
      <c r="I126" s="118"/>
      <c r="J126" s="118"/>
      <c r="K126" s="118"/>
      <c r="L126" s="118"/>
      <c r="M126" s="118"/>
      <c r="N126" s="118"/>
      <c r="O126" s="118"/>
      <c r="P126" s="118"/>
      <c r="Q126" s="118"/>
      <c r="R126" s="118"/>
      <c r="S126" s="119"/>
    </row>
    <row r="127" spans="1:19">
      <c r="E127" s="118"/>
      <c r="F127" s="118"/>
      <c r="G127" s="118"/>
      <c r="H127" s="118"/>
      <c r="I127" s="118"/>
      <c r="J127" s="118"/>
      <c r="K127" s="118"/>
      <c r="L127" s="118"/>
      <c r="M127" s="118"/>
      <c r="N127" s="118"/>
      <c r="O127" s="118"/>
      <c r="P127" s="118"/>
      <c r="Q127" s="118"/>
      <c r="R127" s="118"/>
      <c r="S127" s="119"/>
    </row>
    <row r="128" spans="1:19" ht="18">
      <c r="A128" s="221" t="s">
        <v>525</v>
      </c>
      <c r="B128" s="221"/>
      <c r="C128" s="221"/>
      <c r="E128" s="118"/>
      <c r="F128" s="118"/>
      <c r="G128" s="118"/>
      <c r="H128" s="118"/>
      <c r="I128" s="118"/>
      <c r="J128" s="118"/>
      <c r="K128" s="118"/>
      <c r="L128" s="118"/>
      <c r="M128" s="118"/>
      <c r="N128" s="118"/>
      <c r="O128" s="118"/>
      <c r="P128" s="118"/>
      <c r="Q128" s="118"/>
      <c r="R128" s="118"/>
      <c r="S128" s="119"/>
    </row>
    <row r="129" spans="1:19" ht="8.1" customHeight="1" thickBot="1">
      <c r="E129" s="118"/>
      <c r="F129" s="118"/>
      <c r="G129" s="118"/>
      <c r="H129" s="118"/>
      <c r="I129" s="118"/>
      <c r="J129" s="118"/>
      <c r="K129" s="118"/>
      <c r="L129" s="118"/>
      <c r="M129" s="118"/>
      <c r="N129" s="118"/>
      <c r="O129" s="118"/>
      <c r="P129" s="118"/>
      <c r="Q129" s="118"/>
      <c r="R129" s="118"/>
      <c r="S129" s="119"/>
    </row>
    <row r="130" spans="1:19" ht="15" thickBot="1">
      <c r="A130" s="222" t="s">
        <v>482</v>
      </c>
      <c r="B130" s="223"/>
      <c r="C130" s="224"/>
      <c r="E130" s="216" t="s">
        <v>445</v>
      </c>
      <c r="F130" s="216"/>
      <c r="G130" s="216"/>
      <c r="I130" s="216" t="s">
        <v>446</v>
      </c>
      <c r="J130" s="216"/>
      <c r="K130" s="216"/>
    </row>
    <row r="131" spans="1:19">
      <c r="A131" s="122" t="s">
        <v>187</v>
      </c>
      <c r="B131" s="225" t="s">
        <v>188</v>
      </c>
      <c r="C131" s="226"/>
    </row>
    <row r="132" spans="1:19">
      <c r="A132" s="122" t="s">
        <v>277</v>
      </c>
      <c r="B132" s="141">
        <v>50</v>
      </c>
      <c r="C132" s="123" t="s">
        <v>93</v>
      </c>
    </row>
    <row r="133" spans="1:19" ht="15.6">
      <c r="A133" s="122" t="s">
        <v>351</v>
      </c>
      <c r="B133" s="133">
        <f>Calculations!B153</f>
        <v>19.047619047619051</v>
      </c>
      <c r="C133" s="123" t="s">
        <v>95</v>
      </c>
    </row>
    <row r="134" spans="1:19" ht="15.6">
      <c r="A134" s="122" t="s">
        <v>278</v>
      </c>
      <c r="B134" s="141">
        <v>20</v>
      </c>
      <c r="C134" s="123" t="s">
        <v>95</v>
      </c>
    </row>
    <row r="135" spans="1:19">
      <c r="A135" s="122" t="s">
        <v>200</v>
      </c>
      <c r="B135" s="117">
        <f>Calculations!B155</f>
        <v>40</v>
      </c>
      <c r="C135" s="123" t="s">
        <v>93</v>
      </c>
    </row>
    <row r="136" spans="1:19" ht="15" thickBot="1">
      <c r="A136" s="124" t="s">
        <v>201</v>
      </c>
      <c r="B136" s="127">
        <f>Calculations!B156</f>
        <v>40</v>
      </c>
      <c r="C136" s="125" t="s">
        <v>93</v>
      </c>
    </row>
    <row r="138" spans="1:19" ht="18">
      <c r="A138" s="221" t="s">
        <v>526</v>
      </c>
      <c r="B138" s="221"/>
      <c r="C138" s="221"/>
    </row>
    <row r="139" spans="1:19" ht="7.95" customHeight="1" thickBot="1"/>
    <row r="140" spans="1:19" ht="15" thickBot="1">
      <c r="A140" s="222" t="s">
        <v>494</v>
      </c>
      <c r="B140" s="223"/>
      <c r="C140" s="224"/>
    </row>
    <row r="141" spans="1:19" ht="16.2">
      <c r="A141" s="122" t="s">
        <v>583</v>
      </c>
      <c r="B141" s="225" t="s">
        <v>516</v>
      </c>
      <c r="C141" s="226"/>
    </row>
    <row r="142" spans="1:19">
      <c r="A142" s="122" t="s">
        <v>584</v>
      </c>
      <c r="B142" s="225" t="s">
        <v>580</v>
      </c>
      <c r="C142" s="226"/>
    </row>
    <row r="143" spans="1:19" ht="16.2" thickBot="1">
      <c r="A143" s="124" t="s">
        <v>586</v>
      </c>
      <c r="B143" s="238" t="str">
        <f>Calculations!B162</f>
        <v>1.10 or 1.13</v>
      </c>
      <c r="C143" s="239"/>
    </row>
    <row r="144" spans="1:19" ht="15" thickBot="1">
      <c r="A144" s="241" t="s">
        <v>521</v>
      </c>
      <c r="B144" s="242"/>
      <c r="C144" s="243"/>
    </row>
    <row r="145" spans="1:3">
      <c r="A145" s="179" t="s">
        <v>585</v>
      </c>
      <c r="B145" s="244" t="str">
        <f>Calculations!B164</f>
        <v>180°</v>
      </c>
      <c r="C145" s="245"/>
    </row>
    <row r="146" spans="1:3" ht="15" thickBot="1">
      <c r="A146" s="124" t="s">
        <v>531</v>
      </c>
      <c r="B146" s="246" t="str">
        <f>Calculations!B165</f>
        <v>HIGH</v>
      </c>
      <c r="C146" s="247"/>
    </row>
    <row r="148" spans="1:3" ht="18.75" customHeight="1">
      <c r="A148" s="221" t="s">
        <v>527</v>
      </c>
      <c r="B148" s="221"/>
      <c r="C148" s="221"/>
    </row>
    <row r="149" spans="1:3" ht="8.1" customHeight="1" thickBot="1"/>
    <row r="150" spans="1:3" ht="15" thickBot="1">
      <c r="A150" s="222" t="s">
        <v>253</v>
      </c>
      <c r="B150" s="223"/>
      <c r="C150" s="224"/>
    </row>
    <row r="151" spans="1:3" ht="15.6">
      <c r="A151" s="146" t="s">
        <v>579</v>
      </c>
      <c r="B151" s="141">
        <v>10</v>
      </c>
      <c r="C151" s="123" t="s">
        <v>214</v>
      </c>
    </row>
    <row r="152" spans="1:3" ht="15.6">
      <c r="A152" s="146" t="s">
        <v>402</v>
      </c>
      <c r="B152" s="128">
        <f>Calculations!B172/1000</f>
        <v>66.082802547770697</v>
      </c>
      <c r="C152" s="123" t="s">
        <v>3</v>
      </c>
    </row>
    <row r="153" spans="1:3" ht="15.6">
      <c r="A153" s="146" t="s">
        <v>403</v>
      </c>
      <c r="B153" s="141">
        <v>66</v>
      </c>
      <c r="C153" s="123" t="s">
        <v>3</v>
      </c>
    </row>
    <row r="154" spans="1:3" ht="15.6">
      <c r="A154" s="146" t="s">
        <v>404</v>
      </c>
      <c r="B154" s="128">
        <f>Calculations!B176</f>
        <v>2.1870139543087186</v>
      </c>
      <c r="C154" s="123" t="s">
        <v>95</v>
      </c>
    </row>
    <row r="155" spans="1:3" ht="15.6">
      <c r="A155" s="146" t="s">
        <v>405</v>
      </c>
      <c r="B155" s="141">
        <v>2.2000000000000002</v>
      </c>
      <c r="C155" s="123" t="s">
        <v>95</v>
      </c>
    </row>
    <row r="156" spans="1:3" ht="15.6">
      <c r="A156" s="146" t="s">
        <v>406</v>
      </c>
      <c r="B156" s="133">
        <f>Calculations!B178</f>
        <v>5.4805421174895086</v>
      </c>
      <c r="C156" s="123" t="s">
        <v>40</v>
      </c>
    </row>
    <row r="157" spans="1:3" ht="15.6">
      <c r="A157" s="146" t="s">
        <v>407</v>
      </c>
      <c r="B157" s="141">
        <v>6.8</v>
      </c>
      <c r="C157" s="123" t="s">
        <v>40</v>
      </c>
    </row>
    <row r="158" spans="1:3" ht="15.6">
      <c r="A158" s="146" t="s">
        <v>408</v>
      </c>
      <c r="B158" s="133">
        <f>Calculations!B180</f>
        <v>0.36536947449930052</v>
      </c>
      <c r="C158" s="123" t="s">
        <v>40</v>
      </c>
    </row>
    <row r="159" spans="1:3" ht="15.6">
      <c r="A159" s="146" t="s">
        <v>409</v>
      </c>
      <c r="B159" s="141">
        <v>0.39</v>
      </c>
      <c r="C159" s="123" t="s">
        <v>40</v>
      </c>
    </row>
    <row r="160" spans="1:3" ht="15.6">
      <c r="A160" s="146" t="s">
        <v>368</v>
      </c>
      <c r="B160" s="128">
        <f>Calculations!B182</f>
        <v>10.638699404538457</v>
      </c>
      <c r="C160" s="123" t="s">
        <v>3</v>
      </c>
    </row>
    <row r="161" spans="1:3" ht="16.2" thickBot="1">
      <c r="A161" s="152" t="s">
        <v>369</v>
      </c>
      <c r="B161" s="140">
        <f>Calculations!B183</f>
        <v>185.49527166887566</v>
      </c>
      <c r="C161" s="125" t="s">
        <v>3</v>
      </c>
    </row>
    <row r="163" spans="1:3" ht="18">
      <c r="A163" s="248" t="s">
        <v>528</v>
      </c>
      <c r="B163" s="248"/>
      <c r="C163" s="248"/>
    </row>
    <row r="164" spans="1:3" ht="8.1" customHeight="1" thickBot="1">
      <c r="A164" s="173"/>
      <c r="B164" s="173"/>
      <c r="C164" s="173"/>
    </row>
    <row r="165" spans="1:3" ht="16.2" thickBot="1">
      <c r="A165" s="227" t="s">
        <v>461</v>
      </c>
      <c r="B165" s="228"/>
      <c r="C165" s="229"/>
    </row>
    <row r="166" spans="1:3" ht="15.6">
      <c r="A166" s="159" t="s">
        <v>569</v>
      </c>
      <c r="B166" s="202">
        <f>Calculations!B215</f>
        <v>3.24</v>
      </c>
      <c r="C166" s="135" t="s">
        <v>95</v>
      </c>
    </row>
    <row r="167" spans="1:3" ht="15.6">
      <c r="A167" s="146" t="s">
        <v>568</v>
      </c>
      <c r="B167" s="141">
        <v>4.0199999999999996</v>
      </c>
      <c r="C167" s="123" t="s">
        <v>95</v>
      </c>
    </row>
    <row r="168" spans="1:3" ht="15.6">
      <c r="A168" s="146" t="s">
        <v>570</v>
      </c>
      <c r="B168" s="204">
        <f>Calculations!B217</f>
        <v>0.94296296296296256</v>
      </c>
      <c r="C168" s="123" t="s">
        <v>95</v>
      </c>
    </row>
    <row r="169" spans="1:3" ht="16.2" thickBot="1">
      <c r="A169" s="152" t="s">
        <v>567</v>
      </c>
      <c r="B169" s="142">
        <v>1</v>
      </c>
      <c r="C169" s="125" t="s">
        <v>95</v>
      </c>
    </row>
    <row r="171" spans="1:3" ht="18.75" customHeight="1">
      <c r="A171" s="248" t="s">
        <v>529</v>
      </c>
      <c r="B171" s="248"/>
      <c r="C171" s="248"/>
    </row>
    <row r="172" spans="1:3" ht="8.1" customHeight="1" thickBot="1"/>
    <row r="173" spans="1:3" ht="15" thickBot="1">
      <c r="A173" s="222" t="s">
        <v>347</v>
      </c>
      <c r="B173" s="223"/>
      <c r="C173" s="224"/>
    </row>
    <row r="174" spans="1:3" ht="15.6">
      <c r="A174" s="159" t="s">
        <v>465</v>
      </c>
      <c r="B174" s="144">
        <v>2</v>
      </c>
      <c r="C174" s="135" t="s">
        <v>1</v>
      </c>
    </row>
    <row r="175" spans="1:3" ht="15.6">
      <c r="A175" s="146" t="s">
        <v>555</v>
      </c>
      <c r="B175" s="141">
        <v>4.42</v>
      </c>
      <c r="C175" s="123" t="s">
        <v>95</v>
      </c>
    </row>
    <row r="176" spans="1:3" ht="15.6">
      <c r="A176" s="146" t="s">
        <v>556</v>
      </c>
      <c r="B176" s="117">
        <f>Calculations!B192/1000</f>
        <v>2.8730000000000002</v>
      </c>
      <c r="C176" s="123" t="s">
        <v>95</v>
      </c>
    </row>
    <row r="177" spans="1:3" ht="15.6">
      <c r="A177" s="146" t="s">
        <v>557</v>
      </c>
      <c r="B177" s="141">
        <v>26.7</v>
      </c>
      <c r="C177" s="123" t="s">
        <v>95</v>
      </c>
    </row>
    <row r="178" spans="1:3">
      <c r="A178" s="146" t="s">
        <v>326</v>
      </c>
      <c r="B178" s="117">
        <f>Calculations!B197/1000</f>
        <v>6.6</v>
      </c>
      <c r="C178" s="123" t="s">
        <v>3</v>
      </c>
    </row>
    <row r="179" spans="1:3">
      <c r="A179" s="146" t="s">
        <v>221</v>
      </c>
      <c r="B179" s="141">
        <v>1.5</v>
      </c>
      <c r="C179" s="123" t="s">
        <v>3</v>
      </c>
    </row>
    <row r="180" spans="1:3" ht="15.6">
      <c r="A180" s="146" t="s">
        <v>410</v>
      </c>
      <c r="B180" s="128">
        <f>Calculations!B224</f>
        <v>15.892493446681911</v>
      </c>
      <c r="C180" s="123" t="s">
        <v>95</v>
      </c>
    </row>
    <row r="181" spans="1:3" ht="15.6">
      <c r="A181" s="146" t="s">
        <v>411</v>
      </c>
      <c r="B181" s="141">
        <v>6.2</v>
      </c>
      <c r="C181" s="123" t="s">
        <v>95</v>
      </c>
    </row>
    <row r="182" spans="1:3" ht="15.6">
      <c r="A182" s="146" t="s">
        <v>412</v>
      </c>
      <c r="B182" s="133">
        <f>Calculations!B226</f>
        <v>14.020161290322578</v>
      </c>
      <c r="C182" s="123" t="s">
        <v>40</v>
      </c>
    </row>
    <row r="183" spans="1:3" ht="15.6">
      <c r="A183" s="146" t="s">
        <v>413</v>
      </c>
      <c r="B183" s="141">
        <v>33</v>
      </c>
      <c r="C183" s="123" t="s">
        <v>40</v>
      </c>
    </row>
    <row r="184" spans="1:3" ht="15.6">
      <c r="A184" s="146" t="s">
        <v>414</v>
      </c>
      <c r="B184" s="151">
        <f>Calculations!B228</f>
        <v>3300</v>
      </c>
      <c r="C184" s="123" t="s">
        <v>367</v>
      </c>
    </row>
    <row r="185" spans="1:3" ht="15.6">
      <c r="A185" s="146" t="s">
        <v>415</v>
      </c>
      <c r="B185" s="141">
        <v>3300</v>
      </c>
      <c r="C185" s="123" t="s">
        <v>367</v>
      </c>
    </row>
    <row r="186" spans="1:3" ht="15.6">
      <c r="A186" s="146" t="s">
        <v>368</v>
      </c>
      <c r="B186" s="128">
        <f>Calculations!B230</f>
        <v>0.77788339732109146</v>
      </c>
      <c r="C186" s="123" t="s">
        <v>3</v>
      </c>
    </row>
    <row r="187" spans="1:3" ht="16.2" thickBot="1">
      <c r="A187" s="152" t="s">
        <v>369</v>
      </c>
      <c r="B187" s="132">
        <f>Calculations!B231</f>
        <v>7.7788339732109151</v>
      </c>
      <c r="C187" s="125" t="s">
        <v>3</v>
      </c>
    </row>
    <row r="189" spans="1:3" ht="18">
      <c r="A189" s="221" t="s">
        <v>530</v>
      </c>
      <c r="B189" s="221"/>
      <c r="C189" s="221"/>
    </row>
    <row r="190" spans="1:3" ht="8.1" customHeight="1" thickBot="1"/>
    <row r="191" spans="1:3" ht="15" thickBot="1">
      <c r="A191" s="222" t="s">
        <v>348</v>
      </c>
      <c r="B191" s="223"/>
      <c r="C191" s="224"/>
    </row>
    <row r="192" spans="1:3" ht="15.6">
      <c r="A192" s="159" t="s">
        <v>465</v>
      </c>
      <c r="B192" s="144">
        <v>3.5</v>
      </c>
      <c r="C192" s="135" t="s">
        <v>1</v>
      </c>
    </row>
    <row r="193" spans="1:6" ht="15.6">
      <c r="A193" s="146" t="s">
        <v>555</v>
      </c>
      <c r="B193" s="141">
        <v>10</v>
      </c>
      <c r="C193" s="123" t="s">
        <v>95</v>
      </c>
    </row>
    <row r="194" spans="1:6" ht="15.6">
      <c r="A194" s="146" t="s">
        <v>556</v>
      </c>
      <c r="B194" s="117">
        <f>Calculations!B236/1000</f>
        <v>24.285714285714281</v>
      </c>
      <c r="C194" s="123" t="s">
        <v>95</v>
      </c>
    </row>
    <row r="195" spans="1:6" ht="15.6">
      <c r="A195" s="146" t="s">
        <v>557</v>
      </c>
      <c r="B195" s="141">
        <v>24</v>
      </c>
      <c r="C195" s="123" t="s">
        <v>95</v>
      </c>
    </row>
    <row r="196" spans="1:6">
      <c r="A196" s="146" t="s">
        <v>326</v>
      </c>
      <c r="B196" s="137">
        <f>Calculations!B241/1000</f>
        <v>1.7683882565766149</v>
      </c>
      <c r="C196" s="123" t="s">
        <v>3</v>
      </c>
    </row>
    <row r="197" spans="1:6">
      <c r="A197" s="146" t="s">
        <v>221</v>
      </c>
      <c r="B197" s="215">
        <v>1.8</v>
      </c>
      <c r="C197" s="123" t="s">
        <v>3</v>
      </c>
    </row>
    <row r="198" spans="1:6" ht="15.6">
      <c r="A198" s="146" t="s">
        <v>416</v>
      </c>
      <c r="B198" s="133">
        <f>Calculations!B264</f>
        <v>69.707102742913207</v>
      </c>
      <c r="C198" s="123" t="s">
        <v>95</v>
      </c>
    </row>
    <row r="199" spans="1:6" ht="15.6">
      <c r="A199" s="146" t="s">
        <v>417</v>
      </c>
      <c r="B199" s="141">
        <v>68</v>
      </c>
      <c r="C199" s="123" t="s">
        <v>95</v>
      </c>
    </row>
    <row r="200" spans="1:6" ht="15.6">
      <c r="A200" s="146" t="s">
        <v>418</v>
      </c>
      <c r="B200" s="128">
        <f>Calculations!B266</f>
        <v>11.341176470588232</v>
      </c>
      <c r="C200" s="123" t="s">
        <v>40</v>
      </c>
    </row>
    <row r="201" spans="1:6" ht="15.6">
      <c r="A201" s="146" t="s">
        <v>419</v>
      </c>
      <c r="B201" s="141">
        <v>10</v>
      </c>
      <c r="C201" s="123" t="s">
        <v>40</v>
      </c>
    </row>
    <row r="202" spans="1:6" ht="15.6">
      <c r="A202" s="146" t="s">
        <v>420</v>
      </c>
      <c r="B202" s="151">
        <f>Calculations!B268</f>
        <v>100</v>
      </c>
      <c r="C202" s="123" t="s">
        <v>367</v>
      </c>
    </row>
    <row r="203" spans="1:6" ht="15.6">
      <c r="A203" s="146" t="s">
        <v>421</v>
      </c>
      <c r="B203" s="141">
        <v>100</v>
      </c>
      <c r="C203" s="123" t="s">
        <v>367</v>
      </c>
    </row>
    <row r="204" spans="1:6" ht="15.6">
      <c r="A204" s="146" t="s">
        <v>368</v>
      </c>
      <c r="B204" s="128">
        <f>Calculations!B270</f>
        <v>0.23405138689984606</v>
      </c>
      <c r="C204" s="123" t="s">
        <v>3</v>
      </c>
    </row>
    <row r="205" spans="1:6" ht="16.2" thickBot="1">
      <c r="A205" s="124" t="s">
        <v>279</v>
      </c>
      <c r="B205" s="132">
        <f>Calculations!B271</f>
        <v>23.405138689984604</v>
      </c>
      <c r="C205" s="125" t="s">
        <v>3</v>
      </c>
    </row>
    <row r="207" spans="1:6" ht="18">
      <c r="A207" s="221" t="s">
        <v>591</v>
      </c>
      <c r="B207" s="221"/>
      <c r="C207" s="221"/>
    </row>
    <row r="208" spans="1:6">
      <c r="A208" s="240" t="s">
        <v>592</v>
      </c>
      <c r="B208" s="240"/>
      <c r="C208" s="212"/>
      <c r="D208" s="213"/>
      <c r="E208" s="211"/>
      <c r="F208" s="211"/>
    </row>
    <row r="209" spans="1:4">
      <c r="A209" s="240" t="s">
        <v>593</v>
      </c>
      <c r="B209" s="240"/>
      <c r="C209" s="212"/>
      <c r="D209" s="214"/>
    </row>
    <row r="211" spans="1:4">
      <c r="A211" s="210"/>
    </row>
  </sheetData>
  <sheetProtection algorithmName="SHA-512" hashValue="kgmehYuTP0kdEK1ly0/lQg4DT1V49YZTvqqizDbkpIgcwFvNu7kTMnNMwVVQEsPHsRzUbNvyRkGAEH7GoLgPnQ==" saltValue="eJbF3+nZuq1S5nGAxXzcxw==" spinCount="100000" sheet="1" selectLockedCells="1"/>
  <mergeCells count="55">
    <mergeCell ref="A207:C207"/>
    <mergeCell ref="A208:B208"/>
    <mergeCell ref="A209:B209"/>
    <mergeCell ref="A144:C144"/>
    <mergeCell ref="B145:C145"/>
    <mergeCell ref="B146:C146"/>
    <mergeCell ref="A171:C171"/>
    <mergeCell ref="A165:C165"/>
    <mergeCell ref="A163:C163"/>
    <mergeCell ref="A148:C148"/>
    <mergeCell ref="A138:C138"/>
    <mergeCell ref="A140:C140"/>
    <mergeCell ref="B143:C143"/>
    <mergeCell ref="B141:C141"/>
    <mergeCell ref="B142:C142"/>
    <mergeCell ref="G10:N11"/>
    <mergeCell ref="A173:C173"/>
    <mergeCell ref="A189:C189"/>
    <mergeCell ref="A191:C191"/>
    <mergeCell ref="A1:XFD3"/>
    <mergeCell ref="A15:C15"/>
    <mergeCell ref="A10:C10"/>
    <mergeCell ref="A35:C35"/>
    <mergeCell ref="A24:C24"/>
    <mergeCell ref="A20:C20"/>
    <mergeCell ref="A8:C8"/>
    <mergeCell ref="A32:C32"/>
    <mergeCell ref="A150:C150"/>
    <mergeCell ref="A33:C33"/>
    <mergeCell ref="A42:C42"/>
    <mergeCell ref="A57:C57"/>
    <mergeCell ref="B131:C131"/>
    <mergeCell ref="F90:H90"/>
    <mergeCell ref="A44:C44"/>
    <mergeCell ref="A59:C59"/>
    <mergeCell ref="A62:C62"/>
    <mergeCell ref="A66:C66"/>
    <mergeCell ref="A69:C69"/>
    <mergeCell ref="A81:C81"/>
    <mergeCell ref="B68:C68"/>
    <mergeCell ref="A104:C104"/>
    <mergeCell ref="A106:C106"/>
    <mergeCell ref="Q90:R90"/>
    <mergeCell ref="E130:G130"/>
    <mergeCell ref="B95:C95"/>
    <mergeCell ref="P74:Q74"/>
    <mergeCell ref="K90:M90"/>
    <mergeCell ref="I130:K130"/>
    <mergeCell ref="A87:C87"/>
    <mergeCell ref="A117:C117"/>
    <mergeCell ref="A115:C115"/>
    <mergeCell ref="A130:C130"/>
    <mergeCell ref="A89:C89"/>
    <mergeCell ref="A128:C128"/>
    <mergeCell ref="B90:C90"/>
  </mergeCells>
  <phoneticPr fontId="24" type="noConversion"/>
  <dataValidations count="1">
    <dataValidation allowBlank="1" showInputMessage="1" sqref="B49" xr:uid="{1799BBD4-28F3-443F-92ED-174B7042F565}"/>
  </dataValidations>
  <hyperlinks>
    <hyperlink ref="R5" location="Licenses!A1" display="Terms of Use" xr:uid="{0C43E5D8-64F2-4553-B64D-99EAF6E484DC}"/>
    <hyperlink ref="A208" r:id="rId1" xr:uid="{6C33A39F-3BBB-43F9-BEB7-706792CB90CC}"/>
    <hyperlink ref="A209" r:id="rId2" xr:uid="{CC6C8674-71BE-4656-B786-1495B547097B}"/>
  </hyperlinks>
  <pageMargins left="0.7" right="0.7" top="0.75" bottom="0.75" header="0.3" footer="0.3"/>
  <pageSetup orientation="portrait"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id="{8DA8BAD0-9FFF-48EC-97B1-D1E0361372EA}">
            <xm:f>Calculations!$D$7</xm:f>
            <x14:dxf>
              <fill>
                <patternFill>
                  <bgColor rgb="FFFF0000"/>
                </patternFill>
              </fill>
            </x14:dxf>
          </x14:cfRule>
          <xm:sqref>B11</xm:sqref>
        </x14:conditionalFormatting>
        <x14:conditionalFormatting xmlns:xm="http://schemas.microsoft.com/office/excel/2006/main">
          <x14:cfRule type="expression" priority="11" id="{6383C642-A2E1-47C5-BE0A-9410EF4CC739}">
            <xm:f>Calculations!$D$8</xm:f>
            <x14:dxf>
              <fill>
                <patternFill>
                  <bgColor rgb="FFFF0000"/>
                </patternFill>
              </fill>
            </x14:dxf>
          </x14:cfRule>
          <xm:sqref>B12</xm:sqref>
        </x14:conditionalFormatting>
        <x14:conditionalFormatting xmlns:xm="http://schemas.microsoft.com/office/excel/2006/main">
          <x14:cfRule type="expression" priority="10" id="{68164077-B6D3-47AD-9F74-4B1AD88F8436}">
            <xm:f>Calculations!$D$9</xm:f>
            <x14:dxf>
              <fill>
                <patternFill>
                  <bgColor rgb="FFFF0000"/>
                </patternFill>
              </fill>
            </x14:dxf>
          </x14:cfRule>
          <xm:sqref>B13</xm:sqref>
        </x14:conditionalFormatting>
        <x14:conditionalFormatting xmlns:xm="http://schemas.microsoft.com/office/excel/2006/main">
          <x14:cfRule type="expression" priority="9" id="{7FADB542-7869-4724-8891-E325FAB0B76D}">
            <xm:f>Calculations!$D$11</xm:f>
            <x14:dxf>
              <fill>
                <patternFill>
                  <bgColor rgb="FFFF0000"/>
                </patternFill>
              </fill>
            </x14:dxf>
          </x14:cfRule>
          <xm:sqref>B16</xm:sqref>
        </x14:conditionalFormatting>
        <x14:conditionalFormatting xmlns:xm="http://schemas.microsoft.com/office/excel/2006/main">
          <x14:cfRule type="expression" priority="8" id="{B919A512-D41A-4909-82CD-BA9AA011A576}">
            <xm:f>Calculations!$D$12</xm:f>
            <x14:dxf>
              <fill>
                <patternFill>
                  <bgColor rgb="FFFF0000"/>
                </patternFill>
              </fill>
            </x14:dxf>
          </x14:cfRule>
          <xm:sqref>B17</xm:sqref>
        </x14:conditionalFormatting>
        <x14:conditionalFormatting xmlns:xm="http://schemas.microsoft.com/office/excel/2006/main">
          <x14:cfRule type="expression" priority="7" id="{6D1F4A22-E22E-439F-B7C4-82E3FA7A875C}">
            <xm:f>Calculations!$D$13</xm:f>
            <x14:dxf>
              <fill>
                <patternFill>
                  <bgColor rgb="FFFF0000"/>
                </patternFill>
              </fill>
            </x14:dxf>
          </x14:cfRule>
          <xm:sqref>B18</xm:sqref>
        </x14:conditionalFormatting>
        <x14:conditionalFormatting xmlns:xm="http://schemas.microsoft.com/office/excel/2006/main">
          <x14:cfRule type="expression" priority="15" id="{71C5346A-CE74-4315-941C-E119401514EE}">
            <xm:f>Calculations!$D$15</xm:f>
            <x14:dxf>
              <fill>
                <patternFill>
                  <bgColor rgb="FFFF0000"/>
                </patternFill>
              </fill>
            </x14:dxf>
          </x14:cfRule>
          <xm:sqref>B21</xm:sqref>
        </x14:conditionalFormatting>
        <x14:conditionalFormatting xmlns:xm="http://schemas.microsoft.com/office/excel/2006/main">
          <x14:cfRule type="expression" priority="98" id="{72F261F3-C112-49B4-9B33-09E9FE7FF750}">
            <xm:f>Calculations!$D$139=1</xm:f>
            <x14:dxf>
              <fill>
                <patternFill>
                  <bgColor rgb="FFFF0000"/>
                </patternFill>
              </fill>
            </x14:dxf>
          </x14:cfRule>
          <xm:sqref>B118</xm:sqref>
        </x14:conditionalFormatting>
        <x14:conditionalFormatting xmlns:xm="http://schemas.microsoft.com/office/excel/2006/main">
          <x14:cfRule type="expression" priority="99" id="{DE18DFA1-F8B7-4BDD-8B82-246AAAD06FE9}">
            <xm:f>Calculations!$D$142=1</xm:f>
            <x14:dxf>
              <fill>
                <patternFill>
                  <bgColor rgb="FFFF0000"/>
                </patternFill>
              </fill>
            </x14:dxf>
          </x14:cfRule>
          <xm:sqref>B121</xm:sqref>
        </x14:conditionalFormatting>
        <x14:conditionalFormatting xmlns:xm="http://schemas.microsoft.com/office/excel/2006/main">
          <x14:cfRule type="expression" priority="6" id="{E0AF23A0-C035-4129-BA83-BB84123512E7}">
            <xm:f>Calculations!$D$152</xm:f>
            <x14:dxf>
              <fill>
                <patternFill>
                  <bgColor rgb="FFFF0000"/>
                </patternFill>
              </fill>
            </x14:dxf>
          </x14:cfRule>
          <xm:sqref>B132</xm:sqref>
        </x14:conditionalFormatting>
        <x14:conditionalFormatting xmlns:xm="http://schemas.microsoft.com/office/excel/2006/main">
          <x14:cfRule type="expression" priority="5" id="{9DC73A9C-A17D-41DA-BF5E-1B70CEDA74DD}">
            <xm:f>Calculations!$D$155</xm:f>
            <x14:dxf>
              <fill>
                <patternFill>
                  <bgColor rgb="FFFF0000"/>
                </patternFill>
              </fill>
            </x14:dxf>
          </x14:cfRule>
          <xm:sqref>B135</xm:sqref>
        </x14:conditionalFormatting>
        <x14:conditionalFormatting xmlns:xm="http://schemas.microsoft.com/office/excel/2006/main">
          <x14:cfRule type="expression" priority="4" id="{EBA98BB0-569E-42C2-8F9B-11318F2B3C69}">
            <xm:f>Calculations!$D$156</xm:f>
            <x14:dxf>
              <fill>
                <patternFill>
                  <bgColor rgb="FFFF0000"/>
                </patternFill>
              </fill>
            </x14:dxf>
          </x14:cfRule>
          <xm:sqref>B136</xm:sqref>
        </x14:conditionalFormatting>
        <x14:conditionalFormatting xmlns:xm="http://schemas.microsoft.com/office/excel/2006/main">
          <x14:cfRule type="expression" priority="3" id="{45C6D6DC-EAAF-48DA-9322-F9561F33DAA9}">
            <xm:f>Calculations!$D$217</xm:f>
            <x14:dxf>
              <fill>
                <patternFill>
                  <bgColor rgb="FFFF0000"/>
                </patternFill>
              </fill>
            </x14:dxf>
          </x14:cfRule>
          <xm:sqref>B168</xm:sqref>
        </x14:conditionalFormatting>
        <x14:conditionalFormatting xmlns:xm="http://schemas.microsoft.com/office/excel/2006/main">
          <x14:cfRule type="expression" priority="24" id="{9FA85335-EB2E-48A9-A7D7-C07E978031A2}">
            <xm:f>Calculations!$B$88=1</xm:f>
            <x14:dxf>
              <font>
                <strike/>
              </font>
              <fill>
                <patternFill>
                  <bgColor theme="0" tint="-0.24994659260841701"/>
                </patternFill>
              </fill>
            </x14:dxf>
          </x14:cfRule>
          <xm:sqref>B70:C80</xm:sqref>
        </x14:conditionalFormatting>
        <x14:conditionalFormatting xmlns:xm="http://schemas.microsoft.com/office/excel/2006/main">
          <x14:cfRule type="expression" priority="23" id="{8E159F03-0D07-4EAA-A69E-27DBA1022A36}">
            <xm:f>Calculations!$B$88=0</xm:f>
            <x14:dxf>
              <font>
                <strike/>
              </font>
              <fill>
                <patternFill>
                  <bgColor theme="0" tint="-0.24994659260841701"/>
                </patternFill>
              </fill>
            </x14:dxf>
          </x14:cfRule>
          <xm:sqref>B82:C82 B85:C85</xm:sqref>
        </x14:conditionalFormatting>
        <x14:conditionalFormatting xmlns:xm="http://schemas.microsoft.com/office/excel/2006/main">
          <x14:cfRule type="expression" priority="96" id="{07FC6EAE-5778-4309-937A-687AA588D44B}">
            <xm:f>Calculations!$B$115=0</xm:f>
            <x14:dxf>
              <font>
                <strike/>
              </font>
              <fill>
                <patternFill>
                  <bgColor theme="0" tint="-0.24994659260841701"/>
                </patternFill>
              </fill>
            </x14:dxf>
          </x14:cfRule>
          <xm:sqref>B91:C102</xm:sqref>
        </x14:conditionalFormatting>
        <x14:conditionalFormatting xmlns:xm="http://schemas.microsoft.com/office/excel/2006/main">
          <x14:cfRule type="expression" priority="2" id="{9FC0A7E8-5F9A-44ED-A30D-4661B538CF91}">
            <xm:f>Calculations!$B$120=0</xm:f>
            <x14:dxf>
              <font>
                <strike/>
              </font>
              <fill>
                <patternFill>
                  <bgColor theme="0" tint="-0.24994659260841701"/>
                </patternFill>
              </fill>
            </x14:dxf>
          </x14:cfRule>
          <xm:sqref>B96:C98</xm:sqref>
        </x14:conditionalFormatting>
        <x14:conditionalFormatting xmlns:xm="http://schemas.microsoft.com/office/excel/2006/main">
          <x14:cfRule type="expression" priority="97" id="{6C6BBDF6-48B1-4593-9A50-F8BCAE673E59}">
            <xm:f>Calculations!$B$151=0</xm:f>
            <x14:dxf>
              <font>
                <strike/>
              </font>
              <fill>
                <patternFill>
                  <bgColor theme="0" tint="-0.14996795556505021"/>
                </patternFill>
              </fill>
            </x14:dxf>
          </x14:cfRule>
          <xm:sqref>B132:C134</xm:sqref>
        </x14:conditionalFormatting>
        <x14:conditionalFormatting xmlns:xm="http://schemas.microsoft.com/office/excel/2006/main">
          <x14:cfRule type="expression" priority="18" id="{C1139A9E-2F83-4A8B-AFCA-C2AE036E7CC9}">
            <xm:f>Calculations!$B$151=0</xm:f>
            <x14:dxf>
              <fill>
                <patternFill>
                  <bgColor rgb="FF92D050"/>
                </patternFill>
              </fill>
            </x14:dxf>
          </x14:cfRule>
          <xm:sqref>E130:G130</xm:sqref>
        </x14:conditionalFormatting>
        <x14:conditionalFormatting xmlns:xm="http://schemas.microsoft.com/office/excel/2006/main">
          <x14:cfRule type="expression" priority="19" id="{B2366107-DEDD-43B4-8250-079DE7E01FE3}">
            <xm:f>AND(Calculations!$B$115=1,Calculations!$B$120=0)</xm:f>
            <x14:dxf>
              <fill>
                <patternFill>
                  <bgColor rgb="FF92D050"/>
                </patternFill>
              </fill>
            </x14:dxf>
          </x14:cfRule>
          <xm:sqref>F90:H90</xm:sqref>
        </x14:conditionalFormatting>
        <x14:conditionalFormatting xmlns:xm="http://schemas.microsoft.com/office/excel/2006/main">
          <x14:cfRule type="expression" priority="17" id="{1B9613E3-4134-43B0-9DBF-4369EB83EEF7}">
            <xm:f>Calculations!$B$151=1</xm:f>
            <x14:dxf>
              <fill>
                <patternFill>
                  <bgColor rgb="FF92D050"/>
                </patternFill>
              </fill>
            </x14:dxf>
          </x14:cfRule>
          <xm:sqref>I130:K130</xm:sqref>
        </x14:conditionalFormatting>
        <x14:conditionalFormatting xmlns:xm="http://schemas.microsoft.com/office/excel/2006/main">
          <x14:cfRule type="expression" priority="20" id="{786F59AD-C9E6-4F8B-90AE-0B028E1196B9}">
            <xm:f>AND(Calculations!$B$115=1,Calculations!$B$120=1)</xm:f>
            <x14:dxf>
              <fill>
                <patternFill>
                  <bgColor rgb="FF92D050"/>
                </patternFill>
              </fill>
            </x14:dxf>
          </x14:cfRule>
          <xm:sqref>K90:M90</xm:sqref>
        </x14:conditionalFormatting>
        <x14:conditionalFormatting xmlns:xm="http://schemas.microsoft.com/office/excel/2006/main">
          <x14:cfRule type="expression" priority="21" id="{54930C2E-2079-4682-986C-14AD37D2ED3C}">
            <xm:f>Calculations!$B$115=0</xm:f>
            <x14:dxf>
              <fill>
                <patternFill>
                  <bgColor rgb="FF92D050"/>
                </patternFill>
              </fill>
            </x14:dxf>
          </x14:cfRule>
          <xm:sqref>Q90:R90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Lists!$A$2:$A$3</xm:f>
          </x14:formula1>
          <xm:sqref>B90</xm:sqref>
        </x14:dataValidation>
        <x14:dataValidation type="list" allowBlank="1" showInputMessage="1" xr:uid="{00000000-0002-0000-0000-000001000000}">
          <x14:formula1>
            <xm:f>Lists!$E$2:$E$3</xm:f>
          </x14:formula1>
          <xm:sqref>B118</xm:sqref>
        </x14:dataValidation>
        <x14:dataValidation type="list" allowBlank="1" showInputMessage="1" showErrorMessage="1" xr:uid="{00000000-0002-0000-0000-000002000000}">
          <x14:formula1>
            <xm:f>Lists!$C$2:$C$3</xm:f>
          </x14:formula1>
          <xm:sqref>B95</xm:sqref>
        </x14:dataValidation>
        <x14:dataValidation type="list" allowBlank="1" showInputMessage="1" showErrorMessage="1" xr:uid="{00000000-0002-0000-0000-000003000000}">
          <x14:formula1>
            <xm:f>Lists!$G$2:$G$3</xm:f>
          </x14:formula1>
          <xm:sqref>B131</xm:sqref>
        </x14:dataValidation>
        <x14:dataValidation type="list" allowBlank="1" showInputMessage="1" xr:uid="{05B91AF7-E001-4F6F-AE04-99DC3175DBA3}">
          <x14:formula1>
            <xm:f>Lists!$I$2</xm:f>
          </x14:formula1>
          <xm:sqref>B72</xm:sqref>
        </x14:dataValidation>
        <x14:dataValidation type="list" allowBlank="1" showInputMessage="1" showErrorMessage="1" xr:uid="{B9C60565-926B-483A-B3F0-35800059DD89}">
          <x14:formula1>
            <xm:f>Lists!$K$2:$K$3</xm:f>
          </x14:formula1>
          <xm:sqref>B68:C68</xm:sqref>
        </x14:dataValidation>
        <x14:dataValidation type="list" allowBlank="1" showInputMessage="1" showErrorMessage="1" xr:uid="{EEE0EE38-0706-4442-9714-C014CB5CD422}">
          <x14:formula1>
            <xm:f>Lists!$M$2:$M$9</xm:f>
          </x14:formula1>
          <xm:sqref>B141:C141</xm:sqref>
        </x14:dataValidation>
        <x14:dataValidation type="list" allowBlank="1" showInputMessage="1" showErrorMessage="1" xr:uid="{2FD00823-EC59-439A-BE93-F5D8F6D2D154}">
          <x14:formula1>
            <xm:f>Lists!$N$9:$N$10</xm:f>
          </x14:formula1>
          <xm:sqref>B142:C142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P274"/>
  <sheetViews>
    <sheetView topLeftCell="A214" zoomScaleNormal="100" workbookViewId="0">
      <selection activeCell="B241" sqref="B241"/>
    </sheetView>
  </sheetViews>
  <sheetFormatPr defaultRowHeight="14.4"/>
  <cols>
    <col min="1" max="1" width="46.44140625" style="34" customWidth="1"/>
    <col min="2" max="2" width="25" style="33" bestFit="1" customWidth="1"/>
    <col min="3" max="3" width="10" style="34" bestFit="1" customWidth="1"/>
    <col min="4" max="4" width="10.33203125" style="34" bestFit="1" customWidth="1"/>
    <col min="5" max="5" width="10.33203125" style="34" customWidth="1"/>
    <col min="6" max="11" width="10.33203125" customWidth="1"/>
    <col min="12" max="12" width="10.88671875" bestFit="1" customWidth="1"/>
    <col min="15" max="15" width="10.44140625" customWidth="1"/>
    <col min="16" max="16" width="12" bestFit="1" customWidth="1"/>
    <col min="17" max="17" width="9.44140625" customWidth="1"/>
    <col min="18" max="19" width="12" customWidth="1"/>
    <col min="20" max="20" width="11.44140625" customWidth="1"/>
    <col min="29" max="29" width="11" customWidth="1"/>
    <col min="32" max="32" width="12.33203125" customWidth="1"/>
    <col min="56" max="56" width="9.109375" customWidth="1"/>
    <col min="59" max="59" width="9.109375" customWidth="1"/>
  </cols>
  <sheetData>
    <row r="2" spans="1:39">
      <c r="N2" t="s">
        <v>28</v>
      </c>
    </row>
    <row r="3" spans="1:39" ht="15" thickBot="1"/>
    <row r="4" spans="1:39">
      <c r="P4" s="249" t="s">
        <v>280</v>
      </c>
      <c r="Q4" s="250"/>
      <c r="R4" s="250"/>
      <c r="S4" s="251"/>
      <c r="T4" s="249" t="s">
        <v>24</v>
      </c>
      <c r="U4" s="250"/>
      <c r="V4" s="250"/>
      <c r="W4" s="251"/>
      <c r="X4" s="249" t="s">
        <v>71</v>
      </c>
      <c r="Y4" s="250"/>
      <c r="Z4" s="250"/>
      <c r="AA4" s="251"/>
      <c r="AB4" s="249" t="s">
        <v>281</v>
      </c>
      <c r="AC4" s="250"/>
      <c r="AD4" s="250"/>
      <c r="AE4" s="251"/>
      <c r="AF4" s="249" t="s">
        <v>282</v>
      </c>
      <c r="AG4" s="250"/>
      <c r="AH4" s="250"/>
      <c r="AI4" s="251"/>
      <c r="AJ4" s="249" t="s">
        <v>283</v>
      </c>
      <c r="AK4" s="250"/>
      <c r="AL4" s="250"/>
      <c r="AM4" s="251"/>
    </row>
    <row r="5" spans="1:39" ht="43.2">
      <c r="D5" s="42" t="s">
        <v>86</v>
      </c>
      <c r="F5" s="2"/>
      <c r="G5" s="2"/>
      <c r="H5" s="2"/>
      <c r="I5" s="2"/>
      <c r="J5" s="2"/>
      <c r="K5" s="2"/>
      <c r="N5" t="s">
        <v>11</v>
      </c>
      <c r="O5" s="20" t="s">
        <v>25</v>
      </c>
      <c r="P5" s="3" t="s">
        <v>15</v>
      </c>
      <c r="Q5" s="2" t="s">
        <v>14</v>
      </c>
      <c r="R5" s="2" t="s">
        <v>13</v>
      </c>
      <c r="S5" s="4" t="s">
        <v>12</v>
      </c>
      <c r="T5" s="3" t="s">
        <v>15</v>
      </c>
      <c r="U5" s="2" t="s">
        <v>14</v>
      </c>
      <c r="V5" s="2" t="s">
        <v>13</v>
      </c>
      <c r="W5" s="4" t="s">
        <v>12</v>
      </c>
      <c r="X5" s="3" t="s">
        <v>15</v>
      </c>
      <c r="Y5" s="2" t="s">
        <v>14</v>
      </c>
      <c r="Z5" s="2" t="s">
        <v>13</v>
      </c>
      <c r="AA5" s="4" t="s">
        <v>12</v>
      </c>
      <c r="AB5" s="3" t="s">
        <v>15</v>
      </c>
      <c r="AC5" s="2" t="s">
        <v>14</v>
      </c>
      <c r="AD5" s="2" t="s">
        <v>13</v>
      </c>
      <c r="AE5" s="4" t="s">
        <v>12</v>
      </c>
      <c r="AF5" s="3" t="s">
        <v>15</v>
      </c>
      <c r="AG5" s="2" t="s">
        <v>14</v>
      </c>
      <c r="AH5" s="2" t="s">
        <v>13</v>
      </c>
      <c r="AI5" s="4" t="s">
        <v>12</v>
      </c>
      <c r="AJ5" s="3" t="s">
        <v>15</v>
      </c>
      <c r="AK5" s="2" t="s">
        <v>14</v>
      </c>
      <c r="AL5" s="2" t="s">
        <v>13</v>
      </c>
      <c r="AM5" s="4" t="s">
        <v>12</v>
      </c>
    </row>
    <row r="6" spans="1:39">
      <c r="A6" s="259" t="s">
        <v>107</v>
      </c>
      <c r="B6" s="259"/>
      <c r="C6" s="259"/>
      <c r="E6" s="64" t="s">
        <v>272</v>
      </c>
      <c r="N6">
        <v>0</v>
      </c>
      <c r="O6">
        <f t="shared" ref="O6:O37" si="0">N6/Rcs</f>
        <v>0</v>
      </c>
      <c r="P6" s="5">
        <f t="shared" ref="P6:P37" si="1">IF($O6&lt;((V48_Min-V12_Nom)*V12_Nom)/((2*Lm*Fsw)*V48_Min),SQRT((2*$O6*Lm*Fsw*V12_Nom)/(V48_Min*(V48_Min-V12_Nom))),(V12_Nom/V48_Min))</f>
        <v>0</v>
      </c>
      <c r="Q6" s="1">
        <f t="shared" ref="Q6:Q37" si="2">IF($O6&lt;((V48_Min-V12_Nom)*V12_Nom)/((2*Lm*Fsw)*V48_Min),SQRT((2*$O6*Lm*Fsw*V12_Nom)/(V48_Min*(V48_Min-V12_Nom)))*((V48_Min-V12_Nom)/(V12_Nom)),1-(V12_Nom/V48_Min))</f>
        <v>0</v>
      </c>
      <c r="R6" s="1">
        <f t="shared" ref="R6:R37" si="3">IF($O6&lt;((V48_Min-V12_Nom)*V12_Nom)/((2*Lm*Fsw)*V48_Min),(P6/(Fsw*Lm))*(V48_Min-V12_Nom),((P6/(Fsw*Lm))*(V48_Min-V12_Nom)))</f>
        <v>0</v>
      </c>
      <c r="S6" s="6">
        <f t="shared" ref="S6:S37" si="4">IF($O6&lt;((V48_Min-V12_Nom)*V12_Nom)/((2*Lm*Fsw)*V48_Min),(P6/(Fsw*Lm))*(V48_Min-V12_Nom),(R6/2)+$O6)</f>
        <v>0</v>
      </c>
      <c r="T6" s="5">
        <f t="shared" ref="T6:T37" si="5">IF($O6&lt;((V48_Nom-V12_Nom)*V12_Nom)/((2*Lm*Fsw)*V48_Nom),SQRT((2*$O6*Lm*Fsw*V12_Nom)/(V48_Nom*(V48_Nom-V12_Nom))),(V12_Nom/V48_Nom))</f>
        <v>0</v>
      </c>
      <c r="U6" s="1">
        <f t="shared" ref="U6:U37" si="6">IF($O6&lt;((V48_Nom-V12_Nom)*V12_Nom)/((2*Lm*Fsw)*V48_Nom),SQRT((2*$O6*Lm*Fsw*V12_Nom)/(V48_Nom*(V48_Nom-V12_Nom)))*((V48_Nom-V12_Nom)/(V12_Nom)),1-(V12_Nom/V48_Nom))</f>
        <v>0</v>
      </c>
      <c r="V6" s="1">
        <f t="shared" ref="V6:V37" si="7">IF($O6&lt;((V48_Nom-V12_Nom)*V12_Nom)/((2*Lm*Fsw)*V48_Nom),(T6/(Fsw*Lm))*(V48_Nom-V12_Nom),((T6/(Fsw*Lm))*(V48_Nom-V12_Nom)))</f>
        <v>0</v>
      </c>
      <c r="W6" s="6">
        <f t="shared" ref="W6:W37" si="8">IF($O6&lt;((V48_Nom-V12_Nom)*V12_Nom)/((2*Lm*Fsw)*V48_Nom),(T6/(Fsw*Lm))*(V48_Nom-V12_Nom),(V6/2)+$O6)</f>
        <v>0</v>
      </c>
      <c r="X6" s="5">
        <f t="shared" ref="X6:X37" si="9">IF($O6&lt;((V48_Max-V12_Nom)*V12_Nom)/((2*Lm*Fsw)*V48_Max),SQRT((2*$O6*Lm*Fsw*V12_Nom)/(V48_Max*(V48_Max-V12_Nom))),(V12_Nom/V48_Max))</f>
        <v>0</v>
      </c>
      <c r="Y6" s="1">
        <f t="shared" ref="Y6:Y37" si="10">IF($O6&lt;((V48_Max-V12_Nom)*V12_Nom)/((2*Lm*Fsw)*V48_Max),SQRT((2*$O6*Lm*Fsw*V12_Nom)/(V48_Max*(V48_Max-V12_Nom)))*((V48_Max-V12_Nom)/(V12_Nom)),1-(V12_Nom/V48_Max))</f>
        <v>0</v>
      </c>
      <c r="Z6" s="1">
        <f t="shared" ref="Z6:Z37" si="11">IF($O6&lt;((V48_Max-V12_Nom)*V12_Nom)/((2*Lm*Fsw)*V48_Max),(X6/(Fsw*Lm))*(V48_Max-V12_Nom),((X6/(Fsw*Lm))*(V48_Max-V12_Nom)))</f>
        <v>0</v>
      </c>
      <c r="AA6" s="6">
        <f t="shared" ref="AA6:AA37" si="12">IF($O6&lt;((V48_Max-V12_Nom)*V12_Nom)/((2*Lm*Fsw)*V48_Max),(X6/(Fsw*Lm))*(V48_Max-V12_Nom),(Z6/2)+$O6)</f>
        <v>0</v>
      </c>
      <c r="AB6" s="5">
        <f t="shared" ref="AB6:AB37" si="13">IF($O6&lt;((V48_Nom-V12_Min)*V12_Min)/((2*Lm*Fsw)*V48_Nom),SQRT((2*$O6*Lm*Fsw*V12_Min)/(V48_Nom*(V48_Nom-V12_Min))),(V12_Min/V48_Nom))</f>
        <v>0</v>
      </c>
      <c r="AC6" s="1">
        <f t="shared" ref="AC6:AC37" si="14">IF($O6&lt;((V48_Nom-V12_Min)*V12_Min)/((2*Lm*Fsw)*V48_Nom),SQRT((2*$O6*Lm*Fsw*V12_Min)/(V48_Nom*(V48_Nom-V12_Min)))*((V48_Nom-V12_Min)/(V12_Min)),1-(V12_Min/V48_Nom))</f>
        <v>0</v>
      </c>
      <c r="AD6" s="1">
        <f t="shared" ref="AD6:AD37" si="15">IF($O6&lt;((V48_Nom-V12_Min)*V12_Min)/((2*Lm*Fsw)*V48_Nom),(AB6/(Fsw*Lm))*(V48_Nom-V12_Min),((AB6/(Fsw*Lm))*(V48_Nom-V12_Min)))</f>
        <v>0</v>
      </c>
      <c r="AE6" s="6">
        <f t="shared" ref="AE6:AE37" si="16">IF($O6&lt;((V48_Nom-V12_Min)*V12_Min)/((2*Lm*Fsw)*V48_Nom),(AB6/(Fsw*Lm))*(V48_Nom-V12_Min),(AD6/2)+$O6)</f>
        <v>0</v>
      </c>
      <c r="AF6" s="5">
        <f t="shared" ref="AF6:AF56" si="17">IF($O6&lt;((V48_Nom-V12_Nom)*V12_Nom)/((2*Lm*Fsw)*V48_Nom),SQRT((2*$O6*Lm*Fsw*V12_Nom)/(V48_Nom*(V48_Nom-V12_Nom))),(V12_Nom/V48_Nom))</f>
        <v>0</v>
      </c>
      <c r="AG6" s="1">
        <f t="shared" ref="AG6:AG56" si="18">IF($O6&lt;((V48_Nom-V12_Nom)*V12_Nom)/((2*Lm*Fsw)*V48_Nom),SQRT((2*$O6*Lm*Fsw*V12_Nom)/(V48_Nom*(V48_Nom-V12_Nom)))*((V48_Nom-V12_Nom)/(V12_Nom)),1-(V12_Nom/V48_Nom))</f>
        <v>0</v>
      </c>
      <c r="AH6" s="1">
        <f>IF($O6&lt;((V48_Nom-V12_Nom)*V12_Nom)/((2*Lm*Fsw)*V48_Nom),(AF6/(Fsw*Lm))*(V48_Nom-V12_Nom),((AF6/(Fsw*Lm))*(V48_Nom-V12_Nom)))</f>
        <v>0</v>
      </c>
      <c r="AI6" s="6">
        <f>IF($O6&lt;((V48_Nom-V12_Nom)*V12_Nom)/((2*Lm*Fsw)*V48_Nom),(AF6/(Fsw*Lm))*(V48_Nom-V12_Nom),(AH6/2)+$O6)</f>
        <v>0</v>
      </c>
      <c r="AJ6" s="5">
        <f t="shared" ref="AJ6:AJ37" si="19">IF($O6&lt;((V48_Nom-V12_Max)*V12_Max)/((2*Lm*Fsw)*V48_Nom),SQRT((2*$O6*Lm*Fsw*V12_Max)/(V48_Nom*(V48_Nom-V12_Max))),(V12_Max/V48_Nom))</f>
        <v>0</v>
      </c>
      <c r="AK6" s="1">
        <f t="shared" ref="AK6:AK37" si="20">IF($O6&lt;((V48_Nom-V12_Max)*V12_Max)/((2*Lm*Fsw)*V48_Nom),SQRT((2*$O6*Lm*Fsw*V12_Max)/(V48_Nom*(V48_Nom-V12_Max)))*((V48_Nom-V12_Max)/(V12_Max)),1-(V12_Max/V48_Nom))</f>
        <v>0</v>
      </c>
      <c r="AL6" s="1">
        <f t="shared" ref="AL6:AL37" si="21">IF($O6&lt;((V48_Nom-V12_Max)*V12_Max)/((2*Lm*Fsw)*V48_Nom),(AJ6/(Fsw*Lm))*(V48_Nom-V12_Max),((AJ6/(Fsw*Lm))*(V48_Nom-V12_Max)))</f>
        <v>0</v>
      </c>
      <c r="AM6" s="6">
        <f t="shared" ref="AM6:AM37" si="22">IF($O6&lt;((V48_Nom-V12_Max)*V12_Max)/((2*Lm*Fsw)*V48_Nom),(AJ6/(Fsw*Lm))*(V48_Nom-V12_Max),(AL6/2)+$O6)</f>
        <v>0</v>
      </c>
    </row>
    <row r="7" spans="1:39">
      <c r="A7" s="31" t="s">
        <v>99</v>
      </c>
      <c r="B7" s="43">
        <f>Design_Converter!B11</f>
        <v>11</v>
      </c>
      <c r="C7" s="31" t="s">
        <v>1</v>
      </c>
      <c r="D7" s="34">
        <f>IF(OR(B7&lt;Constants!B38,B7&gt;Constants!D38),1,0)</f>
        <v>0</v>
      </c>
      <c r="E7" s="34" t="s">
        <v>108</v>
      </c>
      <c r="I7" s="36"/>
      <c r="J7" t="s">
        <v>115</v>
      </c>
      <c r="N7">
        <v>1E-3</v>
      </c>
      <c r="O7">
        <f t="shared" si="0"/>
        <v>0.25</v>
      </c>
      <c r="P7" s="5">
        <f t="shared" si="1"/>
        <v>0.14774275643131232</v>
      </c>
      <c r="Q7" s="1">
        <f t="shared" si="2"/>
        <v>0.34473309833972876</v>
      </c>
      <c r="R7" s="1">
        <f t="shared" si="3"/>
        <v>1.0152782012682775</v>
      </c>
      <c r="S7" s="6">
        <f t="shared" si="4"/>
        <v>1.0152782012682775</v>
      </c>
      <c r="T7" s="5">
        <f t="shared" si="5"/>
        <v>0.13307536107085313</v>
      </c>
      <c r="U7" s="1">
        <f t="shared" si="6"/>
        <v>0.35083504282315825</v>
      </c>
      <c r="V7" s="1">
        <f t="shared" si="7"/>
        <v>1.0332491221030093</v>
      </c>
      <c r="W7" s="6">
        <f t="shared" si="8"/>
        <v>1.0332491221030093</v>
      </c>
      <c r="X7" s="5">
        <f t="shared" si="9"/>
        <v>0.12108500366523114</v>
      </c>
      <c r="Y7" s="1">
        <f t="shared" si="10"/>
        <v>0.35591652592507339</v>
      </c>
      <c r="Z7" s="1">
        <f t="shared" si="11"/>
        <v>1.0482146680524247</v>
      </c>
      <c r="AA7" s="6">
        <f t="shared" si="12"/>
        <v>1.0482146680524247</v>
      </c>
      <c r="AB7" s="5">
        <f t="shared" si="13"/>
        <v>0.1247497494987465</v>
      </c>
      <c r="AC7" s="1">
        <f t="shared" si="14"/>
        <v>0.37424924849623947</v>
      </c>
      <c r="AD7" s="1">
        <f t="shared" si="15"/>
        <v>1.002006020070253</v>
      </c>
      <c r="AE7" s="6">
        <f t="shared" si="16"/>
        <v>1.002006020070253</v>
      </c>
      <c r="AF7" s="5">
        <f t="shared" si="17"/>
        <v>0.13307536107085313</v>
      </c>
      <c r="AG7" s="1">
        <f t="shared" si="18"/>
        <v>0.35083504282315825</v>
      </c>
      <c r="AH7" s="1">
        <f t="shared" ref="AH7:AH56" si="23">IF($O7&lt;((V48_Nom-V12_Nom)*V12_Nom)/((2*Lm*Fsw)*V48_Nom),(AF7/(Fsw*Lm))*(V48_Nom-V12_Nom),((AF7/(Fsw*Lm))*(V48_Nom-V12_Nom)))</f>
        <v>1.0332491221030093</v>
      </c>
      <c r="AI7" s="6">
        <f t="shared" ref="AI7:AI56" si="24">IF($O7&lt;((V48_Nom-V12_Nom)*V12_Nom)/((2*Lm*Fsw)*V48_Nom),(AF7/(Fsw*Lm))*(V48_Nom-V12_Nom),(AH7/2)+$O7)</f>
        <v>1.0332491221030093</v>
      </c>
      <c r="AJ7" s="5">
        <f t="shared" si="19"/>
        <v>0.13865159467486249</v>
      </c>
      <c r="AK7" s="1">
        <f t="shared" si="20"/>
        <v>0.33672530135323747</v>
      </c>
      <c r="AL7" s="1">
        <f t="shared" si="21"/>
        <v>1.0517970144902553</v>
      </c>
      <c r="AM7" s="6">
        <f t="shared" si="22"/>
        <v>1.0517970144902553</v>
      </c>
    </row>
    <row r="8" spans="1:39">
      <c r="A8" s="31" t="s">
        <v>100</v>
      </c>
      <c r="B8" s="43">
        <f>Design_Converter!B12</f>
        <v>12</v>
      </c>
      <c r="C8" s="31" t="s">
        <v>1</v>
      </c>
      <c r="D8" s="34">
        <f>IF(OR(B8&lt;Constants!B38,B8&gt;Constants!D38),1,0)</f>
        <v>0</v>
      </c>
      <c r="E8" s="34" t="s">
        <v>109</v>
      </c>
      <c r="I8" s="37"/>
      <c r="J8" t="s">
        <v>116</v>
      </c>
      <c r="N8">
        <v>2E-3</v>
      </c>
      <c r="O8">
        <f t="shared" si="0"/>
        <v>0.5</v>
      </c>
      <c r="P8" s="5">
        <f t="shared" si="1"/>
        <v>0.20893980988754671</v>
      </c>
      <c r="Q8" s="1">
        <f t="shared" si="2"/>
        <v>0.48752622307094234</v>
      </c>
      <c r="R8" s="1">
        <f t="shared" si="3"/>
        <v>1.435820201815359</v>
      </c>
      <c r="S8" s="6">
        <f t="shared" si="4"/>
        <v>1.435820201815359</v>
      </c>
      <c r="T8" s="5">
        <f t="shared" si="5"/>
        <v>0.18819698044409711</v>
      </c>
      <c r="U8" s="1">
        <f t="shared" si="6"/>
        <v>0.49615567571625596</v>
      </c>
      <c r="V8" s="1">
        <f t="shared" si="7"/>
        <v>1.4612349217881702</v>
      </c>
      <c r="W8" s="6">
        <f t="shared" si="8"/>
        <v>1.4612349217881702</v>
      </c>
      <c r="X8" s="5">
        <f t="shared" si="9"/>
        <v>0.17124005438336581</v>
      </c>
      <c r="Y8" s="1">
        <f t="shared" si="10"/>
        <v>0.50334197803595404</v>
      </c>
      <c r="Z8" s="1">
        <f t="shared" si="11"/>
        <v>1.4823993998381508</v>
      </c>
      <c r="AA8" s="6">
        <f t="shared" si="12"/>
        <v>1.4823993998381508</v>
      </c>
      <c r="AB8" s="5">
        <f t="shared" si="13"/>
        <v>0.1764227876437735</v>
      </c>
      <c r="AC8" s="1">
        <f t="shared" si="14"/>
        <v>0.52926836293132051</v>
      </c>
      <c r="AD8" s="1">
        <f t="shared" si="15"/>
        <v>1.4170505031628391</v>
      </c>
      <c r="AE8" s="6">
        <f t="shared" si="16"/>
        <v>1.4170505031628391</v>
      </c>
      <c r="AF8" s="5">
        <f t="shared" si="17"/>
        <v>0.18819698044409711</v>
      </c>
      <c r="AG8" s="1">
        <f t="shared" si="18"/>
        <v>0.49615567571625596</v>
      </c>
      <c r="AH8" s="1">
        <f t="shared" si="23"/>
        <v>1.4612349217881702</v>
      </c>
      <c r="AI8" s="6">
        <f t="shared" si="24"/>
        <v>1.4612349217881702</v>
      </c>
      <c r="AJ8" s="5">
        <f t="shared" si="19"/>
        <v>0.19608296563384772</v>
      </c>
      <c r="AK8" s="1">
        <f t="shared" si="20"/>
        <v>0.47620148796791584</v>
      </c>
      <c r="AL8" s="1">
        <f t="shared" si="21"/>
        <v>1.4874656027556499</v>
      </c>
      <c r="AM8" s="6">
        <f t="shared" si="22"/>
        <v>1.4874656027556499</v>
      </c>
    </row>
    <row r="9" spans="1:39">
      <c r="A9" s="31" t="s">
        <v>101</v>
      </c>
      <c r="B9" s="43">
        <f>Design_Converter!B13</f>
        <v>13</v>
      </c>
      <c r="C9" s="31" t="s">
        <v>1</v>
      </c>
      <c r="D9" s="34">
        <f>IF(OR(B9&lt;Constants!B38,B9&gt;Constants!D38),1,0)</f>
        <v>0</v>
      </c>
      <c r="E9" s="34" t="s">
        <v>114</v>
      </c>
      <c r="I9" s="38"/>
      <c r="J9" t="s">
        <v>126</v>
      </c>
      <c r="N9">
        <v>3.0000000000000001E-3</v>
      </c>
      <c r="O9">
        <f t="shared" si="0"/>
        <v>0.75</v>
      </c>
      <c r="P9" s="5">
        <f t="shared" si="1"/>
        <v>0.25589796058930642</v>
      </c>
      <c r="Q9" s="1">
        <f t="shared" si="2"/>
        <v>0.59709524137504832</v>
      </c>
      <c r="R9" s="1">
        <f t="shared" si="3"/>
        <v>1.7585134284137969</v>
      </c>
      <c r="S9" s="6">
        <f t="shared" si="4"/>
        <v>1.7585134284137969</v>
      </c>
      <c r="T9" s="5">
        <f t="shared" si="5"/>
        <v>0.23049328661029111</v>
      </c>
      <c r="U9" s="1">
        <f t="shared" si="6"/>
        <v>0.60766411924531294</v>
      </c>
      <c r="V9" s="1">
        <f t="shared" si="7"/>
        <v>1.789639976358351</v>
      </c>
      <c r="W9" s="6">
        <f t="shared" si="8"/>
        <v>1.789639976358351</v>
      </c>
      <c r="X9" s="5">
        <f t="shared" si="9"/>
        <v>0.20972537838284408</v>
      </c>
      <c r="Y9" s="1">
        <f t="shared" si="10"/>
        <v>0.61646550615563256</v>
      </c>
      <c r="Z9" s="1">
        <f t="shared" si="11"/>
        <v>1.8155610623057452</v>
      </c>
      <c r="AA9" s="6">
        <f t="shared" si="12"/>
        <v>1.8155610623057452</v>
      </c>
      <c r="AB9" s="5">
        <f t="shared" si="13"/>
        <v>0.21607290436331902</v>
      </c>
      <c r="AC9" s="1">
        <f t="shared" si="14"/>
        <v>0.64821871308995704</v>
      </c>
      <c r="AD9" s="1">
        <f t="shared" si="15"/>
        <v>1.7355253362515581</v>
      </c>
      <c r="AE9" s="6">
        <f t="shared" si="16"/>
        <v>1.7355253362515581</v>
      </c>
      <c r="AF9" s="5">
        <f t="shared" si="17"/>
        <v>0.23049328661029111</v>
      </c>
      <c r="AG9" s="1">
        <f t="shared" si="18"/>
        <v>0.60766411924531294</v>
      </c>
      <c r="AH9" s="1">
        <f t="shared" si="23"/>
        <v>1.789639976358351</v>
      </c>
      <c r="AI9" s="6">
        <f t="shared" si="24"/>
        <v>1.789639976358351</v>
      </c>
      <c r="AJ9" s="5">
        <f t="shared" si="19"/>
        <v>0.24015160652730821</v>
      </c>
      <c r="AK9" s="1">
        <f t="shared" si="20"/>
        <v>0.58322533013774847</v>
      </c>
      <c r="AL9" s="1">
        <f t="shared" si="21"/>
        <v>1.8217658683463809</v>
      </c>
      <c r="AM9" s="6">
        <f t="shared" si="22"/>
        <v>1.8217658683463809</v>
      </c>
    </row>
    <row r="10" spans="1:39">
      <c r="A10" s="259" t="s">
        <v>110</v>
      </c>
      <c r="B10" s="259"/>
      <c r="C10" s="259"/>
      <c r="I10" s="39"/>
      <c r="J10" t="s">
        <v>133</v>
      </c>
      <c r="N10">
        <v>4.0000000000000001E-3</v>
      </c>
      <c r="O10">
        <f t="shared" si="0"/>
        <v>1</v>
      </c>
      <c r="P10" s="5">
        <f t="shared" si="1"/>
        <v>0.29548551286262464</v>
      </c>
      <c r="Q10" s="1">
        <f t="shared" si="2"/>
        <v>0.68946619667945752</v>
      </c>
      <c r="R10" s="1">
        <f t="shared" si="3"/>
        <v>2.030556402536555</v>
      </c>
      <c r="S10" s="6">
        <f t="shared" si="4"/>
        <v>2.030556402536555</v>
      </c>
      <c r="T10" s="5">
        <f t="shared" si="5"/>
        <v>0.26615072214170626</v>
      </c>
      <c r="U10" s="1">
        <f t="shared" si="6"/>
        <v>0.7016700856463165</v>
      </c>
      <c r="V10" s="1">
        <f t="shared" si="7"/>
        <v>2.0664982442060187</v>
      </c>
      <c r="W10" s="6">
        <f t="shared" si="8"/>
        <v>2.0664982442060187</v>
      </c>
      <c r="X10" s="5">
        <f t="shared" si="9"/>
        <v>0.24217000733046229</v>
      </c>
      <c r="Y10" s="1">
        <f t="shared" si="10"/>
        <v>0.71183305185014678</v>
      </c>
      <c r="Z10" s="1">
        <f t="shared" si="11"/>
        <v>2.0964293361048494</v>
      </c>
      <c r="AA10" s="6">
        <f t="shared" si="12"/>
        <v>2.0964293361048494</v>
      </c>
      <c r="AB10" s="5">
        <f t="shared" si="13"/>
        <v>0.24949949899749299</v>
      </c>
      <c r="AC10" s="1">
        <f t="shared" si="14"/>
        <v>0.74849849699247895</v>
      </c>
      <c r="AD10" s="1">
        <f t="shared" si="15"/>
        <v>2.0040120401405059</v>
      </c>
      <c r="AE10" s="6">
        <f t="shared" si="16"/>
        <v>2.0040120401405059</v>
      </c>
      <c r="AF10" s="5">
        <f t="shared" si="17"/>
        <v>0.26615072214170626</v>
      </c>
      <c r="AG10" s="1">
        <f t="shared" si="18"/>
        <v>0.7016700856463165</v>
      </c>
      <c r="AH10" s="1">
        <f t="shared" si="23"/>
        <v>2.0664982442060187</v>
      </c>
      <c r="AI10" s="6">
        <f t="shared" si="24"/>
        <v>2.0664982442060187</v>
      </c>
      <c r="AJ10" s="5">
        <f t="shared" si="19"/>
        <v>0.27730318934972498</v>
      </c>
      <c r="AK10" s="1">
        <f t="shared" si="20"/>
        <v>0.67345060270647494</v>
      </c>
      <c r="AL10" s="1">
        <f t="shared" si="21"/>
        <v>2.1035940289805106</v>
      </c>
      <c r="AM10" s="6">
        <f t="shared" si="22"/>
        <v>2.1035940289805106</v>
      </c>
    </row>
    <row r="11" spans="1:39">
      <c r="A11" s="31" t="s">
        <v>72</v>
      </c>
      <c r="B11" s="43">
        <f>Design_Converter!B16</f>
        <v>3</v>
      </c>
      <c r="C11" s="31" t="s">
        <v>1</v>
      </c>
      <c r="D11" s="34">
        <f>IF(OR(B11&lt;Constants!B36,B11&gt;Constants!D36),1,0)</f>
        <v>0</v>
      </c>
      <c r="E11" s="34" t="s">
        <v>111</v>
      </c>
      <c r="N11">
        <v>5.0000000000000001E-3</v>
      </c>
      <c r="O11">
        <f t="shared" si="0"/>
        <v>1.25</v>
      </c>
      <c r="P11" s="5">
        <f t="shared" si="1"/>
        <v>0.3</v>
      </c>
      <c r="Q11" s="1">
        <f t="shared" si="2"/>
        <v>0.7</v>
      </c>
      <c r="R11" s="1">
        <f t="shared" si="3"/>
        <v>2.0615796519410976</v>
      </c>
      <c r="S11" s="6">
        <f t="shared" si="4"/>
        <v>2.2807898259705488</v>
      </c>
      <c r="T11" s="5">
        <f t="shared" si="5"/>
        <v>0.27499999999999997</v>
      </c>
      <c r="U11" s="1">
        <f t="shared" si="6"/>
        <v>0.72500000000000009</v>
      </c>
      <c r="V11" s="1">
        <f t="shared" si="7"/>
        <v>2.1352074966532792</v>
      </c>
      <c r="W11" s="6">
        <f t="shared" si="8"/>
        <v>2.3176037483266398</v>
      </c>
      <c r="X11" s="5">
        <f t="shared" si="9"/>
        <v>0.25384615384615383</v>
      </c>
      <c r="Y11" s="1">
        <f t="shared" si="10"/>
        <v>0.74615384615384617</v>
      </c>
      <c r="Z11" s="1">
        <f t="shared" si="11"/>
        <v>2.1975079806405104</v>
      </c>
      <c r="AA11" s="6">
        <f t="shared" si="12"/>
        <v>2.3487539903202554</v>
      </c>
      <c r="AB11" s="5">
        <f t="shared" si="13"/>
        <v>0.25</v>
      </c>
      <c r="AC11" s="1">
        <f t="shared" si="14"/>
        <v>0.75</v>
      </c>
      <c r="AD11" s="1">
        <f t="shared" si="15"/>
        <v>2.0080321285140559</v>
      </c>
      <c r="AE11" s="6">
        <f t="shared" si="16"/>
        <v>2.2540160642570282</v>
      </c>
      <c r="AF11" s="5">
        <f t="shared" si="17"/>
        <v>0.27499999999999997</v>
      </c>
      <c r="AG11" s="1">
        <f t="shared" si="18"/>
        <v>0.72500000000000009</v>
      </c>
      <c r="AH11" s="1">
        <f t="shared" si="23"/>
        <v>2.1352074966532792</v>
      </c>
      <c r="AI11" s="6">
        <f t="shared" si="24"/>
        <v>2.3176037483266398</v>
      </c>
      <c r="AJ11" s="5">
        <f t="shared" si="19"/>
        <v>0.29166666666666669</v>
      </c>
      <c r="AK11" s="1">
        <f t="shared" si="20"/>
        <v>0.70833333333333326</v>
      </c>
      <c r="AL11" s="1">
        <f t="shared" si="21"/>
        <v>2.2125539193812287</v>
      </c>
      <c r="AM11" s="6">
        <f t="shared" si="22"/>
        <v>2.3562769596906143</v>
      </c>
    </row>
    <row r="12" spans="1:39">
      <c r="A12" s="31" t="s">
        <v>73</v>
      </c>
      <c r="B12" s="43">
        <f>Design_Converter!B17</f>
        <v>3.3</v>
      </c>
      <c r="C12" s="31" t="s">
        <v>1</v>
      </c>
      <c r="D12" s="34">
        <f>IF(OR(B12&lt;Constants!B36,B12&gt;Constants!D36),1,0)</f>
        <v>0</v>
      </c>
      <c r="E12" s="34" t="s">
        <v>112</v>
      </c>
      <c r="N12">
        <v>6.0000000000000001E-3</v>
      </c>
      <c r="O12">
        <f t="shared" si="0"/>
        <v>1.5</v>
      </c>
      <c r="P12" s="5">
        <f t="shared" si="1"/>
        <v>0.3</v>
      </c>
      <c r="Q12" s="1">
        <f t="shared" si="2"/>
        <v>0.7</v>
      </c>
      <c r="R12" s="1">
        <f t="shared" si="3"/>
        <v>2.0615796519410976</v>
      </c>
      <c r="S12" s="6">
        <f t="shared" si="4"/>
        <v>2.5307898259705488</v>
      </c>
      <c r="T12" s="5">
        <f t="shared" si="5"/>
        <v>0.27499999999999997</v>
      </c>
      <c r="U12" s="1">
        <f t="shared" si="6"/>
        <v>0.72500000000000009</v>
      </c>
      <c r="V12" s="1">
        <f t="shared" si="7"/>
        <v>2.1352074966532792</v>
      </c>
      <c r="W12" s="6">
        <f t="shared" si="8"/>
        <v>2.5676037483266398</v>
      </c>
      <c r="X12" s="5">
        <f t="shared" si="9"/>
        <v>0.25384615384615383</v>
      </c>
      <c r="Y12" s="1">
        <f t="shared" si="10"/>
        <v>0.74615384615384617</v>
      </c>
      <c r="Z12" s="1">
        <f t="shared" si="11"/>
        <v>2.1975079806405104</v>
      </c>
      <c r="AA12" s="6">
        <f t="shared" si="12"/>
        <v>2.5987539903202554</v>
      </c>
      <c r="AB12" s="5">
        <f t="shared" si="13"/>
        <v>0.25</v>
      </c>
      <c r="AC12" s="1">
        <f t="shared" si="14"/>
        <v>0.75</v>
      </c>
      <c r="AD12" s="1">
        <f t="shared" si="15"/>
        <v>2.0080321285140559</v>
      </c>
      <c r="AE12" s="6">
        <f t="shared" si="16"/>
        <v>2.5040160642570282</v>
      </c>
      <c r="AF12" s="5">
        <f t="shared" si="17"/>
        <v>0.27499999999999997</v>
      </c>
      <c r="AG12" s="1">
        <f t="shared" si="18"/>
        <v>0.72500000000000009</v>
      </c>
      <c r="AH12" s="1">
        <f t="shared" si="23"/>
        <v>2.1352074966532792</v>
      </c>
      <c r="AI12" s="6">
        <f t="shared" si="24"/>
        <v>2.5676037483266398</v>
      </c>
      <c r="AJ12" s="5">
        <f t="shared" si="19"/>
        <v>0.29166666666666669</v>
      </c>
      <c r="AK12" s="1">
        <f t="shared" si="20"/>
        <v>0.70833333333333326</v>
      </c>
      <c r="AL12" s="1">
        <f t="shared" si="21"/>
        <v>2.2125539193812287</v>
      </c>
      <c r="AM12" s="6">
        <f t="shared" si="22"/>
        <v>2.6062769596906143</v>
      </c>
    </row>
    <row r="13" spans="1:39">
      <c r="A13" s="31" t="s">
        <v>74</v>
      </c>
      <c r="B13" s="43">
        <f>Design_Converter!B18</f>
        <v>3.5</v>
      </c>
      <c r="C13" s="31" t="s">
        <v>1</v>
      </c>
      <c r="D13" s="34">
        <f>IF(OR(B13&lt;Constants!B36,B13&gt;Constants!D36),1,0)</f>
        <v>0</v>
      </c>
      <c r="E13" s="34" t="s">
        <v>113</v>
      </c>
      <c r="N13">
        <v>7.0000000000000001E-3</v>
      </c>
      <c r="O13">
        <f t="shared" si="0"/>
        <v>1.75</v>
      </c>
      <c r="P13" s="5">
        <f t="shared" si="1"/>
        <v>0.3</v>
      </c>
      <c r="Q13" s="1">
        <f t="shared" si="2"/>
        <v>0.7</v>
      </c>
      <c r="R13" s="1">
        <f t="shared" si="3"/>
        <v>2.0615796519410976</v>
      </c>
      <c r="S13" s="6">
        <f t="shared" si="4"/>
        <v>2.7807898259705488</v>
      </c>
      <c r="T13" s="5">
        <f t="shared" si="5"/>
        <v>0.27499999999999997</v>
      </c>
      <c r="U13" s="1">
        <f t="shared" si="6"/>
        <v>0.72500000000000009</v>
      </c>
      <c r="V13" s="1">
        <f t="shared" si="7"/>
        <v>2.1352074966532792</v>
      </c>
      <c r="W13" s="6">
        <f t="shared" si="8"/>
        <v>2.8176037483266398</v>
      </c>
      <c r="X13" s="5">
        <f t="shared" si="9"/>
        <v>0.25384615384615383</v>
      </c>
      <c r="Y13" s="1">
        <f t="shared" si="10"/>
        <v>0.74615384615384617</v>
      </c>
      <c r="Z13" s="1">
        <f t="shared" si="11"/>
        <v>2.1975079806405104</v>
      </c>
      <c r="AA13" s="6">
        <f t="shared" si="12"/>
        <v>2.8487539903202554</v>
      </c>
      <c r="AB13" s="5">
        <f t="shared" si="13"/>
        <v>0.25</v>
      </c>
      <c r="AC13" s="1">
        <f t="shared" si="14"/>
        <v>0.75</v>
      </c>
      <c r="AD13" s="1">
        <f t="shared" si="15"/>
        <v>2.0080321285140559</v>
      </c>
      <c r="AE13" s="6">
        <f t="shared" si="16"/>
        <v>2.7540160642570282</v>
      </c>
      <c r="AF13" s="5">
        <f t="shared" si="17"/>
        <v>0.27499999999999997</v>
      </c>
      <c r="AG13" s="1">
        <f t="shared" si="18"/>
        <v>0.72500000000000009</v>
      </c>
      <c r="AH13" s="1">
        <f t="shared" si="23"/>
        <v>2.1352074966532792</v>
      </c>
      <c r="AI13" s="6">
        <f t="shared" si="24"/>
        <v>2.8176037483266398</v>
      </c>
      <c r="AJ13" s="5">
        <f t="shared" si="19"/>
        <v>0.29166666666666669</v>
      </c>
      <c r="AK13" s="1">
        <f t="shared" si="20"/>
        <v>0.70833333333333326</v>
      </c>
      <c r="AL13" s="1">
        <f t="shared" si="21"/>
        <v>2.2125539193812287</v>
      </c>
      <c r="AM13" s="6">
        <f t="shared" si="22"/>
        <v>2.8562769596906143</v>
      </c>
    </row>
    <row r="14" spans="1:39">
      <c r="A14" s="259" t="s">
        <v>82</v>
      </c>
      <c r="B14" s="259"/>
      <c r="C14" s="259"/>
      <c r="N14">
        <v>8.0000000000000002E-3</v>
      </c>
      <c r="O14">
        <f t="shared" si="0"/>
        <v>2</v>
      </c>
      <c r="P14" s="5">
        <f t="shared" si="1"/>
        <v>0.3</v>
      </c>
      <c r="Q14" s="1">
        <f t="shared" si="2"/>
        <v>0.7</v>
      </c>
      <c r="R14" s="1">
        <f t="shared" si="3"/>
        <v>2.0615796519410976</v>
      </c>
      <c r="S14" s="6">
        <f t="shared" si="4"/>
        <v>3.0307898259705488</v>
      </c>
      <c r="T14" s="5">
        <f t="shared" si="5"/>
        <v>0.27499999999999997</v>
      </c>
      <c r="U14" s="1">
        <f t="shared" si="6"/>
        <v>0.72500000000000009</v>
      </c>
      <c r="V14" s="1">
        <f t="shared" si="7"/>
        <v>2.1352074966532792</v>
      </c>
      <c r="W14" s="6">
        <f t="shared" si="8"/>
        <v>3.0676037483266398</v>
      </c>
      <c r="X14" s="5">
        <f t="shared" si="9"/>
        <v>0.25384615384615383</v>
      </c>
      <c r="Y14" s="1">
        <f t="shared" si="10"/>
        <v>0.74615384615384617</v>
      </c>
      <c r="Z14" s="1">
        <f t="shared" si="11"/>
        <v>2.1975079806405104</v>
      </c>
      <c r="AA14" s="6">
        <f t="shared" si="12"/>
        <v>3.0987539903202554</v>
      </c>
      <c r="AB14" s="5">
        <f t="shared" si="13"/>
        <v>0.25</v>
      </c>
      <c r="AC14" s="1">
        <f t="shared" si="14"/>
        <v>0.75</v>
      </c>
      <c r="AD14" s="1">
        <f t="shared" si="15"/>
        <v>2.0080321285140559</v>
      </c>
      <c r="AE14" s="6">
        <f t="shared" si="16"/>
        <v>3.0040160642570282</v>
      </c>
      <c r="AF14" s="5">
        <f t="shared" si="17"/>
        <v>0.27499999999999997</v>
      </c>
      <c r="AG14" s="1">
        <f t="shared" si="18"/>
        <v>0.72500000000000009</v>
      </c>
      <c r="AH14" s="1">
        <f t="shared" si="23"/>
        <v>2.1352074966532792</v>
      </c>
      <c r="AI14" s="6">
        <f t="shared" si="24"/>
        <v>3.0676037483266398</v>
      </c>
      <c r="AJ14" s="5">
        <f t="shared" si="19"/>
        <v>0.29166666666666669</v>
      </c>
      <c r="AK14" s="1">
        <f t="shared" si="20"/>
        <v>0.70833333333333326</v>
      </c>
      <c r="AL14" s="1">
        <f t="shared" si="21"/>
        <v>2.2125539193812287</v>
      </c>
      <c r="AM14" s="6">
        <f t="shared" si="22"/>
        <v>3.1062769596906143</v>
      </c>
    </row>
    <row r="15" spans="1:39">
      <c r="A15" s="31" t="s">
        <v>117</v>
      </c>
      <c r="B15" s="43">
        <f>Design_Converter!B21*1000</f>
        <v>415000</v>
      </c>
      <c r="C15" s="31" t="s">
        <v>83</v>
      </c>
      <c r="D15" s="34">
        <f>IF(OR(B15&lt;Constants!B39,B15&gt;Constants!D39),1,0)</f>
        <v>0</v>
      </c>
      <c r="E15" s="34" t="s">
        <v>118</v>
      </c>
      <c r="N15">
        <v>8.9999999999999993E-3</v>
      </c>
      <c r="O15">
        <f t="shared" si="0"/>
        <v>2.25</v>
      </c>
      <c r="P15" s="5">
        <f t="shared" si="1"/>
        <v>0.3</v>
      </c>
      <c r="Q15" s="1">
        <f t="shared" si="2"/>
        <v>0.7</v>
      </c>
      <c r="R15" s="1">
        <f t="shared" si="3"/>
        <v>2.0615796519410976</v>
      </c>
      <c r="S15" s="6">
        <f t="shared" si="4"/>
        <v>3.2807898259705488</v>
      </c>
      <c r="T15" s="5">
        <f t="shared" si="5"/>
        <v>0.27499999999999997</v>
      </c>
      <c r="U15" s="1">
        <f t="shared" si="6"/>
        <v>0.72500000000000009</v>
      </c>
      <c r="V15" s="1">
        <f t="shared" si="7"/>
        <v>2.1352074966532792</v>
      </c>
      <c r="W15" s="6">
        <f t="shared" si="8"/>
        <v>3.3176037483266398</v>
      </c>
      <c r="X15" s="5">
        <f t="shared" si="9"/>
        <v>0.25384615384615383</v>
      </c>
      <c r="Y15" s="1">
        <f t="shared" si="10"/>
        <v>0.74615384615384617</v>
      </c>
      <c r="Z15" s="1">
        <f t="shared" si="11"/>
        <v>2.1975079806405104</v>
      </c>
      <c r="AA15" s="6">
        <f t="shared" si="12"/>
        <v>3.3487539903202554</v>
      </c>
      <c r="AB15" s="5">
        <f t="shared" si="13"/>
        <v>0.25</v>
      </c>
      <c r="AC15" s="1">
        <f t="shared" si="14"/>
        <v>0.75</v>
      </c>
      <c r="AD15" s="1">
        <f t="shared" si="15"/>
        <v>2.0080321285140559</v>
      </c>
      <c r="AE15" s="6">
        <f t="shared" si="16"/>
        <v>3.2540160642570282</v>
      </c>
      <c r="AF15" s="5">
        <f t="shared" si="17"/>
        <v>0.27499999999999997</v>
      </c>
      <c r="AG15" s="1">
        <f t="shared" si="18"/>
        <v>0.72500000000000009</v>
      </c>
      <c r="AH15" s="1">
        <f t="shared" si="23"/>
        <v>2.1352074966532792</v>
      </c>
      <c r="AI15" s="6">
        <f t="shared" si="24"/>
        <v>3.3176037483266398</v>
      </c>
      <c r="AJ15" s="5">
        <f t="shared" si="19"/>
        <v>0.29166666666666669</v>
      </c>
      <c r="AK15" s="1">
        <f t="shared" si="20"/>
        <v>0.70833333333333326</v>
      </c>
      <c r="AL15" s="1">
        <f t="shared" si="21"/>
        <v>2.2125539193812287</v>
      </c>
      <c r="AM15" s="6">
        <f t="shared" si="22"/>
        <v>3.3562769596906143</v>
      </c>
    </row>
    <row r="16" spans="1:39">
      <c r="A16" s="31" t="s">
        <v>137</v>
      </c>
      <c r="B16" s="44">
        <f>Constants!C17/(Fsw*1000)</f>
        <v>10.000000000000002</v>
      </c>
      <c r="C16" s="31" t="s">
        <v>39</v>
      </c>
      <c r="D16" s="34" t="s">
        <v>94</v>
      </c>
      <c r="E16" s="34" t="s">
        <v>138</v>
      </c>
      <c r="N16">
        <v>0.01</v>
      </c>
      <c r="O16">
        <f t="shared" si="0"/>
        <v>2.5</v>
      </c>
      <c r="P16" s="5">
        <f t="shared" si="1"/>
        <v>0.3</v>
      </c>
      <c r="Q16" s="1">
        <f t="shared" si="2"/>
        <v>0.7</v>
      </c>
      <c r="R16" s="1">
        <f t="shared" si="3"/>
        <v>2.0615796519410976</v>
      </c>
      <c r="S16" s="6">
        <f t="shared" si="4"/>
        <v>3.5307898259705488</v>
      </c>
      <c r="T16" s="5">
        <f t="shared" si="5"/>
        <v>0.27499999999999997</v>
      </c>
      <c r="U16" s="1">
        <f t="shared" si="6"/>
        <v>0.72500000000000009</v>
      </c>
      <c r="V16" s="1">
        <f t="shared" si="7"/>
        <v>2.1352074966532792</v>
      </c>
      <c r="W16" s="6">
        <f t="shared" si="8"/>
        <v>3.5676037483266398</v>
      </c>
      <c r="X16" s="5">
        <f t="shared" si="9"/>
        <v>0.25384615384615383</v>
      </c>
      <c r="Y16" s="1">
        <f t="shared" si="10"/>
        <v>0.74615384615384617</v>
      </c>
      <c r="Z16" s="1">
        <f t="shared" si="11"/>
        <v>2.1975079806405104</v>
      </c>
      <c r="AA16" s="6">
        <f t="shared" si="12"/>
        <v>3.5987539903202554</v>
      </c>
      <c r="AB16" s="5">
        <f t="shared" si="13"/>
        <v>0.25</v>
      </c>
      <c r="AC16" s="1">
        <f t="shared" si="14"/>
        <v>0.75</v>
      </c>
      <c r="AD16" s="1">
        <f t="shared" si="15"/>
        <v>2.0080321285140559</v>
      </c>
      <c r="AE16" s="6">
        <f t="shared" si="16"/>
        <v>3.5040160642570282</v>
      </c>
      <c r="AF16" s="5">
        <f t="shared" si="17"/>
        <v>0.27499999999999997</v>
      </c>
      <c r="AG16" s="1">
        <f t="shared" si="18"/>
        <v>0.72500000000000009</v>
      </c>
      <c r="AH16" s="1">
        <f t="shared" si="23"/>
        <v>2.1352074966532792</v>
      </c>
      <c r="AI16" s="6">
        <f t="shared" si="24"/>
        <v>3.5676037483266398</v>
      </c>
      <c r="AJ16" s="5">
        <f t="shared" si="19"/>
        <v>0.29166666666666669</v>
      </c>
      <c r="AK16" s="1">
        <f t="shared" si="20"/>
        <v>0.70833333333333326</v>
      </c>
      <c r="AL16" s="1">
        <f t="shared" si="21"/>
        <v>2.2125539193812287</v>
      </c>
      <c r="AM16" s="6">
        <f t="shared" si="22"/>
        <v>3.6062769596906143</v>
      </c>
    </row>
    <row r="17" spans="1:39">
      <c r="A17" s="31" t="s">
        <v>84</v>
      </c>
      <c r="B17" s="45">
        <f>(1-(V12_Max/V48_Min))/Fsw</f>
        <v>1.6429353778751372E-6</v>
      </c>
      <c r="C17" s="31" t="s">
        <v>23</v>
      </c>
      <c r="D17" s="34">
        <f>IF(B17&lt;Constants!C3,1,0)</f>
        <v>0</v>
      </c>
      <c r="N17">
        <v>1.0999999999999999E-2</v>
      </c>
      <c r="O17">
        <f t="shared" si="0"/>
        <v>2.75</v>
      </c>
      <c r="P17" s="5">
        <f t="shared" si="1"/>
        <v>0.3</v>
      </c>
      <c r="Q17" s="1">
        <f t="shared" si="2"/>
        <v>0.7</v>
      </c>
      <c r="R17" s="1">
        <f t="shared" si="3"/>
        <v>2.0615796519410976</v>
      </c>
      <c r="S17" s="6">
        <f t="shared" si="4"/>
        <v>3.7807898259705488</v>
      </c>
      <c r="T17" s="5">
        <f t="shared" si="5"/>
        <v>0.27499999999999997</v>
      </c>
      <c r="U17" s="1">
        <f t="shared" si="6"/>
        <v>0.72500000000000009</v>
      </c>
      <c r="V17" s="1">
        <f t="shared" si="7"/>
        <v>2.1352074966532792</v>
      </c>
      <c r="W17" s="6">
        <f t="shared" si="8"/>
        <v>3.8176037483266398</v>
      </c>
      <c r="X17" s="5">
        <f t="shared" si="9"/>
        <v>0.25384615384615383</v>
      </c>
      <c r="Y17" s="1">
        <f t="shared" si="10"/>
        <v>0.74615384615384617</v>
      </c>
      <c r="Z17" s="1">
        <f t="shared" si="11"/>
        <v>2.1975079806405104</v>
      </c>
      <c r="AA17" s="6">
        <f t="shared" si="12"/>
        <v>3.8487539903202554</v>
      </c>
      <c r="AB17" s="5">
        <f t="shared" si="13"/>
        <v>0.25</v>
      </c>
      <c r="AC17" s="1">
        <f t="shared" si="14"/>
        <v>0.75</v>
      </c>
      <c r="AD17" s="1">
        <f t="shared" si="15"/>
        <v>2.0080321285140559</v>
      </c>
      <c r="AE17" s="6">
        <f t="shared" si="16"/>
        <v>3.7540160642570282</v>
      </c>
      <c r="AF17" s="5">
        <f t="shared" si="17"/>
        <v>0.27499999999999997</v>
      </c>
      <c r="AG17" s="1">
        <f t="shared" si="18"/>
        <v>0.72500000000000009</v>
      </c>
      <c r="AH17" s="1">
        <f t="shared" si="23"/>
        <v>2.1352074966532792</v>
      </c>
      <c r="AI17" s="6">
        <f t="shared" si="24"/>
        <v>3.8176037483266398</v>
      </c>
      <c r="AJ17" s="5">
        <f t="shared" si="19"/>
        <v>0.29166666666666669</v>
      </c>
      <c r="AK17" s="1">
        <f t="shared" si="20"/>
        <v>0.70833333333333326</v>
      </c>
      <c r="AL17" s="1">
        <f t="shared" si="21"/>
        <v>2.2125539193812287</v>
      </c>
      <c r="AM17" s="6">
        <f t="shared" si="22"/>
        <v>3.8562769596906143</v>
      </c>
    </row>
    <row r="18" spans="1:39">
      <c r="A18" s="31" t="s">
        <v>85</v>
      </c>
      <c r="B18" s="45">
        <f>(V12_Min/V48_Max)/Fsw</f>
        <v>5.5607043558850787E-7</v>
      </c>
      <c r="C18" s="31" t="s">
        <v>23</v>
      </c>
      <c r="D18" s="34">
        <f>IF(B18&lt;Constants!C3,1,0)</f>
        <v>0</v>
      </c>
      <c r="N18">
        <v>1.2E-2</v>
      </c>
      <c r="O18">
        <f t="shared" si="0"/>
        <v>3</v>
      </c>
      <c r="P18" s="5">
        <f t="shared" si="1"/>
        <v>0.3</v>
      </c>
      <c r="Q18" s="1">
        <f t="shared" si="2"/>
        <v>0.7</v>
      </c>
      <c r="R18" s="1">
        <f t="shared" si="3"/>
        <v>2.0615796519410976</v>
      </c>
      <c r="S18" s="6">
        <f t="shared" si="4"/>
        <v>4.0307898259705492</v>
      </c>
      <c r="T18" s="5">
        <f t="shared" si="5"/>
        <v>0.27499999999999997</v>
      </c>
      <c r="U18" s="1">
        <f t="shared" si="6"/>
        <v>0.72500000000000009</v>
      </c>
      <c r="V18" s="1">
        <f t="shared" si="7"/>
        <v>2.1352074966532792</v>
      </c>
      <c r="W18" s="6">
        <f t="shared" si="8"/>
        <v>4.0676037483266398</v>
      </c>
      <c r="X18" s="5">
        <f t="shared" si="9"/>
        <v>0.25384615384615383</v>
      </c>
      <c r="Y18" s="1">
        <f t="shared" si="10"/>
        <v>0.74615384615384617</v>
      </c>
      <c r="Z18" s="1">
        <f t="shared" si="11"/>
        <v>2.1975079806405104</v>
      </c>
      <c r="AA18" s="6">
        <f t="shared" si="12"/>
        <v>4.0987539903202554</v>
      </c>
      <c r="AB18" s="5">
        <f t="shared" si="13"/>
        <v>0.25</v>
      </c>
      <c r="AC18" s="1">
        <f t="shared" si="14"/>
        <v>0.75</v>
      </c>
      <c r="AD18" s="1">
        <f t="shared" si="15"/>
        <v>2.0080321285140559</v>
      </c>
      <c r="AE18" s="6">
        <f t="shared" si="16"/>
        <v>4.0040160642570282</v>
      </c>
      <c r="AF18" s="5">
        <f t="shared" si="17"/>
        <v>0.27499999999999997</v>
      </c>
      <c r="AG18" s="1">
        <f t="shared" si="18"/>
        <v>0.72500000000000009</v>
      </c>
      <c r="AH18" s="1">
        <f t="shared" si="23"/>
        <v>2.1352074966532792</v>
      </c>
      <c r="AI18" s="6">
        <f t="shared" si="24"/>
        <v>4.0676037483266398</v>
      </c>
      <c r="AJ18" s="5">
        <f t="shared" si="19"/>
        <v>0.29166666666666669</v>
      </c>
      <c r="AK18" s="1">
        <f t="shared" si="20"/>
        <v>0.70833333333333326</v>
      </c>
      <c r="AL18" s="1">
        <f t="shared" si="21"/>
        <v>2.2125539193812287</v>
      </c>
      <c r="AM18" s="6">
        <f t="shared" si="22"/>
        <v>4.1062769596906143</v>
      </c>
    </row>
    <row r="19" spans="1:39">
      <c r="N19">
        <v>1.2999999999999999E-2</v>
      </c>
      <c r="O19">
        <f t="shared" si="0"/>
        <v>3.25</v>
      </c>
      <c r="P19" s="5">
        <f t="shared" si="1"/>
        <v>0.3</v>
      </c>
      <c r="Q19" s="1">
        <f t="shared" si="2"/>
        <v>0.7</v>
      </c>
      <c r="R19" s="1">
        <f t="shared" si="3"/>
        <v>2.0615796519410976</v>
      </c>
      <c r="S19" s="6">
        <f t="shared" si="4"/>
        <v>4.2807898259705492</v>
      </c>
      <c r="T19" s="5">
        <f t="shared" si="5"/>
        <v>0.27499999999999997</v>
      </c>
      <c r="U19" s="1">
        <f t="shared" si="6"/>
        <v>0.72500000000000009</v>
      </c>
      <c r="V19" s="1">
        <f t="shared" si="7"/>
        <v>2.1352074966532792</v>
      </c>
      <c r="W19" s="6">
        <f t="shared" si="8"/>
        <v>4.3176037483266398</v>
      </c>
      <c r="X19" s="5">
        <f t="shared" si="9"/>
        <v>0.25384615384615383</v>
      </c>
      <c r="Y19" s="1">
        <f t="shared" si="10"/>
        <v>0.74615384615384617</v>
      </c>
      <c r="Z19" s="1">
        <f t="shared" si="11"/>
        <v>2.1975079806405104</v>
      </c>
      <c r="AA19" s="6">
        <f t="shared" si="12"/>
        <v>4.3487539903202554</v>
      </c>
      <c r="AB19" s="5">
        <f t="shared" si="13"/>
        <v>0.25</v>
      </c>
      <c r="AC19" s="1">
        <f t="shared" si="14"/>
        <v>0.75</v>
      </c>
      <c r="AD19" s="1">
        <f t="shared" si="15"/>
        <v>2.0080321285140559</v>
      </c>
      <c r="AE19" s="6">
        <f t="shared" si="16"/>
        <v>4.2540160642570282</v>
      </c>
      <c r="AF19" s="5">
        <f t="shared" si="17"/>
        <v>0.27499999999999997</v>
      </c>
      <c r="AG19" s="1">
        <f t="shared" si="18"/>
        <v>0.72500000000000009</v>
      </c>
      <c r="AH19" s="1">
        <f t="shared" si="23"/>
        <v>2.1352074966532792</v>
      </c>
      <c r="AI19" s="6">
        <f t="shared" si="24"/>
        <v>4.3176037483266398</v>
      </c>
      <c r="AJ19" s="5">
        <f t="shared" si="19"/>
        <v>0.29166666666666669</v>
      </c>
      <c r="AK19" s="1">
        <f t="shared" si="20"/>
        <v>0.70833333333333326</v>
      </c>
      <c r="AL19" s="1">
        <f t="shared" si="21"/>
        <v>2.2125539193812287</v>
      </c>
      <c r="AM19" s="6">
        <f t="shared" si="22"/>
        <v>4.3562769596906143</v>
      </c>
    </row>
    <row r="20" spans="1:39">
      <c r="N20">
        <v>1.4E-2</v>
      </c>
      <c r="O20">
        <f t="shared" si="0"/>
        <v>3.5</v>
      </c>
      <c r="P20" s="5">
        <f t="shared" si="1"/>
        <v>0.3</v>
      </c>
      <c r="Q20" s="1">
        <f t="shared" si="2"/>
        <v>0.7</v>
      </c>
      <c r="R20" s="1">
        <f t="shared" si="3"/>
        <v>2.0615796519410976</v>
      </c>
      <c r="S20" s="6">
        <f t="shared" si="4"/>
        <v>4.5307898259705492</v>
      </c>
      <c r="T20" s="5">
        <f t="shared" si="5"/>
        <v>0.27499999999999997</v>
      </c>
      <c r="U20" s="1">
        <f t="shared" si="6"/>
        <v>0.72500000000000009</v>
      </c>
      <c r="V20" s="1">
        <f t="shared" si="7"/>
        <v>2.1352074966532792</v>
      </c>
      <c r="W20" s="6">
        <f t="shared" si="8"/>
        <v>4.5676037483266398</v>
      </c>
      <c r="X20" s="5">
        <f t="shared" si="9"/>
        <v>0.25384615384615383</v>
      </c>
      <c r="Y20" s="1">
        <f t="shared" si="10"/>
        <v>0.74615384615384617</v>
      </c>
      <c r="Z20" s="1">
        <f t="shared" si="11"/>
        <v>2.1975079806405104</v>
      </c>
      <c r="AA20" s="6">
        <f t="shared" si="12"/>
        <v>4.5987539903202554</v>
      </c>
      <c r="AB20" s="5">
        <f t="shared" si="13"/>
        <v>0.25</v>
      </c>
      <c r="AC20" s="1">
        <f t="shared" si="14"/>
        <v>0.75</v>
      </c>
      <c r="AD20" s="1">
        <f t="shared" si="15"/>
        <v>2.0080321285140559</v>
      </c>
      <c r="AE20" s="6">
        <f t="shared" si="16"/>
        <v>4.5040160642570282</v>
      </c>
      <c r="AF20" s="5">
        <f t="shared" si="17"/>
        <v>0.27499999999999997</v>
      </c>
      <c r="AG20" s="1">
        <f t="shared" si="18"/>
        <v>0.72500000000000009</v>
      </c>
      <c r="AH20" s="1">
        <f t="shared" si="23"/>
        <v>2.1352074966532792</v>
      </c>
      <c r="AI20" s="6">
        <f t="shared" si="24"/>
        <v>4.5676037483266398</v>
      </c>
      <c r="AJ20" s="5">
        <f t="shared" si="19"/>
        <v>0.29166666666666669</v>
      </c>
      <c r="AK20" s="1">
        <f t="shared" si="20"/>
        <v>0.70833333333333326</v>
      </c>
      <c r="AL20" s="1">
        <f t="shared" si="21"/>
        <v>2.2125539193812287</v>
      </c>
      <c r="AM20" s="6">
        <f t="shared" si="22"/>
        <v>4.6062769596906143</v>
      </c>
    </row>
    <row r="21" spans="1:39">
      <c r="A21" s="263" t="s">
        <v>119</v>
      </c>
      <c r="B21" s="264"/>
      <c r="C21" s="265"/>
      <c r="N21">
        <v>1.4999999999999999E-2</v>
      </c>
      <c r="O21">
        <f t="shared" si="0"/>
        <v>3.75</v>
      </c>
      <c r="P21" s="5">
        <f t="shared" si="1"/>
        <v>0.3</v>
      </c>
      <c r="Q21" s="1">
        <f t="shared" si="2"/>
        <v>0.7</v>
      </c>
      <c r="R21" s="1">
        <f t="shared" si="3"/>
        <v>2.0615796519410976</v>
      </c>
      <c r="S21" s="6">
        <f t="shared" si="4"/>
        <v>4.7807898259705492</v>
      </c>
      <c r="T21" s="5">
        <f t="shared" si="5"/>
        <v>0.27499999999999997</v>
      </c>
      <c r="U21" s="1">
        <f t="shared" si="6"/>
        <v>0.72500000000000009</v>
      </c>
      <c r="V21" s="1">
        <f t="shared" si="7"/>
        <v>2.1352074966532792</v>
      </c>
      <c r="W21" s="6">
        <f t="shared" si="8"/>
        <v>4.8176037483266398</v>
      </c>
      <c r="X21" s="5">
        <f t="shared" si="9"/>
        <v>0.25384615384615383</v>
      </c>
      <c r="Y21" s="1">
        <f t="shared" si="10"/>
        <v>0.74615384615384617</v>
      </c>
      <c r="Z21" s="1">
        <f t="shared" si="11"/>
        <v>2.1975079806405104</v>
      </c>
      <c r="AA21" s="6">
        <f t="shared" si="12"/>
        <v>4.8487539903202554</v>
      </c>
      <c r="AB21" s="5">
        <f t="shared" si="13"/>
        <v>0.25</v>
      </c>
      <c r="AC21" s="1">
        <f t="shared" si="14"/>
        <v>0.75</v>
      </c>
      <c r="AD21" s="1">
        <f t="shared" si="15"/>
        <v>2.0080321285140559</v>
      </c>
      <c r="AE21" s="6">
        <f t="shared" si="16"/>
        <v>4.7540160642570282</v>
      </c>
      <c r="AF21" s="5">
        <f t="shared" si="17"/>
        <v>0.27499999999999997</v>
      </c>
      <c r="AG21" s="1">
        <f t="shared" si="18"/>
        <v>0.72500000000000009</v>
      </c>
      <c r="AH21" s="1">
        <f t="shared" si="23"/>
        <v>2.1352074966532792</v>
      </c>
      <c r="AI21" s="6">
        <f t="shared" si="24"/>
        <v>4.8176037483266398</v>
      </c>
      <c r="AJ21" s="5">
        <f t="shared" si="19"/>
        <v>0.29166666666666669</v>
      </c>
      <c r="AK21" s="1">
        <f t="shared" si="20"/>
        <v>0.70833333333333326</v>
      </c>
      <c r="AL21" s="1">
        <f t="shared" si="21"/>
        <v>2.2125539193812287</v>
      </c>
      <c r="AM21" s="6">
        <f t="shared" si="22"/>
        <v>4.8562769596906143</v>
      </c>
    </row>
    <row r="22" spans="1:39">
      <c r="A22" s="31" t="s">
        <v>44</v>
      </c>
      <c r="B22" s="43">
        <f>Design_Converter!B26</f>
        <v>12</v>
      </c>
      <c r="C22" s="31" t="s">
        <v>4</v>
      </c>
      <c r="N22">
        <v>1.6E-2</v>
      </c>
      <c r="O22">
        <f t="shared" si="0"/>
        <v>4</v>
      </c>
      <c r="P22" s="5">
        <f t="shared" si="1"/>
        <v>0.3</v>
      </c>
      <c r="Q22" s="1">
        <f t="shared" si="2"/>
        <v>0.7</v>
      </c>
      <c r="R22" s="1">
        <f t="shared" si="3"/>
        <v>2.0615796519410976</v>
      </c>
      <c r="S22" s="6">
        <f t="shared" si="4"/>
        <v>5.0307898259705492</v>
      </c>
      <c r="T22" s="5">
        <f t="shared" si="5"/>
        <v>0.27499999999999997</v>
      </c>
      <c r="U22" s="1">
        <f t="shared" si="6"/>
        <v>0.72500000000000009</v>
      </c>
      <c r="V22" s="1">
        <f t="shared" si="7"/>
        <v>2.1352074966532792</v>
      </c>
      <c r="W22" s="6">
        <f t="shared" si="8"/>
        <v>5.0676037483266398</v>
      </c>
      <c r="X22" s="5">
        <f t="shared" si="9"/>
        <v>0.25384615384615383</v>
      </c>
      <c r="Y22" s="1">
        <f t="shared" si="10"/>
        <v>0.74615384615384617</v>
      </c>
      <c r="Z22" s="1">
        <f t="shared" si="11"/>
        <v>2.1975079806405104</v>
      </c>
      <c r="AA22" s="6">
        <f t="shared" si="12"/>
        <v>5.0987539903202554</v>
      </c>
      <c r="AB22" s="5">
        <f t="shared" si="13"/>
        <v>0.25</v>
      </c>
      <c r="AC22" s="1">
        <f t="shared" si="14"/>
        <v>0.75</v>
      </c>
      <c r="AD22" s="1">
        <f t="shared" si="15"/>
        <v>2.0080321285140559</v>
      </c>
      <c r="AE22" s="6">
        <f t="shared" si="16"/>
        <v>5.0040160642570282</v>
      </c>
      <c r="AF22" s="5">
        <f t="shared" si="17"/>
        <v>0.27499999999999997</v>
      </c>
      <c r="AG22" s="1">
        <f t="shared" si="18"/>
        <v>0.72500000000000009</v>
      </c>
      <c r="AH22" s="1">
        <f t="shared" si="23"/>
        <v>2.1352074966532792</v>
      </c>
      <c r="AI22" s="6">
        <f t="shared" si="24"/>
        <v>5.0676037483266398</v>
      </c>
      <c r="AJ22" s="5">
        <f t="shared" si="19"/>
        <v>0.29166666666666669</v>
      </c>
      <c r="AK22" s="1">
        <f t="shared" si="20"/>
        <v>0.70833333333333326</v>
      </c>
      <c r="AL22" s="1">
        <f t="shared" si="21"/>
        <v>2.2125539193812287</v>
      </c>
      <c r="AM22" s="6">
        <f t="shared" si="22"/>
        <v>5.1062769596906143</v>
      </c>
    </row>
    <row r="23" spans="1:39">
      <c r="A23" s="31" t="s">
        <v>120</v>
      </c>
      <c r="B23" s="44"/>
      <c r="C23" s="31" t="s">
        <v>4</v>
      </c>
      <c r="E23" s="34" t="s">
        <v>121</v>
      </c>
      <c r="N23">
        <v>1.7000000000000001E-2</v>
      </c>
      <c r="O23">
        <f t="shared" si="0"/>
        <v>4.25</v>
      </c>
      <c r="P23" s="5">
        <f t="shared" si="1"/>
        <v>0.3</v>
      </c>
      <c r="Q23" s="1">
        <f t="shared" si="2"/>
        <v>0.7</v>
      </c>
      <c r="R23" s="1">
        <f t="shared" si="3"/>
        <v>2.0615796519410976</v>
      </c>
      <c r="S23" s="6">
        <f t="shared" si="4"/>
        <v>5.2807898259705492</v>
      </c>
      <c r="T23" s="5">
        <f t="shared" si="5"/>
        <v>0.27499999999999997</v>
      </c>
      <c r="U23" s="1">
        <f t="shared" si="6"/>
        <v>0.72500000000000009</v>
      </c>
      <c r="V23" s="1">
        <f t="shared" si="7"/>
        <v>2.1352074966532792</v>
      </c>
      <c r="W23" s="6">
        <f t="shared" si="8"/>
        <v>5.3176037483266398</v>
      </c>
      <c r="X23" s="5">
        <f t="shared" si="9"/>
        <v>0.25384615384615383</v>
      </c>
      <c r="Y23" s="1">
        <f t="shared" si="10"/>
        <v>0.74615384615384617</v>
      </c>
      <c r="Z23" s="1">
        <f t="shared" si="11"/>
        <v>2.1975079806405104</v>
      </c>
      <c r="AA23" s="6">
        <f t="shared" si="12"/>
        <v>5.3487539903202554</v>
      </c>
      <c r="AB23" s="5">
        <f t="shared" si="13"/>
        <v>0.25</v>
      </c>
      <c r="AC23" s="1">
        <f t="shared" si="14"/>
        <v>0.75</v>
      </c>
      <c r="AD23" s="1">
        <f t="shared" si="15"/>
        <v>2.0080321285140559</v>
      </c>
      <c r="AE23" s="6">
        <f t="shared" si="16"/>
        <v>5.2540160642570282</v>
      </c>
      <c r="AF23" s="5">
        <f t="shared" si="17"/>
        <v>0.27499999999999997</v>
      </c>
      <c r="AG23" s="1">
        <f t="shared" si="18"/>
        <v>0.72500000000000009</v>
      </c>
      <c r="AH23" s="1">
        <f t="shared" si="23"/>
        <v>2.1352074966532792</v>
      </c>
      <c r="AI23" s="6">
        <f t="shared" si="24"/>
        <v>5.3176037483266398</v>
      </c>
      <c r="AJ23" s="5">
        <f t="shared" si="19"/>
        <v>0.29166666666666669</v>
      </c>
      <c r="AK23" s="1">
        <f t="shared" si="20"/>
        <v>0.70833333333333326</v>
      </c>
      <c r="AL23" s="1">
        <f t="shared" si="21"/>
        <v>2.2125539193812287</v>
      </c>
      <c r="AM23" s="6">
        <f t="shared" si="22"/>
        <v>5.3562769596906143</v>
      </c>
    </row>
    <row r="24" spans="1:39">
      <c r="A24" s="31" t="s">
        <v>122</v>
      </c>
      <c r="B24" s="43">
        <f>Design_Converter!B25</f>
        <v>1</v>
      </c>
      <c r="C24" s="31"/>
      <c r="E24" s="34" t="s">
        <v>123</v>
      </c>
      <c r="N24">
        <v>1.7999999999999999E-2</v>
      </c>
      <c r="O24">
        <f t="shared" si="0"/>
        <v>4.5</v>
      </c>
      <c r="P24" s="5">
        <f t="shared" si="1"/>
        <v>0.3</v>
      </c>
      <c r="Q24" s="1">
        <f t="shared" si="2"/>
        <v>0.7</v>
      </c>
      <c r="R24" s="1">
        <f t="shared" si="3"/>
        <v>2.0615796519410976</v>
      </c>
      <c r="S24" s="6">
        <f t="shared" si="4"/>
        <v>5.5307898259705492</v>
      </c>
      <c r="T24" s="5">
        <f t="shared" si="5"/>
        <v>0.27499999999999997</v>
      </c>
      <c r="U24" s="1">
        <f t="shared" si="6"/>
        <v>0.72500000000000009</v>
      </c>
      <c r="V24" s="1">
        <f t="shared" si="7"/>
        <v>2.1352074966532792</v>
      </c>
      <c r="W24" s="6">
        <f t="shared" si="8"/>
        <v>5.5676037483266398</v>
      </c>
      <c r="X24" s="5">
        <f t="shared" si="9"/>
        <v>0.25384615384615383</v>
      </c>
      <c r="Y24" s="1">
        <f t="shared" si="10"/>
        <v>0.74615384615384617</v>
      </c>
      <c r="Z24" s="1">
        <f t="shared" si="11"/>
        <v>2.1975079806405104</v>
      </c>
      <c r="AA24" s="6">
        <f t="shared" si="12"/>
        <v>5.5987539903202554</v>
      </c>
      <c r="AB24" s="5">
        <f t="shared" si="13"/>
        <v>0.25</v>
      </c>
      <c r="AC24" s="1">
        <f t="shared" si="14"/>
        <v>0.75</v>
      </c>
      <c r="AD24" s="1">
        <f t="shared" si="15"/>
        <v>2.0080321285140559</v>
      </c>
      <c r="AE24" s="6">
        <f t="shared" si="16"/>
        <v>5.5040160642570282</v>
      </c>
      <c r="AF24" s="5">
        <f t="shared" si="17"/>
        <v>0.27499999999999997</v>
      </c>
      <c r="AG24" s="1">
        <f t="shared" si="18"/>
        <v>0.72500000000000009</v>
      </c>
      <c r="AH24" s="1">
        <f t="shared" si="23"/>
        <v>2.1352074966532792</v>
      </c>
      <c r="AI24" s="6">
        <f t="shared" si="24"/>
        <v>5.5676037483266398</v>
      </c>
      <c r="AJ24" s="5">
        <f t="shared" si="19"/>
        <v>0.29166666666666669</v>
      </c>
      <c r="AK24" s="1">
        <f t="shared" si="20"/>
        <v>0.70833333333333326</v>
      </c>
      <c r="AL24" s="1">
        <f t="shared" si="21"/>
        <v>2.2125539193812287</v>
      </c>
      <c r="AM24" s="6">
        <f t="shared" si="22"/>
        <v>5.6062769596906143</v>
      </c>
    </row>
    <row r="25" spans="1:39">
      <c r="A25" s="31" t="s">
        <v>131</v>
      </c>
      <c r="B25" s="44">
        <f>B22/B24</f>
        <v>12</v>
      </c>
      <c r="C25" s="31" t="s">
        <v>4</v>
      </c>
      <c r="E25" s="34" t="s">
        <v>164</v>
      </c>
      <c r="N25">
        <v>1.9E-2</v>
      </c>
      <c r="O25">
        <f t="shared" si="0"/>
        <v>4.75</v>
      </c>
      <c r="P25" s="5">
        <f t="shared" si="1"/>
        <v>0.3</v>
      </c>
      <c r="Q25" s="1">
        <f t="shared" si="2"/>
        <v>0.7</v>
      </c>
      <c r="R25" s="1">
        <f t="shared" si="3"/>
        <v>2.0615796519410976</v>
      </c>
      <c r="S25" s="6">
        <f t="shared" si="4"/>
        <v>5.7807898259705492</v>
      </c>
      <c r="T25" s="5">
        <f t="shared" si="5"/>
        <v>0.27499999999999997</v>
      </c>
      <c r="U25" s="1">
        <f t="shared" si="6"/>
        <v>0.72500000000000009</v>
      </c>
      <c r="V25" s="1">
        <f t="shared" si="7"/>
        <v>2.1352074966532792</v>
      </c>
      <c r="W25" s="6">
        <f t="shared" si="8"/>
        <v>5.8176037483266398</v>
      </c>
      <c r="X25" s="5">
        <f t="shared" si="9"/>
        <v>0.25384615384615383</v>
      </c>
      <c r="Y25" s="1">
        <f t="shared" si="10"/>
        <v>0.74615384615384617</v>
      </c>
      <c r="Z25" s="1">
        <f t="shared" si="11"/>
        <v>2.1975079806405104</v>
      </c>
      <c r="AA25" s="6">
        <f t="shared" si="12"/>
        <v>5.8487539903202554</v>
      </c>
      <c r="AB25" s="5">
        <f t="shared" si="13"/>
        <v>0.25</v>
      </c>
      <c r="AC25" s="1">
        <f t="shared" si="14"/>
        <v>0.75</v>
      </c>
      <c r="AD25" s="1">
        <f t="shared" si="15"/>
        <v>2.0080321285140559</v>
      </c>
      <c r="AE25" s="6">
        <f t="shared" si="16"/>
        <v>5.7540160642570282</v>
      </c>
      <c r="AF25" s="5">
        <f t="shared" si="17"/>
        <v>0.27499999999999997</v>
      </c>
      <c r="AG25" s="1">
        <f t="shared" si="18"/>
        <v>0.72500000000000009</v>
      </c>
      <c r="AH25" s="1">
        <f t="shared" si="23"/>
        <v>2.1352074966532792</v>
      </c>
      <c r="AI25" s="6">
        <f t="shared" si="24"/>
        <v>5.8176037483266398</v>
      </c>
      <c r="AJ25" s="5">
        <f t="shared" si="19"/>
        <v>0.29166666666666669</v>
      </c>
      <c r="AK25" s="1">
        <f t="shared" si="20"/>
        <v>0.70833333333333326</v>
      </c>
      <c r="AL25" s="1">
        <f t="shared" si="21"/>
        <v>2.2125539193812287</v>
      </c>
      <c r="AM25" s="6">
        <f t="shared" si="22"/>
        <v>5.8562769596906143</v>
      </c>
    </row>
    <row r="26" spans="1:39">
      <c r="A26" s="157" t="s">
        <v>371</v>
      </c>
      <c r="B26" s="43">
        <f>Design_Converter!B27</f>
        <v>5</v>
      </c>
      <c r="C26" s="31" t="s">
        <v>4</v>
      </c>
      <c r="N26">
        <v>0.02</v>
      </c>
      <c r="O26">
        <f t="shared" si="0"/>
        <v>5</v>
      </c>
      <c r="P26" s="5">
        <f t="shared" si="1"/>
        <v>0.3</v>
      </c>
      <c r="Q26" s="1">
        <f t="shared" si="2"/>
        <v>0.7</v>
      </c>
      <c r="R26" s="1">
        <f t="shared" si="3"/>
        <v>2.0615796519410976</v>
      </c>
      <c r="S26" s="6">
        <f t="shared" si="4"/>
        <v>6.0307898259705492</v>
      </c>
      <c r="T26" s="5">
        <f t="shared" si="5"/>
        <v>0.27499999999999997</v>
      </c>
      <c r="U26" s="1">
        <f t="shared" si="6"/>
        <v>0.72500000000000009</v>
      </c>
      <c r="V26" s="1">
        <f t="shared" si="7"/>
        <v>2.1352074966532792</v>
      </c>
      <c r="W26" s="6">
        <f t="shared" si="8"/>
        <v>6.0676037483266398</v>
      </c>
      <c r="X26" s="5">
        <f t="shared" si="9"/>
        <v>0.25384615384615383</v>
      </c>
      <c r="Y26" s="1">
        <f t="shared" si="10"/>
        <v>0.74615384615384617</v>
      </c>
      <c r="Z26" s="1">
        <f t="shared" si="11"/>
        <v>2.1975079806405104</v>
      </c>
      <c r="AA26" s="6">
        <f t="shared" si="12"/>
        <v>6.0987539903202554</v>
      </c>
      <c r="AB26" s="5">
        <f t="shared" si="13"/>
        <v>0.25</v>
      </c>
      <c r="AC26" s="1">
        <f t="shared" si="14"/>
        <v>0.75</v>
      </c>
      <c r="AD26" s="1">
        <f t="shared" si="15"/>
        <v>2.0080321285140559</v>
      </c>
      <c r="AE26" s="6">
        <f t="shared" si="16"/>
        <v>6.0040160642570282</v>
      </c>
      <c r="AF26" s="5">
        <f t="shared" si="17"/>
        <v>0.27499999999999997</v>
      </c>
      <c r="AG26" s="1">
        <f t="shared" si="18"/>
        <v>0.72500000000000009</v>
      </c>
      <c r="AH26" s="1">
        <f t="shared" si="23"/>
        <v>2.1352074966532792</v>
      </c>
      <c r="AI26" s="6">
        <f t="shared" si="24"/>
        <v>6.0676037483266398</v>
      </c>
      <c r="AJ26" s="5">
        <f t="shared" si="19"/>
        <v>0.29166666666666669</v>
      </c>
      <c r="AK26" s="1">
        <f t="shared" si="20"/>
        <v>0.70833333333333326</v>
      </c>
      <c r="AL26" s="1">
        <f t="shared" si="21"/>
        <v>2.2125539193812287</v>
      </c>
      <c r="AM26" s="6">
        <f t="shared" si="22"/>
        <v>6.1062769596906143</v>
      </c>
    </row>
    <row r="27" spans="1:39">
      <c r="A27" s="157" t="s">
        <v>372</v>
      </c>
      <c r="B27" s="44">
        <f>B26/2</f>
        <v>2.5</v>
      </c>
      <c r="C27" s="31" t="s">
        <v>4</v>
      </c>
      <c r="N27">
        <v>2.1000000000000001E-2</v>
      </c>
      <c r="O27">
        <f t="shared" si="0"/>
        <v>5.25</v>
      </c>
      <c r="P27" s="5">
        <f t="shared" si="1"/>
        <v>0.3</v>
      </c>
      <c r="Q27" s="1">
        <f t="shared" si="2"/>
        <v>0.7</v>
      </c>
      <c r="R27" s="1">
        <f t="shared" si="3"/>
        <v>2.0615796519410976</v>
      </c>
      <c r="S27" s="6">
        <f t="shared" si="4"/>
        <v>6.2807898259705492</v>
      </c>
      <c r="T27" s="5">
        <f t="shared" si="5"/>
        <v>0.27499999999999997</v>
      </c>
      <c r="U27" s="1">
        <f t="shared" si="6"/>
        <v>0.72500000000000009</v>
      </c>
      <c r="V27" s="1">
        <f t="shared" si="7"/>
        <v>2.1352074966532792</v>
      </c>
      <c r="W27" s="6">
        <f t="shared" si="8"/>
        <v>6.3176037483266398</v>
      </c>
      <c r="X27" s="5">
        <f t="shared" si="9"/>
        <v>0.25384615384615383</v>
      </c>
      <c r="Y27" s="1">
        <f t="shared" si="10"/>
        <v>0.74615384615384617</v>
      </c>
      <c r="Z27" s="1">
        <f t="shared" si="11"/>
        <v>2.1975079806405104</v>
      </c>
      <c r="AA27" s="6">
        <f t="shared" si="12"/>
        <v>6.3487539903202554</v>
      </c>
      <c r="AB27" s="5">
        <f t="shared" si="13"/>
        <v>0.25</v>
      </c>
      <c r="AC27" s="1">
        <f t="shared" si="14"/>
        <v>0.75</v>
      </c>
      <c r="AD27" s="1">
        <f t="shared" si="15"/>
        <v>2.0080321285140559</v>
      </c>
      <c r="AE27" s="6">
        <f t="shared" si="16"/>
        <v>6.2540160642570282</v>
      </c>
      <c r="AF27" s="5">
        <f t="shared" si="17"/>
        <v>0.27499999999999997</v>
      </c>
      <c r="AG27" s="1">
        <f t="shared" si="18"/>
        <v>0.72500000000000009</v>
      </c>
      <c r="AH27" s="1">
        <f t="shared" si="23"/>
        <v>2.1352074966532792</v>
      </c>
      <c r="AI27" s="6">
        <f t="shared" si="24"/>
        <v>6.3176037483266398</v>
      </c>
      <c r="AJ27" s="5">
        <f t="shared" si="19"/>
        <v>0.29166666666666669</v>
      </c>
      <c r="AK27" s="1">
        <f t="shared" si="20"/>
        <v>0.70833333333333326</v>
      </c>
      <c r="AL27" s="1">
        <f t="shared" si="21"/>
        <v>2.2125539193812287</v>
      </c>
      <c r="AM27" s="6">
        <f t="shared" si="22"/>
        <v>6.3562769596906143</v>
      </c>
    </row>
    <row r="28" spans="1:39">
      <c r="A28" s="157" t="s">
        <v>448</v>
      </c>
      <c r="B28" s="44">
        <f>I_Channel_Design</f>
        <v>12</v>
      </c>
      <c r="C28" s="31" t="s">
        <v>4</v>
      </c>
      <c r="E28" s="34" t="s">
        <v>389</v>
      </c>
      <c r="N28">
        <v>2.1999999999999999E-2</v>
      </c>
      <c r="O28">
        <f t="shared" si="0"/>
        <v>5.5</v>
      </c>
      <c r="P28" s="5">
        <f t="shared" si="1"/>
        <v>0.3</v>
      </c>
      <c r="Q28" s="1">
        <f t="shared" si="2"/>
        <v>0.7</v>
      </c>
      <c r="R28" s="1">
        <f t="shared" si="3"/>
        <v>2.0615796519410976</v>
      </c>
      <c r="S28" s="6">
        <f t="shared" si="4"/>
        <v>6.5307898259705492</v>
      </c>
      <c r="T28" s="5">
        <f t="shared" si="5"/>
        <v>0.27499999999999997</v>
      </c>
      <c r="U28" s="1">
        <f t="shared" si="6"/>
        <v>0.72500000000000009</v>
      </c>
      <c r="V28" s="1">
        <f t="shared" si="7"/>
        <v>2.1352074966532792</v>
      </c>
      <c r="W28" s="6">
        <f t="shared" si="8"/>
        <v>6.5676037483266398</v>
      </c>
      <c r="X28" s="5">
        <f t="shared" si="9"/>
        <v>0.25384615384615383</v>
      </c>
      <c r="Y28" s="1">
        <f t="shared" si="10"/>
        <v>0.74615384615384617</v>
      </c>
      <c r="Z28" s="1">
        <f t="shared" si="11"/>
        <v>2.1975079806405104</v>
      </c>
      <c r="AA28" s="6">
        <f t="shared" si="12"/>
        <v>6.5987539903202554</v>
      </c>
      <c r="AB28" s="5">
        <f t="shared" si="13"/>
        <v>0.25</v>
      </c>
      <c r="AC28" s="1">
        <f t="shared" si="14"/>
        <v>0.75</v>
      </c>
      <c r="AD28" s="1">
        <f t="shared" si="15"/>
        <v>2.0080321285140559</v>
      </c>
      <c r="AE28" s="6">
        <f t="shared" si="16"/>
        <v>6.5040160642570282</v>
      </c>
      <c r="AF28" s="5">
        <f t="shared" si="17"/>
        <v>0.27499999999999997</v>
      </c>
      <c r="AG28" s="1">
        <f t="shared" si="18"/>
        <v>0.72500000000000009</v>
      </c>
      <c r="AH28" s="1">
        <f t="shared" si="23"/>
        <v>2.1352074966532792</v>
      </c>
      <c r="AI28" s="6">
        <f t="shared" si="24"/>
        <v>6.5676037483266398</v>
      </c>
      <c r="AJ28" s="5">
        <f t="shared" si="19"/>
        <v>0.29166666666666669</v>
      </c>
      <c r="AK28" s="1">
        <f t="shared" si="20"/>
        <v>0.70833333333333326</v>
      </c>
      <c r="AL28" s="1">
        <f t="shared" si="21"/>
        <v>2.2125539193812287</v>
      </c>
      <c r="AM28" s="6">
        <f t="shared" si="22"/>
        <v>6.6062769596906143</v>
      </c>
    </row>
    <row r="29" spans="1:39">
      <c r="A29" s="31" t="s">
        <v>165</v>
      </c>
      <c r="B29" s="44">
        <f>B25*V12_Nom</f>
        <v>39.599999999999994</v>
      </c>
      <c r="C29" s="31" t="s">
        <v>124</v>
      </c>
      <c r="E29" s="34" t="s">
        <v>166</v>
      </c>
      <c r="N29">
        <v>2.3E-2</v>
      </c>
      <c r="O29">
        <f t="shared" si="0"/>
        <v>5.75</v>
      </c>
      <c r="P29" s="5">
        <f t="shared" si="1"/>
        <v>0.3</v>
      </c>
      <c r="Q29" s="1">
        <f t="shared" si="2"/>
        <v>0.7</v>
      </c>
      <c r="R29" s="1">
        <f t="shared" si="3"/>
        <v>2.0615796519410976</v>
      </c>
      <c r="S29" s="6">
        <f t="shared" si="4"/>
        <v>6.7807898259705492</v>
      </c>
      <c r="T29" s="5">
        <f t="shared" si="5"/>
        <v>0.27499999999999997</v>
      </c>
      <c r="U29" s="1">
        <f t="shared" si="6"/>
        <v>0.72500000000000009</v>
      </c>
      <c r="V29" s="1">
        <f t="shared" si="7"/>
        <v>2.1352074966532792</v>
      </c>
      <c r="W29" s="6">
        <f t="shared" si="8"/>
        <v>6.8176037483266398</v>
      </c>
      <c r="X29" s="5">
        <f t="shared" si="9"/>
        <v>0.25384615384615383</v>
      </c>
      <c r="Y29" s="1">
        <f t="shared" si="10"/>
        <v>0.74615384615384617</v>
      </c>
      <c r="Z29" s="1">
        <f t="shared" si="11"/>
        <v>2.1975079806405104</v>
      </c>
      <c r="AA29" s="6">
        <f t="shared" si="12"/>
        <v>6.8487539903202554</v>
      </c>
      <c r="AB29" s="5">
        <f t="shared" si="13"/>
        <v>0.25</v>
      </c>
      <c r="AC29" s="1">
        <f t="shared" si="14"/>
        <v>0.75</v>
      </c>
      <c r="AD29" s="1">
        <f t="shared" si="15"/>
        <v>2.0080321285140559</v>
      </c>
      <c r="AE29" s="6">
        <f t="shared" si="16"/>
        <v>6.7540160642570282</v>
      </c>
      <c r="AF29" s="5">
        <f t="shared" si="17"/>
        <v>0.27499999999999997</v>
      </c>
      <c r="AG29" s="1">
        <f t="shared" si="18"/>
        <v>0.72500000000000009</v>
      </c>
      <c r="AH29" s="1">
        <f t="shared" si="23"/>
        <v>2.1352074966532792</v>
      </c>
      <c r="AI29" s="6">
        <f t="shared" si="24"/>
        <v>6.8176037483266398</v>
      </c>
      <c r="AJ29" s="5">
        <f t="shared" si="19"/>
        <v>0.29166666666666669</v>
      </c>
      <c r="AK29" s="1">
        <f t="shared" si="20"/>
        <v>0.70833333333333326</v>
      </c>
      <c r="AL29" s="1">
        <f t="shared" si="21"/>
        <v>2.2125539193812287</v>
      </c>
      <c r="AM29" s="6">
        <f t="shared" si="22"/>
        <v>6.8562769596906143</v>
      </c>
    </row>
    <row r="30" spans="1:39">
      <c r="A30" s="31" t="s">
        <v>127</v>
      </c>
      <c r="B30" s="44">
        <f>(VCS_Max/MAX(B25,B28))*1000</f>
        <v>4.166666666666667</v>
      </c>
      <c r="C30" s="31" t="s">
        <v>125</v>
      </c>
      <c r="E30" s="34" t="s">
        <v>128</v>
      </c>
      <c r="N30">
        <v>2.4E-2</v>
      </c>
      <c r="O30">
        <f t="shared" si="0"/>
        <v>6</v>
      </c>
      <c r="P30" s="5">
        <f t="shared" si="1"/>
        <v>0.3</v>
      </c>
      <c r="Q30" s="1">
        <f t="shared" si="2"/>
        <v>0.7</v>
      </c>
      <c r="R30" s="1">
        <f t="shared" si="3"/>
        <v>2.0615796519410976</v>
      </c>
      <c r="S30" s="6">
        <f t="shared" si="4"/>
        <v>7.0307898259705492</v>
      </c>
      <c r="T30" s="5">
        <f t="shared" si="5"/>
        <v>0.27499999999999997</v>
      </c>
      <c r="U30" s="1">
        <f t="shared" si="6"/>
        <v>0.72500000000000009</v>
      </c>
      <c r="V30" s="1">
        <f t="shared" si="7"/>
        <v>2.1352074966532792</v>
      </c>
      <c r="W30" s="6">
        <f t="shared" si="8"/>
        <v>7.0676037483266398</v>
      </c>
      <c r="X30" s="5">
        <f t="shared" si="9"/>
        <v>0.25384615384615383</v>
      </c>
      <c r="Y30" s="1">
        <f t="shared" si="10"/>
        <v>0.74615384615384617</v>
      </c>
      <c r="Z30" s="1">
        <f t="shared" si="11"/>
        <v>2.1975079806405104</v>
      </c>
      <c r="AA30" s="6">
        <f t="shared" si="12"/>
        <v>7.0987539903202554</v>
      </c>
      <c r="AB30" s="5">
        <f t="shared" si="13"/>
        <v>0.25</v>
      </c>
      <c r="AC30" s="1">
        <f t="shared" si="14"/>
        <v>0.75</v>
      </c>
      <c r="AD30" s="1">
        <f t="shared" si="15"/>
        <v>2.0080321285140559</v>
      </c>
      <c r="AE30" s="6">
        <f t="shared" si="16"/>
        <v>7.0040160642570282</v>
      </c>
      <c r="AF30" s="5">
        <f t="shared" si="17"/>
        <v>0.27499999999999997</v>
      </c>
      <c r="AG30" s="1">
        <f t="shared" si="18"/>
        <v>0.72500000000000009</v>
      </c>
      <c r="AH30" s="1">
        <f t="shared" si="23"/>
        <v>2.1352074966532792</v>
      </c>
      <c r="AI30" s="6">
        <f t="shared" si="24"/>
        <v>7.0676037483266398</v>
      </c>
      <c r="AJ30" s="5">
        <f t="shared" si="19"/>
        <v>0.29166666666666669</v>
      </c>
      <c r="AK30" s="1">
        <f t="shared" si="20"/>
        <v>0.70833333333333326</v>
      </c>
      <c r="AL30" s="1">
        <f t="shared" si="21"/>
        <v>2.2125539193812287</v>
      </c>
      <c r="AM30" s="6">
        <f t="shared" si="22"/>
        <v>7.1062769596906143</v>
      </c>
    </row>
    <row r="31" spans="1:39">
      <c r="A31" s="31" t="s">
        <v>129</v>
      </c>
      <c r="B31" s="43">
        <f>Design_Converter!B29</f>
        <v>4</v>
      </c>
      <c r="C31" s="31" t="s">
        <v>125</v>
      </c>
      <c r="E31" s="34" t="s">
        <v>8</v>
      </c>
      <c r="N31">
        <v>2.5000000000000001E-2</v>
      </c>
      <c r="O31">
        <f t="shared" si="0"/>
        <v>6.25</v>
      </c>
      <c r="P31" s="5">
        <f t="shared" si="1"/>
        <v>0.3</v>
      </c>
      <c r="Q31" s="1">
        <f t="shared" si="2"/>
        <v>0.7</v>
      </c>
      <c r="R31" s="1">
        <f t="shared" si="3"/>
        <v>2.0615796519410976</v>
      </c>
      <c r="S31" s="6">
        <f t="shared" si="4"/>
        <v>7.2807898259705492</v>
      </c>
      <c r="T31" s="5">
        <f t="shared" si="5"/>
        <v>0.27499999999999997</v>
      </c>
      <c r="U31" s="1">
        <f t="shared" si="6"/>
        <v>0.72500000000000009</v>
      </c>
      <c r="V31" s="1">
        <f t="shared" si="7"/>
        <v>2.1352074966532792</v>
      </c>
      <c r="W31" s="6">
        <f t="shared" si="8"/>
        <v>7.3176037483266398</v>
      </c>
      <c r="X31" s="5">
        <f t="shared" si="9"/>
        <v>0.25384615384615383</v>
      </c>
      <c r="Y31" s="1">
        <f t="shared" si="10"/>
        <v>0.74615384615384617</v>
      </c>
      <c r="Z31" s="1">
        <f t="shared" si="11"/>
        <v>2.1975079806405104</v>
      </c>
      <c r="AA31" s="6">
        <f t="shared" si="12"/>
        <v>7.3487539903202554</v>
      </c>
      <c r="AB31" s="5">
        <f t="shared" si="13"/>
        <v>0.25</v>
      </c>
      <c r="AC31" s="1">
        <f t="shared" si="14"/>
        <v>0.75</v>
      </c>
      <c r="AD31" s="1">
        <f t="shared" si="15"/>
        <v>2.0080321285140559</v>
      </c>
      <c r="AE31" s="6">
        <f t="shared" si="16"/>
        <v>7.2540160642570282</v>
      </c>
      <c r="AF31" s="5">
        <f t="shared" si="17"/>
        <v>0.27499999999999997</v>
      </c>
      <c r="AG31" s="1">
        <f t="shared" si="18"/>
        <v>0.72500000000000009</v>
      </c>
      <c r="AH31" s="1">
        <f t="shared" si="23"/>
        <v>2.1352074966532792</v>
      </c>
      <c r="AI31" s="6">
        <f t="shared" si="24"/>
        <v>7.3176037483266398</v>
      </c>
      <c r="AJ31" s="5">
        <f t="shared" si="19"/>
        <v>0.29166666666666669</v>
      </c>
      <c r="AK31" s="1">
        <f t="shared" si="20"/>
        <v>0.70833333333333326</v>
      </c>
      <c r="AL31" s="1">
        <f t="shared" si="21"/>
        <v>2.2125539193812287</v>
      </c>
      <c r="AM31" s="6">
        <f t="shared" si="22"/>
        <v>7.3562769596906143</v>
      </c>
    </row>
    <row r="32" spans="1:39">
      <c r="A32" s="31" t="s">
        <v>132</v>
      </c>
      <c r="B32" s="46">
        <f>VCS_Max/Rcs</f>
        <v>12.5</v>
      </c>
      <c r="C32" s="31" t="s">
        <v>4</v>
      </c>
      <c r="E32" s="34" t="s">
        <v>163</v>
      </c>
      <c r="N32">
        <v>2.5999999999999999E-2</v>
      </c>
      <c r="O32">
        <f t="shared" si="0"/>
        <v>6.5</v>
      </c>
      <c r="P32" s="5">
        <f t="shared" si="1"/>
        <v>0.3</v>
      </c>
      <c r="Q32" s="1">
        <f t="shared" si="2"/>
        <v>0.7</v>
      </c>
      <c r="R32" s="1">
        <f t="shared" si="3"/>
        <v>2.0615796519410976</v>
      </c>
      <c r="S32" s="6">
        <f t="shared" si="4"/>
        <v>7.5307898259705492</v>
      </c>
      <c r="T32" s="5">
        <f t="shared" si="5"/>
        <v>0.27499999999999997</v>
      </c>
      <c r="U32" s="1">
        <f t="shared" si="6"/>
        <v>0.72500000000000009</v>
      </c>
      <c r="V32" s="1">
        <f t="shared" si="7"/>
        <v>2.1352074966532792</v>
      </c>
      <c r="W32" s="6">
        <f t="shared" si="8"/>
        <v>7.5676037483266398</v>
      </c>
      <c r="X32" s="5">
        <f t="shared" si="9"/>
        <v>0.25384615384615383</v>
      </c>
      <c r="Y32" s="1">
        <f t="shared" si="10"/>
        <v>0.74615384615384617</v>
      </c>
      <c r="Z32" s="1">
        <f t="shared" si="11"/>
        <v>2.1975079806405104</v>
      </c>
      <c r="AA32" s="6">
        <f t="shared" si="12"/>
        <v>7.5987539903202554</v>
      </c>
      <c r="AB32" s="5">
        <f t="shared" si="13"/>
        <v>0.25</v>
      </c>
      <c r="AC32" s="1">
        <f t="shared" si="14"/>
        <v>0.75</v>
      </c>
      <c r="AD32" s="1">
        <f t="shared" si="15"/>
        <v>2.0080321285140559</v>
      </c>
      <c r="AE32" s="6">
        <f t="shared" si="16"/>
        <v>7.5040160642570282</v>
      </c>
      <c r="AF32" s="5">
        <f t="shared" si="17"/>
        <v>0.27499999999999997</v>
      </c>
      <c r="AG32" s="1">
        <f t="shared" si="18"/>
        <v>0.72500000000000009</v>
      </c>
      <c r="AH32" s="1">
        <f t="shared" si="23"/>
        <v>2.1352074966532792</v>
      </c>
      <c r="AI32" s="6">
        <f t="shared" si="24"/>
        <v>7.5676037483266398</v>
      </c>
      <c r="AJ32" s="5">
        <f t="shared" si="19"/>
        <v>0.29166666666666669</v>
      </c>
      <c r="AK32" s="1">
        <f t="shared" si="20"/>
        <v>0.70833333333333326</v>
      </c>
      <c r="AL32" s="1">
        <f t="shared" si="21"/>
        <v>2.2125539193812287</v>
      </c>
      <c r="AM32" s="6">
        <f t="shared" si="22"/>
        <v>7.6062769596906143</v>
      </c>
    </row>
    <row r="33" spans="1:39">
      <c r="A33" s="31" t="s">
        <v>130</v>
      </c>
      <c r="B33" s="44">
        <f>V12_Nom*B32</f>
        <v>41.25</v>
      </c>
      <c r="C33" s="31" t="s">
        <v>124</v>
      </c>
      <c r="E33" s="34" t="s">
        <v>167</v>
      </c>
      <c r="N33">
        <v>2.7E-2</v>
      </c>
      <c r="O33">
        <f t="shared" si="0"/>
        <v>6.75</v>
      </c>
      <c r="P33" s="5">
        <f t="shared" si="1"/>
        <v>0.3</v>
      </c>
      <c r="Q33" s="1">
        <f t="shared" si="2"/>
        <v>0.7</v>
      </c>
      <c r="R33" s="1">
        <f t="shared" si="3"/>
        <v>2.0615796519410976</v>
      </c>
      <c r="S33" s="6">
        <f t="shared" si="4"/>
        <v>7.7807898259705492</v>
      </c>
      <c r="T33" s="5">
        <f t="shared" si="5"/>
        <v>0.27499999999999997</v>
      </c>
      <c r="U33" s="1">
        <f t="shared" si="6"/>
        <v>0.72500000000000009</v>
      </c>
      <c r="V33" s="1">
        <f t="shared" si="7"/>
        <v>2.1352074966532792</v>
      </c>
      <c r="W33" s="6">
        <f t="shared" si="8"/>
        <v>7.8176037483266398</v>
      </c>
      <c r="X33" s="5">
        <f t="shared" si="9"/>
        <v>0.25384615384615383</v>
      </c>
      <c r="Y33" s="1">
        <f t="shared" si="10"/>
        <v>0.74615384615384617</v>
      </c>
      <c r="Z33" s="1">
        <f t="shared" si="11"/>
        <v>2.1975079806405104</v>
      </c>
      <c r="AA33" s="6">
        <f t="shared" si="12"/>
        <v>7.8487539903202554</v>
      </c>
      <c r="AB33" s="5">
        <f t="shared" si="13"/>
        <v>0.25</v>
      </c>
      <c r="AC33" s="1">
        <f t="shared" si="14"/>
        <v>0.75</v>
      </c>
      <c r="AD33" s="1">
        <f t="shared" si="15"/>
        <v>2.0080321285140559</v>
      </c>
      <c r="AE33" s="6">
        <f t="shared" si="16"/>
        <v>7.7540160642570282</v>
      </c>
      <c r="AF33" s="5">
        <f t="shared" si="17"/>
        <v>0.27499999999999997</v>
      </c>
      <c r="AG33" s="1">
        <f t="shared" si="18"/>
        <v>0.72500000000000009</v>
      </c>
      <c r="AH33" s="1">
        <f t="shared" si="23"/>
        <v>2.1352074966532792</v>
      </c>
      <c r="AI33" s="6">
        <f t="shared" si="24"/>
        <v>7.8176037483266398</v>
      </c>
      <c r="AJ33" s="5">
        <f t="shared" si="19"/>
        <v>0.29166666666666669</v>
      </c>
      <c r="AK33" s="1">
        <f t="shared" si="20"/>
        <v>0.70833333333333326</v>
      </c>
      <c r="AL33" s="1">
        <f t="shared" si="21"/>
        <v>2.2125539193812287</v>
      </c>
      <c r="AM33" s="6">
        <f t="shared" si="22"/>
        <v>7.8562769596906143</v>
      </c>
    </row>
    <row r="34" spans="1:39">
      <c r="A34" s="31" t="s">
        <v>134</v>
      </c>
      <c r="B34" s="44">
        <f>I_Channel*np</f>
        <v>12.5</v>
      </c>
      <c r="C34" s="31" t="s">
        <v>4</v>
      </c>
      <c r="E34" s="34" t="s">
        <v>168</v>
      </c>
      <c r="N34">
        <v>2.8000000000000001E-2</v>
      </c>
      <c r="O34">
        <f t="shared" si="0"/>
        <v>7</v>
      </c>
      <c r="P34" s="5">
        <f t="shared" si="1"/>
        <v>0.3</v>
      </c>
      <c r="Q34" s="1">
        <f t="shared" si="2"/>
        <v>0.7</v>
      </c>
      <c r="R34" s="1">
        <f t="shared" si="3"/>
        <v>2.0615796519410976</v>
      </c>
      <c r="S34" s="6">
        <f t="shared" si="4"/>
        <v>8.0307898259705492</v>
      </c>
      <c r="T34" s="5">
        <f t="shared" si="5"/>
        <v>0.27499999999999997</v>
      </c>
      <c r="U34" s="1">
        <f t="shared" si="6"/>
        <v>0.72500000000000009</v>
      </c>
      <c r="V34" s="1">
        <f t="shared" si="7"/>
        <v>2.1352074966532792</v>
      </c>
      <c r="W34" s="6">
        <f t="shared" si="8"/>
        <v>8.0676037483266398</v>
      </c>
      <c r="X34" s="5">
        <f t="shared" si="9"/>
        <v>0.25384615384615383</v>
      </c>
      <c r="Y34" s="1">
        <f t="shared" si="10"/>
        <v>0.74615384615384617</v>
      </c>
      <c r="Z34" s="1">
        <f t="shared" si="11"/>
        <v>2.1975079806405104</v>
      </c>
      <c r="AA34" s="6">
        <f t="shared" si="12"/>
        <v>8.0987539903202546</v>
      </c>
      <c r="AB34" s="5">
        <f t="shared" si="13"/>
        <v>0.25</v>
      </c>
      <c r="AC34" s="1">
        <f t="shared" si="14"/>
        <v>0.75</v>
      </c>
      <c r="AD34" s="1">
        <f t="shared" si="15"/>
        <v>2.0080321285140559</v>
      </c>
      <c r="AE34" s="6">
        <f t="shared" si="16"/>
        <v>8.0040160642570282</v>
      </c>
      <c r="AF34" s="5">
        <f t="shared" si="17"/>
        <v>0.27499999999999997</v>
      </c>
      <c r="AG34" s="1">
        <f t="shared" si="18"/>
        <v>0.72500000000000009</v>
      </c>
      <c r="AH34" s="1">
        <f t="shared" si="23"/>
        <v>2.1352074966532792</v>
      </c>
      <c r="AI34" s="6">
        <f t="shared" si="24"/>
        <v>8.0676037483266398</v>
      </c>
      <c r="AJ34" s="5">
        <f t="shared" si="19"/>
        <v>0.29166666666666669</v>
      </c>
      <c r="AK34" s="1">
        <f t="shared" si="20"/>
        <v>0.70833333333333326</v>
      </c>
      <c r="AL34" s="1">
        <f t="shared" si="21"/>
        <v>2.2125539193812287</v>
      </c>
      <c r="AM34" s="6">
        <f t="shared" si="22"/>
        <v>8.1062769596906143</v>
      </c>
    </row>
    <row r="35" spans="1:39">
      <c r="A35" s="31" t="s">
        <v>135</v>
      </c>
      <c r="B35" s="44">
        <f>B33*np</f>
        <v>41.25</v>
      </c>
      <c r="C35" s="31" t="s">
        <v>124</v>
      </c>
      <c r="E35" s="34" t="s">
        <v>169</v>
      </c>
      <c r="N35">
        <v>2.9000000000000001E-2</v>
      </c>
      <c r="O35">
        <f t="shared" si="0"/>
        <v>7.25</v>
      </c>
      <c r="P35" s="5">
        <f t="shared" si="1"/>
        <v>0.3</v>
      </c>
      <c r="Q35" s="1">
        <f t="shared" si="2"/>
        <v>0.7</v>
      </c>
      <c r="R35" s="1">
        <f t="shared" si="3"/>
        <v>2.0615796519410976</v>
      </c>
      <c r="S35" s="6">
        <f t="shared" si="4"/>
        <v>8.2807898259705492</v>
      </c>
      <c r="T35" s="5">
        <f t="shared" si="5"/>
        <v>0.27499999999999997</v>
      </c>
      <c r="U35" s="1">
        <f t="shared" si="6"/>
        <v>0.72500000000000009</v>
      </c>
      <c r="V35" s="1">
        <f t="shared" si="7"/>
        <v>2.1352074966532792</v>
      </c>
      <c r="W35" s="6">
        <f t="shared" si="8"/>
        <v>8.3176037483266398</v>
      </c>
      <c r="X35" s="5">
        <f t="shared" si="9"/>
        <v>0.25384615384615383</v>
      </c>
      <c r="Y35" s="1">
        <f t="shared" si="10"/>
        <v>0.74615384615384617</v>
      </c>
      <c r="Z35" s="1">
        <f t="shared" si="11"/>
        <v>2.1975079806405104</v>
      </c>
      <c r="AA35" s="6">
        <f t="shared" si="12"/>
        <v>8.3487539903202546</v>
      </c>
      <c r="AB35" s="5">
        <f t="shared" si="13"/>
        <v>0.25</v>
      </c>
      <c r="AC35" s="1">
        <f t="shared" si="14"/>
        <v>0.75</v>
      </c>
      <c r="AD35" s="1">
        <f t="shared" si="15"/>
        <v>2.0080321285140559</v>
      </c>
      <c r="AE35" s="6">
        <f t="shared" si="16"/>
        <v>8.2540160642570282</v>
      </c>
      <c r="AF35" s="5">
        <f t="shared" si="17"/>
        <v>0.27499999999999997</v>
      </c>
      <c r="AG35" s="1">
        <f t="shared" si="18"/>
        <v>0.72500000000000009</v>
      </c>
      <c r="AH35" s="1">
        <f t="shared" si="23"/>
        <v>2.1352074966532792</v>
      </c>
      <c r="AI35" s="6">
        <f t="shared" si="24"/>
        <v>8.3176037483266398</v>
      </c>
      <c r="AJ35" s="5">
        <f t="shared" si="19"/>
        <v>0.29166666666666669</v>
      </c>
      <c r="AK35" s="1">
        <f t="shared" si="20"/>
        <v>0.70833333333333326</v>
      </c>
      <c r="AL35" s="1">
        <f t="shared" si="21"/>
        <v>2.2125539193812287</v>
      </c>
      <c r="AM35" s="6">
        <f t="shared" si="22"/>
        <v>8.3562769596906143</v>
      </c>
    </row>
    <row r="36" spans="1:39">
      <c r="N36">
        <v>0.03</v>
      </c>
      <c r="O36">
        <f t="shared" si="0"/>
        <v>7.5</v>
      </c>
      <c r="P36" s="5">
        <f t="shared" si="1"/>
        <v>0.3</v>
      </c>
      <c r="Q36" s="1">
        <f t="shared" si="2"/>
        <v>0.7</v>
      </c>
      <c r="R36" s="1">
        <f t="shared" si="3"/>
        <v>2.0615796519410976</v>
      </c>
      <c r="S36" s="6">
        <f t="shared" si="4"/>
        <v>8.5307898259705492</v>
      </c>
      <c r="T36" s="5">
        <f t="shared" si="5"/>
        <v>0.27499999999999997</v>
      </c>
      <c r="U36" s="1">
        <f t="shared" si="6"/>
        <v>0.72500000000000009</v>
      </c>
      <c r="V36" s="1">
        <f t="shared" si="7"/>
        <v>2.1352074966532792</v>
      </c>
      <c r="W36" s="6">
        <f t="shared" si="8"/>
        <v>8.5676037483266398</v>
      </c>
      <c r="X36" s="5">
        <f t="shared" si="9"/>
        <v>0.25384615384615383</v>
      </c>
      <c r="Y36" s="1">
        <f t="shared" si="10"/>
        <v>0.74615384615384617</v>
      </c>
      <c r="Z36" s="1">
        <f t="shared" si="11"/>
        <v>2.1975079806405104</v>
      </c>
      <c r="AA36" s="6">
        <f t="shared" si="12"/>
        <v>8.5987539903202546</v>
      </c>
      <c r="AB36" s="5">
        <f t="shared" si="13"/>
        <v>0.25</v>
      </c>
      <c r="AC36" s="1">
        <f t="shared" si="14"/>
        <v>0.75</v>
      </c>
      <c r="AD36" s="1">
        <f t="shared" si="15"/>
        <v>2.0080321285140559</v>
      </c>
      <c r="AE36" s="6">
        <f t="shared" si="16"/>
        <v>8.5040160642570282</v>
      </c>
      <c r="AF36" s="5">
        <f t="shared" si="17"/>
        <v>0.27499999999999997</v>
      </c>
      <c r="AG36" s="1">
        <f t="shared" si="18"/>
        <v>0.72500000000000009</v>
      </c>
      <c r="AH36" s="1">
        <f t="shared" si="23"/>
        <v>2.1352074966532792</v>
      </c>
      <c r="AI36" s="6">
        <f t="shared" si="24"/>
        <v>8.5676037483266398</v>
      </c>
      <c r="AJ36" s="5">
        <f t="shared" si="19"/>
        <v>0.29166666666666669</v>
      </c>
      <c r="AK36" s="1">
        <f t="shared" si="20"/>
        <v>0.70833333333333326</v>
      </c>
      <c r="AL36" s="1">
        <f t="shared" si="21"/>
        <v>2.2125539193812287</v>
      </c>
      <c r="AM36" s="6">
        <f t="shared" si="22"/>
        <v>8.6062769596906143</v>
      </c>
    </row>
    <row r="37" spans="1:39">
      <c r="N37">
        <v>3.1E-2</v>
      </c>
      <c r="O37">
        <f t="shared" si="0"/>
        <v>7.75</v>
      </c>
      <c r="P37" s="5">
        <f t="shared" si="1"/>
        <v>0.3</v>
      </c>
      <c r="Q37" s="1">
        <f t="shared" si="2"/>
        <v>0.7</v>
      </c>
      <c r="R37" s="1">
        <f t="shared" si="3"/>
        <v>2.0615796519410976</v>
      </c>
      <c r="S37" s="6">
        <f t="shared" si="4"/>
        <v>8.7807898259705492</v>
      </c>
      <c r="T37" s="5">
        <f t="shared" si="5"/>
        <v>0.27499999999999997</v>
      </c>
      <c r="U37" s="1">
        <f t="shared" si="6"/>
        <v>0.72500000000000009</v>
      </c>
      <c r="V37" s="1">
        <f t="shared" si="7"/>
        <v>2.1352074966532792</v>
      </c>
      <c r="W37" s="6">
        <f t="shared" si="8"/>
        <v>8.8176037483266398</v>
      </c>
      <c r="X37" s="5">
        <f t="shared" si="9"/>
        <v>0.25384615384615383</v>
      </c>
      <c r="Y37" s="1">
        <f t="shared" si="10"/>
        <v>0.74615384615384617</v>
      </c>
      <c r="Z37" s="1">
        <f t="shared" si="11"/>
        <v>2.1975079806405104</v>
      </c>
      <c r="AA37" s="6">
        <f t="shared" si="12"/>
        <v>8.8487539903202546</v>
      </c>
      <c r="AB37" s="5">
        <f t="shared" si="13"/>
        <v>0.25</v>
      </c>
      <c r="AC37" s="1">
        <f t="shared" si="14"/>
        <v>0.75</v>
      </c>
      <c r="AD37" s="1">
        <f t="shared" si="15"/>
        <v>2.0080321285140559</v>
      </c>
      <c r="AE37" s="6">
        <f t="shared" si="16"/>
        <v>8.7540160642570282</v>
      </c>
      <c r="AF37" s="5">
        <f t="shared" si="17"/>
        <v>0.27499999999999997</v>
      </c>
      <c r="AG37" s="1">
        <f t="shared" si="18"/>
        <v>0.72500000000000009</v>
      </c>
      <c r="AH37" s="1">
        <f t="shared" si="23"/>
        <v>2.1352074966532792</v>
      </c>
      <c r="AI37" s="6">
        <f t="shared" si="24"/>
        <v>8.8176037483266398</v>
      </c>
      <c r="AJ37" s="5">
        <f t="shared" si="19"/>
        <v>0.29166666666666669</v>
      </c>
      <c r="AK37" s="1">
        <f t="shared" si="20"/>
        <v>0.70833333333333326</v>
      </c>
      <c r="AL37" s="1">
        <f t="shared" si="21"/>
        <v>2.2125539193812287</v>
      </c>
      <c r="AM37" s="6">
        <f t="shared" si="22"/>
        <v>8.8562769596906143</v>
      </c>
    </row>
    <row r="38" spans="1:39">
      <c r="A38" s="32" t="s">
        <v>136</v>
      </c>
      <c r="B38" s="47"/>
      <c r="C38" s="31"/>
      <c r="N38">
        <v>3.2000000000000001E-2</v>
      </c>
      <c r="O38">
        <f t="shared" ref="O38:O56" si="25">N38/Rcs</f>
        <v>8</v>
      </c>
      <c r="P38" s="5">
        <f t="shared" ref="P38:P56" si="26">IF($O38&lt;((V48_Min-V12_Nom)*V12_Nom)/((2*Lm*Fsw)*V48_Min),SQRT((2*$O38*Lm*Fsw*V12_Nom)/(V48_Min*(V48_Min-V12_Nom))),(V12_Nom/V48_Min))</f>
        <v>0.3</v>
      </c>
      <c r="Q38" s="1">
        <f t="shared" ref="Q38:Q56" si="27">IF($O38&lt;((V48_Min-V12_Nom)*V12_Nom)/((2*Lm*Fsw)*V48_Min),SQRT((2*$O38*Lm*Fsw*V12_Nom)/(V48_Min*(V48_Min-V12_Nom)))*((V48_Min-V12_Nom)/(V12_Nom)),1-(V12_Nom/V48_Min))</f>
        <v>0.7</v>
      </c>
      <c r="R38" s="1">
        <f t="shared" ref="R38:R56" si="28">IF($O38&lt;((V48_Min-V12_Nom)*V12_Nom)/((2*Lm*Fsw)*V48_Min),(P38/(Fsw*Lm))*(V48_Min-V12_Nom),((P38/(Fsw*Lm))*(V48_Min-V12_Nom)))</f>
        <v>2.0615796519410976</v>
      </c>
      <c r="S38" s="6">
        <f t="shared" ref="S38:S56" si="29">IF($O38&lt;((V48_Min-V12_Nom)*V12_Nom)/((2*Lm*Fsw)*V48_Min),(P38/(Fsw*Lm))*(V48_Min-V12_Nom),(R38/2)+$O38)</f>
        <v>9.0307898259705492</v>
      </c>
      <c r="T38" s="5">
        <f t="shared" ref="T38:T56" si="30">IF($O38&lt;((V48_Nom-V12_Nom)*V12_Nom)/((2*Lm*Fsw)*V48_Nom),SQRT((2*$O38*Lm*Fsw*V12_Nom)/(V48_Nom*(V48_Nom-V12_Nom))),(V12_Nom/V48_Nom))</f>
        <v>0.27499999999999997</v>
      </c>
      <c r="U38" s="1">
        <f t="shared" ref="U38:U56" si="31">IF($O38&lt;((V48_Nom-V12_Nom)*V12_Nom)/((2*Lm*Fsw)*V48_Nom),SQRT((2*$O38*Lm*Fsw*V12_Nom)/(V48_Nom*(V48_Nom-V12_Nom)))*((V48_Nom-V12_Nom)/(V12_Nom)),1-(V12_Nom/V48_Nom))</f>
        <v>0.72500000000000009</v>
      </c>
      <c r="V38" s="1">
        <f t="shared" ref="V38:V56" si="32">IF($O38&lt;((V48_Nom-V12_Nom)*V12_Nom)/((2*Lm*Fsw)*V48_Nom),(T38/(Fsw*Lm))*(V48_Nom-V12_Nom),((T38/(Fsw*Lm))*(V48_Nom-V12_Nom)))</f>
        <v>2.1352074966532792</v>
      </c>
      <c r="W38" s="6">
        <f t="shared" ref="W38:W56" si="33">IF($O38&lt;((V48_Nom-V12_Nom)*V12_Nom)/((2*Lm*Fsw)*V48_Nom),(T38/(Fsw*Lm))*(V48_Nom-V12_Nom),(V38/2)+$O38)</f>
        <v>9.0676037483266398</v>
      </c>
      <c r="X38" s="5">
        <f t="shared" ref="X38:X56" si="34">IF($O38&lt;((V48_Max-V12_Nom)*V12_Nom)/((2*Lm*Fsw)*V48_Max),SQRT((2*$O38*Lm*Fsw*V12_Nom)/(V48_Max*(V48_Max-V12_Nom))),(V12_Nom/V48_Max))</f>
        <v>0.25384615384615383</v>
      </c>
      <c r="Y38" s="1">
        <f t="shared" ref="Y38:Y56" si="35">IF($O38&lt;((V48_Max-V12_Nom)*V12_Nom)/((2*Lm*Fsw)*V48_Max),SQRT((2*$O38*Lm*Fsw*V12_Nom)/(V48_Max*(V48_Max-V12_Nom)))*((V48_Max-V12_Nom)/(V12_Nom)),1-(V12_Nom/V48_Max))</f>
        <v>0.74615384615384617</v>
      </c>
      <c r="Z38" s="1">
        <f t="shared" ref="Z38:Z56" si="36">IF($O38&lt;((V48_Max-V12_Nom)*V12_Nom)/((2*Lm*Fsw)*V48_Max),(X38/(Fsw*Lm))*(V48_Max-V12_Nom),((X38/(Fsw*Lm))*(V48_Max-V12_Nom)))</f>
        <v>2.1975079806405104</v>
      </c>
      <c r="AA38" s="6">
        <f t="shared" ref="AA38:AA56" si="37">IF($O38&lt;((V48_Max-V12_Nom)*V12_Nom)/((2*Lm*Fsw)*V48_Max),(X38/(Fsw*Lm))*(V48_Max-V12_Nom),(Z38/2)+$O38)</f>
        <v>9.0987539903202546</v>
      </c>
      <c r="AB38" s="5">
        <f t="shared" ref="AB38:AB56" si="38">IF($O38&lt;((V48_Nom-V12_Min)*V12_Min)/((2*Lm*Fsw)*V48_Nom),SQRT((2*$O38*Lm*Fsw*V12_Min)/(V48_Nom*(V48_Nom-V12_Min))),(V12_Min/V48_Nom))</f>
        <v>0.25</v>
      </c>
      <c r="AC38" s="1">
        <f t="shared" ref="AC38:AC56" si="39">IF($O38&lt;((V48_Nom-V12_Min)*V12_Min)/((2*Lm*Fsw)*V48_Nom),SQRT((2*$O38*Lm*Fsw*V12_Min)/(V48_Nom*(V48_Nom-V12_Min)))*((V48_Nom-V12_Min)/(V12_Min)),1-(V12_Min/V48_Nom))</f>
        <v>0.75</v>
      </c>
      <c r="AD38" s="1">
        <f t="shared" ref="AD38:AD56" si="40">IF($O38&lt;((V48_Nom-V12_Min)*V12_Min)/((2*Lm*Fsw)*V48_Nom),(AB38/(Fsw*Lm))*(V48_Nom-V12_Min),((AB38/(Fsw*Lm))*(V48_Nom-V12_Min)))</f>
        <v>2.0080321285140559</v>
      </c>
      <c r="AE38" s="6">
        <f t="shared" ref="AE38:AE56" si="41">IF($O38&lt;((V48_Nom-V12_Min)*V12_Min)/((2*Lm*Fsw)*V48_Nom),(AB38/(Fsw*Lm))*(V48_Nom-V12_Min),(AD38/2)+$O38)</f>
        <v>9.0040160642570282</v>
      </c>
      <c r="AF38" s="5">
        <f t="shared" si="17"/>
        <v>0.27499999999999997</v>
      </c>
      <c r="AG38" s="1">
        <f t="shared" si="18"/>
        <v>0.72500000000000009</v>
      </c>
      <c r="AH38" s="1">
        <f t="shared" si="23"/>
        <v>2.1352074966532792</v>
      </c>
      <c r="AI38" s="6">
        <f t="shared" si="24"/>
        <v>9.0676037483266398</v>
      </c>
      <c r="AJ38" s="5">
        <f t="shared" ref="AJ38:AJ56" si="42">IF($O38&lt;((V48_Nom-V12_Max)*V12_Max)/((2*Lm*Fsw)*V48_Nom),SQRT((2*$O38*Lm*Fsw*V12_Max)/(V48_Nom*(V48_Nom-V12_Max))),(V12_Max/V48_Nom))</f>
        <v>0.29166666666666669</v>
      </c>
      <c r="AK38" s="1">
        <f t="shared" ref="AK38:AK56" si="43">IF($O38&lt;((V48_Nom-V12_Max)*V12_Max)/((2*Lm*Fsw)*V48_Nom),SQRT((2*$O38*Lm*Fsw*V12_Max)/(V48_Nom*(V48_Nom-V12_Max)))*((V48_Nom-V12_Max)/(V12_Max)),1-(V12_Max/V48_Nom))</f>
        <v>0.70833333333333326</v>
      </c>
      <c r="AL38" s="1">
        <f t="shared" ref="AL38:AL56" si="44">IF($O38&lt;((V48_Nom-V12_Max)*V12_Max)/((2*Lm*Fsw)*V48_Nom),(AJ38/(Fsw*Lm))*(V48_Nom-V12_Max),((AJ38/(Fsw*Lm))*(V48_Nom-V12_Max)))</f>
        <v>2.2125539193812287</v>
      </c>
      <c r="AM38" s="6">
        <f t="shared" ref="AM38:AM56" si="45">IF($O38&lt;((V48_Nom-V12_Max)*V12_Max)/((2*Lm*Fsw)*V48_Nom),(AJ38/(Fsw*Lm))*(V48_Nom-V12_Max),(AL38/2)+$O38)</f>
        <v>9.1062769596906143</v>
      </c>
    </row>
    <row r="39" spans="1:39">
      <c r="A39" s="31" t="s">
        <v>139</v>
      </c>
      <c r="B39" s="43">
        <f>Design_Converter!B36/100</f>
        <v>0.17</v>
      </c>
      <c r="C39" s="31"/>
      <c r="E39" s="34" t="s">
        <v>170</v>
      </c>
      <c r="N39">
        <v>3.3000000000000002E-2</v>
      </c>
      <c r="O39">
        <f t="shared" si="25"/>
        <v>8.25</v>
      </c>
      <c r="P39" s="5">
        <f t="shared" si="26"/>
        <v>0.3</v>
      </c>
      <c r="Q39" s="1">
        <f t="shared" si="27"/>
        <v>0.7</v>
      </c>
      <c r="R39" s="1">
        <f t="shared" si="28"/>
        <v>2.0615796519410976</v>
      </c>
      <c r="S39" s="6">
        <f t="shared" si="29"/>
        <v>9.2807898259705492</v>
      </c>
      <c r="T39" s="5">
        <f t="shared" si="30"/>
        <v>0.27499999999999997</v>
      </c>
      <c r="U39" s="1">
        <f t="shared" si="31"/>
        <v>0.72500000000000009</v>
      </c>
      <c r="V39" s="1">
        <f t="shared" si="32"/>
        <v>2.1352074966532792</v>
      </c>
      <c r="W39" s="6">
        <f t="shared" si="33"/>
        <v>9.3176037483266398</v>
      </c>
      <c r="X39" s="5">
        <f t="shared" si="34"/>
        <v>0.25384615384615383</v>
      </c>
      <c r="Y39" s="1">
        <f t="shared" si="35"/>
        <v>0.74615384615384617</v>
      </c>
      <c r="Z39" s="1">
        <f t="shared" si="36"/>
        <v>2.1975079806405104</v>
      </c>
      <c r="AA39" s="6">
        <f t="shared" si="37"/>
        <v>9.3487539903202546</v>
      </c>
      <c r="AB39" s="5">
        <f t="shared" si="38"/>
        <v>0.25</v>
      </c>
      <c r="AC39" s="1">
        <f t="shared" si="39"/>
        <v>0.75</v>
      </c>
      <c r="AD39" s="1">
        <f t="shared" si="40"/>
        <v>2.0080321285140559</v>
      </c>
      <c r="AE39" s="6">
        <f t="shared" si="41"/>
        <v>9.2540160642570282</v>
      </c>
      <c r="AF39" s="5">
        <f t="shared" si="17"/>
        <v>0.27499999999999997</v>
      </c>
      <c r="AG39" s="1">
        <f t="shared" si="18"/>
        <v>0.72500000000000009</v>
      </c>
      <c r="AH39" s="1">
        <f t="shared" si="23"/>
        <v>2.1352074966532792</v>
      </c>
      <c r="AI39" s="6">
        <f t="shared" si="24"/>
        <v>9.3176037483266398</v>
      </c>
      <c r="AJ39" s="5">
        <f t="shared" si="42"/>
        <v>0.29166666666666669</v>
      </c>
      <c r="AK39" s="1">
        <f t="shared" si="43"/>
        <v>0.70833333333333326</v>
      </c>
      <c r="AL39" s="1">
        <f t="shared" si="44"/>
        <v>2.2125539193812287</v>
      </c>
      <c r="AM39" s="6">
        <f t="shared" si="45"/>
        <v>9.3562769596906143</v>
      </c>
    </row>
    <row r="40" spans="1:39">
      <c r="A40" s="157" t="s">
        <v>378</v>
      </c>
      <c r="B40" s="48">
        <f>(V48_Max-V12_Nom)*(V12_Nom/V48_Max)/((B25)*(B39)*Fsw)*(1000000)</f>
        <v>2.9084664449653816</v>
      </c>
      <c r="C40" s="31" t="s">
        <v>6</v>
      </c>
      <c r="E40" s="34" t="s">
        <v>382</v>
      </c>
      <c r="N40">
        <v>3.4000000000000002E-2</v>
      </c>
      <c r="O40">
        <f t="shared" si="25"/>
        <v>8.5</v>
      </c>
      <c r="P40" s="5">
        <f t="shared" si="26"/>
        <v>0.3</v>
      </c>
      <c r="Q40" s="1">
        <f t="shared" si="27"/>
        <v>0.7</v>
      </c>
      <c r="R40" s="1">
        <f t="shared" si="28"/>
        <v>2.0615796519410976</v>
      </c>
      <c r="S40" s="6">
        <f t="shared" si="29"/>
        <v>9.5307898259705492</v>
      </c>
      <c r="T40" s="5">
        <f t="shared" si="30"/>
        <v>0.27499999999999997</v>
      </c>
      <c r="U40" s="1">
        <f t="shared" si="31"/>
        <v>0.72500000000000009</v>
      </c>
      <c r="V40" s="1">
        <f t="shared" si="32"/>
        <v>2.1352074966532792</v>
      </c>
      <c r="W40" s="6">
        <f t="shared" si="33"/>
        <v>9.5676037483266398</v>
      </c>
      <c r="X40" s="5">
        <f t="shared" si="34"/>
        <v>0.25384615384615383</v>
      </c>
      <c r="Y40" s="1">
        <f t="shared" si="35"/>
        <v>0.74615384615384617</v>
      </c>
      <c r="Z40" s="1">
        <f t="shared" si="36"/>
        <v>2.1975079806405104</v>
      </c>
      <c r="AA40" s="6">
        <f t="shared" si="37"/>
        <v>9.5987539903202546</v>
      </c>
      <c r="AB40" s="5">
        <f t="shared" si="38"/>
        <v>0.25</v>
      </c>
      <c r="AC40" s="1">
        <f t="shared" si="39"/>
        <v>0.75</v>
      </c>
      <c r="AD40" s="1">
        <f t="shared" si="40"/>
        <v>2.0080321285140559</v>
      </c>
      <c r="AE40" s="6">
        <f t="shared" si="41"/>
        <v>9.5040160642570282</v>
      </c>
      <c r="AF40" s="5">
        <f t="shared" si="17"/>
        <v>0.27499999999999997</v>
      </c>
      <c r="AG40" s="1">
        <f t="shared" si="18"/>
        <v>0.72500000000000009</v>
      </c>
      <c r="AH40" s="1">
        <f t="shared" si="23"/>
        <v>2.1352074966532792</v>
      </c>
      <c r="AI40" s="6">
        <f t="shared" si="24"/>
        <v>9.5676037483266398</v>
      </c>
      <c r="AJ40" s="5">
        <f t="shared" si="42"/>
        <v>0.29166666666666669</v>
      </c>
      <c r="AK40" s="1">
        <f t="shared" si="43"/>
        <v>0.70833333333333326</v>
      </c>
      <c r="AL40" s="1">
        <f t="shared" si="44"/>
        <v>2.2125539193812287</v>
      </c>
      <c r="AM40" s="6">
        <f t="shared" si="45"/>
        <v>9.6062769596906143</v>
      </c>
    </row>
    <row r="41" spans="1:39">
      <c r="A41" s="157" t="s">
        <v>379</v>
      </c>
      <c r="B41" s="48"/>
      <c r="C41" s="31" t="s">
        <v>6</v>
      </c>
      <c r="E41" s="34" t="s">
        <v>377</v>
      </c>
      <c r="N41">
        <v>3.5000000000000003E-2</v>
      </c>
      <c r="O41">
        <f t="shared" si="25"/>
        <v>8.75</v>
      </c>
      <c r="P41" s="5">
        <f t="shared" si="26"/>
        <v>0.3</v>
      </c>
      <c r="Q41" s="1">
        <f t="shared" si="27"/>
        <v>0.7</v>
      </c>
      <c r="R41" s="1">
        <f t="shared" si="28"/>
        <v>2.0615796519410976</v>
      </c>
      <c r="S41" s="6">
        <f t="shared" si="29"/>
        <v>9.7807898259705492</v>
      </c>
      <c r="T41" s="5">
        <f t="shared" si="30"/>
        <v>0.27499999999999997</v>
      </c>
      <c r="U41" s="1">
        <f t="shared" si="31"/>
        <v>0.72500000000000009</v>
      </c>
      <c r="V41" s="1">
        <f t="shared" si="32"/>
        <v>2.1352074966532792</v>
      </c>
      <c r="W41" s="6">
        <f t="shared" si="33"/>
        <v>9.8176037483266398</v>
      </c>
      <c r="X41" s="5">
        <f t="shared" si="34"/>
        <v>0.25384615384615383</v>
      </c>
      <c r="Y41" s="1">
        <f t="shared" si="35"/>
        <v>0.74615384615384617</v>
      </c>
      <c r="Z41" s="1">
        <f t="shared" si="36"/>
        <v>2.1975079806405104</v>
      </c>
      <c r="AA41" s="6">
        <f t="shared" si="37"/>
        <v>9.8487539903202546</v>
      </c>
      <c r="AB41" s="5">
        <f t="shared" si="38"/>
        <v>0.25</v>
      </c>
      <c r="AC41" s="1">
        <f t="shared" si="39"/>
        <v>0.75</v>
      </c>
      <c r="AD41" s="1">
        <f t="shared" si="40"/>
        <v>2.0080321285140559</v>
      </c>
      <c r="AE41" s="6">
        <f t="shared" si="41"/>
        <v>9.7540160642570282</v>
      </c>
      <c r="AF41" s="5">
        <f t="shared" si="17"/>
        <v>0.27499999999999997</v>
      </c>
      <c r="AG41" s="1">
        <f t="shared" si="18"/>
        <v>0.72500000000000009</v>
      </c>
      <c r="AH41" s="1">
        <f t="shared" si="23"/>
        <v>2.1352074966532792</v>
      </c>
      <c r="AI41" s="6">
        <f t="shared" si="24"/>
        <v>9.8176037483266398</v>
      </c>
      <c r="AJ41" s="5">
        <f t="shared" si="42"/>
        <v>0.29166666666666669</v>
      </c>
      <c r="AK41" s="1">
        <f t="shared" si="43"/>
        <v>0.70833333333333326</v>
      </c>
      <c r="AL41" s="1">
        <f t="shared" si="44"/>
        <v>2.2125539193812287</v>
      </c>
      <c r="AM41" s="6">
        <f t="shared" si="45"/>
        <v>9.8562769596906143</v>
      </c>
    </row>
    <row r="42" spans="1:39">
      <c r="A42" s="157" t="s">
        <v>380</v>
      </c>
      <c r="B42" s="48">
        <f>MAX(B40,B41)</f>
        <v>2.9084664449653816</v>
      </c>
      <c r="C42" s="31" t="s">
        <v>6</v>
      </c>
      <c r="N42">
        <v>3.5999999999999997E-2</v>
      </c>
      <c r="O42">
        <f t="shared" si="25"/>
        <v>9</v>
      </c>
      <c r="P42" s="5">
        <f t="shared" si="26"/>
        <v>0.3</v>
      </c>
      <c r="Q42" s="1">
        <f t="shared" si="27"/>
        <v>0.7</v>
      </c>
      <c r="R42" s="1">
        <f t="shared" si="28"/>
        <v>2.0615796519410976</v>
      </c>
      <c r="S42" s="6">
        <f t="shared" si="29"/>
        <v>10.030789825970549</v>
      </c>
      <c r="T42" s="5">
        <f t="shared" si="30"/>
        <v>0.27499999999999997</v>
      </c>
      <c r="U42" s="1">
        <f t="shared" si="31"/>
        <v>0.72500000000000009</v>
      </c>
      <c r="V42" s="1">
        <f t="shared" si="32"/>
        <v>2.1352074966532792</v>
      </c>
      <c r="W42" s="6">
        <f t="shared" si="33"/>
        <v>10.06760374832664</v>
      </c>
      <c r="X42" s="5">
        <f t="shared" si="34"/>
        <v>0.25384615384615383</v>
      </c>
      <c r="Y42" s="1">
        <f t="shared" si="35"/>
        <v>0.74615384615384617</v>
      </c>
      <c r="Z42" s="1">
        <f t="shared" si="36"/>
        <v>2.1975079806405104</v>
      </c>
      <c r="AA42" s="6">
        <f t="shared" si="37"/>
        <v>10.098753990320255</v>
      </c>
      <c r="AB42" s="5">
        <f t="shared" si="38"/>
        <v>0.25</v>
      </c>
      <c r="AC42" s="1">
        <f t="shared" si="39"/>
        <v>0.75</v>
      </c>
      <c r="AD42" s="1">
        <f t="shared" si="40"/>
        <v>2.0080321285140559</v>
      </c>
      <c r="AE42" s="6">
        <f t="shared" si="41"/>
        <v>10.004016064257028</v>
      </c>
      <c r="AF42" s="5">
        <f t="shared" si="17"/>
        <v>0.27499999999999997</v>
      </c>
      <c r="AG42" s="1">
        <f t="shared" si="18"/>
        <v>0.72500000000000009</v>
      </c>
      <c r="AH42" s="1">
        <f t="shared" si="23"/>
        <v>2.1352074966532792</v>
      </c>
      <c r="AI42" s="6">
        <f t="shared" si="24"/>
        <v>10.06760374832664</v>
      </c>
      <c r="AJ42" s="5">
        <f t="shared" si="42"/>
        <v>0.29166666666666669</v>
      </c>
      <c r="AK42" s="1">
        <f t="shared" si="43"/>
        <v>0.70833333333333326</v>
      </c>
      <c r="AL42" s="1">
        <f t="shared" si="44"/>
        <v>2.2125539193812287</v>
      </c>
      <c r="AM42" s="6">
        <f t="shared" si="45"/>
        <v>10.106276959690614</v>
      </c>
    </row>
    <row r="43" spans="1:39">
      <c r="A43" s="31" t="s">
        <v>5</v>
      </c>
      <c r="B43" s="49">
        <f>Design_Converter!B38</f>
        <v>2.7</v>
      </c>
      <c r="C43" s="31" t="s">
        <v>6</v>
      </c>
      <c r="N43">
        <v>3.6999999999999998E-2</v>
      </c>
      <c r="O43">
        <f t="shared" si="25"/>
        <v>9.25</v>
      </c>
      <c r="P43" s="5">
        <f t="shared" si="26"/>
        <v>0.3</v>
      </c>
      <c r="Q43" s="1">
        <f t="shared" si="27"/>
        <v>0.7</v>
      </c>
      <c r="R43" s="1">
        <f t="shared" si="28"/>
        <v>2.0615796519410976</v>
      </c>
      <c r="S43" s="6">
        <f t="shared" si="29"/>
        <v>10.280789825970549</v>
      </c>
      <c r="T43" s="5">
        <f t="shared" si="30"/>
        <v>0.27499999999999997</v>
      </c>
      <c r="U43" s="1">
        <f t="shared" si="31"/>
        <v>0.72500000000000009</v>
      </c>
      <c r="V43" s="1">
        <f t="shared" si="32"/>
        <v>2.1352074966532792</v>
      </c>
      <c r="W43" s="6">
        <f t="shared" si="33"/>
        <v>10.31760374832664</v>
      </c>
      <c r="X43" s="5">
        <f t="shared" si="34"/>
        <v>0.25384615384615383</v>
      </c>
      <c r="Y43" s="1">
        <f t="shared" si="35"/>
        <v>0.74615384615384617</v>
      </c>
      <c r="Z43" s="1">
        <f t="shared" si="36"/>
        <v>2.1975079806405104</v>
      </c>
      <c r="AA43" s="6">
        <f t="shared" si="37"/>
        <v>10.348753990320255</v>
      </c>
      <c r="AB43" s="5">
        <f t="shared" si="38"/>
        <v>0.25</v>
      </c>
      <c r="AC43" s="1">
        <f t="shared" si="39"/>
        <v>0.75</v>
      </c>
      <c r="AD43" s="1">
        <f t="shared" si="40"/>
        <v>2.0080321285140559</v>
      </c>
      <c r="AE43" s="6">
        <f t="shared" si="41"/>
        <v>10.254016064257028</v>
      </c>
      <c r="AF43" s="5">
        <f t="shared" si="17"/>
        <v>0.27499999999999997</v>
      </c>
      <c r="AG43" s="1">
        <f t="shared" si="18"/>
        <v>0.72500000000000009</v>
      </c>
      <c r="AH43" s="1">
        <f t="shared" si="23"/>
        <v>2.1352074966532792</v>
      </c>
      <c r="AI43" s="6">
        <f t="shared" si="24"/>
        <v>10.31760374832664</v>
      </c>
      <c r="AJ43" s="5">
        <f t="shared" si="42"/>
        <v>0.29166666666666669</v>
      </c>
      <c r="AK43" s="1">
        <f t="shared" si="43"/>
        <v>0.70833333333333326</v>
      </c>
      <c r="AL43" s="1">
        <f t="shared" si="44"/>
        <v>2.2125539193812287</v>
      </c>
      <c r="AM43" s="6">
        <f t="shared" si="45"/>
        <v>10.356276959690614</v>
      </c>
    </row>
    <row r="44" spans="1:39">
      <c r="A44" s="31" t="s">
        <v>29</v>
      </c>
      <c r="B44" s="43">
        <f>Lm_DCR</f>
        <v>2.5999999999999999E-3</v>
      </c>
      <c r="C44" s="58" t="s">
        <v>76</v>
      </c>
      <c r="N44">
        <v>3.7999999999999999E-2</v>
      </c>
      <c r="O44">
        <f t="shared" si="25"/>
        <v>9.5</v>
      </c>
      <c r="P44" s="5">
        <f t="shared" si="26"/>
        <v>0.3</v>
      </c>
      <c r="Q44" s="1">
        <f t="shared" si="27"/>
        <v>0.7</v>
      </c>
      <c r="R44" s="1">
        <f t="shared" si="28"/>
        <v>2.0615796519410976</v>
      </c>
      <c r="S44" s="6">
        <f t="shared" si="29"/>
        <v>10.530789825970549</v>
      </c>
      <c r="T44" s="5">
        <f t="shared" si="30"/>
        <v>0.27499999999999997</v>
      </c>
      <c r="U44" s="1">
        <f t="shared" si="31"/>
        <v>0.72500000000000009</v>
      </c>
      <c r="V44" s="1">
        <f t="shared" si="32"/>
        <v>2.1352074966532792</v>
      </c>
      <c r="W44" s="6">
        <f t="shared" si="33"/>
        <v>10.56760374832664</v>
      </c>
      <c r="X44" s="5">
        <f t="shared" si="34"/>
        <v>0.25384615384615383</v>
      </c>
      <c r="Y44" s="1">
        <f t="shared" si="35"/>
        <v>0.74615384615384617</v>
      </c>
      <c r="Z44" s="1">
        <f t="shared" si="36"/>
        <v>2.1975079806405104</v>
      </c>
      <c r="AA44" s="6">
        <f t="shared" si="37"/>
        <v>10.598753990320255</v>
      </c>
      <c r="AB44" s="5">
        <f t="shared" si="38"/>
        <v>0.25</v>
      </c>
      <c r="AC44" s="1">
        <f t="shared" si="39"/>
        <v>0.75</v>
      </c>
      <c r="AD44" s="1">
        <f t="shared" si="40"/>
        <v>2.0080321285140559</v>
      </c>
      <c r="AE44" s="6">
        <f t="shared" si="41"/>
        <v>10.504016064257028</v>
      </c>
      <c r="AF44" s="5">
        <f t="shared" si="17"/>
        <v>0.27499999999999997</v>
      </c>
      <c r="AG44" s="1">
        <f t="shared" si="18"/>
        <v>0.72500000000000009</v>
      </c>
      <c r="AH44" s="1">
        <f t="shared" si="23"/>
        <v>2.1352074966532792</v>
      </c>
      <c r="AI44" s="6">
        <f t="shared" si="24"/>
        <v>10.56760374832664</v>
      </c>
      <c r="AJ44" s="5">
        <f t="shared" si="42"/>
        <v>0.29166666666666669</v>
      </c>
      <c r="AK44" s="1">
        <f t="shared" si="43"/>
        <v>0.70833333333333326</v>
      </c>
      <c r="AL44" s="1">
        <f t="shared" si="44"/>
        <v>2.2125539193812287</v>
      </c>
      <c r="AM44" s="6">
        <f t="shared" si="45"/>
        <v>10.606276959690614</v>
      </c>
    </row>
    <row r="45" spans="1:39" ht="15" thickBot="1">
      <c r="A45" s="260" t="s">
        <v>10</v>
      </c>
      <c r="B45" s="261"/>
      <c r="C45" s="262"/>
      <c r="E45" s="34" t="s">
        <v>141</v>
      </c>
      <c r="N45">
        <v>3.9E-2</v>
      </c>
      <c r="O45">
        <f t="shared" si="25"/>
        <v>9.75</v>
      </c>
      <c r="P45" s="5">
        <f t="shared" si="26"/>
        <v>0.3</v>
      </c>
      <c r="Q45" s="1">
        <f t="shared" si="27"/>
        <v>0.7</v>
      </c>
      <c r="R45" s="1">
        <f t="shared" si="28"/>
        <v>2.0615796519410976</v>
      </c>
      <c r="S45" s="6">
        <f t="shared" si="29"/>
        <v>10.780789825970549</v>
      </c>
      <c r="T45" s="5">
        <f t="shared" si="30"/>
        <v>0.27499999999999997</v>
      </c>
      <c r="U45" s="1">
        <f t="shared" si="31"/>
        <v>0.72500000000000009</v>
      </c>
      <c r="V45" s="1">
        <f t="shared" si="32"/>
        <v>2.1352074966532792</v>
      </c>
      <c r="W45" s="6">
        <f t="shared" si="33"/>
        <v>10.81760374832664</v>
      </c>
      <c r="X45" s="5">
        <f t="shared" si="34"/>
        <v>0.25384615384615383</v>
      </c>
      <c r="Y45" s="1">
        <f t="shared" si="35"/>
        <v>0.74615384615384617</v>
      </c>
      <c r="Z45" s="1">
        <f t="shared" si="36"/>
        <v>2.1975079806405104</v>
      </c>
      <c r="AA45" s="6">
        <f t="shared" si="37"/>
        <v>10.848753990320255</v>
      </c>
      <c r="AB45" s="5">
        <f t="shared" si="38"/>
        <v>0.25</v>
      </c>
      <c r="AC45" s="1">
        <f t="shared" si="39"/>
        <v>0.75</v>
      </c>
      <c r="AD45" s="1">
        <f t="shared" si="40"/>
        <v>2.0080321285140559</v>
      </c>
      <c r="AE45" s="6">
        <f t="shared" si="41"/>
        <v>10.754016064257028</v>
      </c>
      <c r="AF45" s="5">
        <f t="shared" si="17"/>
        <v>0.27499999999999997</v>
      </c>
      <c r="AG45" s="1">
        <f t="shared" si="18"/>
        <v>0.72500000000000009</v>
      </c>
      <c r="AH45" s="1">
        <f t="shared" si="23"/>
        <v>2.1352074966532792</v>
      </c>
      <c r="AI45" s="6">
        <f t="shared" si="24"/>
        <v>10.81760374832664</v>
      </c>
      <c r="AJ45" s="5">
        <f t="shared" si="42"/>
        <v>0.29166666666666669</v>
      </c>
      <c r="AK45" s="1">
        <f t="shared" si="43"/>
        <v>0.70833333333333326</v>
      </c>
      <c r="AL45" s="1">
        <f t="shared" si="44"/>
        <v>2.2125539193812287</v>
      </c>
      <c r="AM45" s="6">
        <f t="shared" si="45"/>
        <v>10.856276959690614</v>
      </c>
    </row>
    <row r="46" spans="1:39">
      <c r="A46" s="65" t="s">
        <v>78</v>
      </c>
      <c r="B46" s="66">
        <f>((V48_Min-V12_Nom)/(2*Lm*Fsw))*((V12_Nom*Rcs)/V48_Min)*1000</f>
        <v>4.1231593038821952</v>
      </c>
      <c r="C46" s="67" t="s">
        <v>68</v>
      </c>
      <c r="N46">
        <v>0.04</v>
      </c>
      <c r="O46">
        <f t="shared" si="25"/>
        <v>10</v>
      </c>
      <c r="P46" s="5">
        <f t="shared" si="26"/>
        <v>0.3</v>
      </c>
      <c r="Q46" s="1">
        <f t="shared" si="27"/>
        <v>0.7</v>
      </c>
      <c r="R46" s="1">
        <f t="shared" si="28"/>
        <v>2.0615796519410976</v>
      </c>
      <c r="S46" s="6">
        <f t="shared" si="29"/>
        <v>11.030789825970549</v>
      </c>
      <c r="T46" s="5">
        <f t="shared" si="30"/>
        <v>0.27499999999999997</v>
      </c>
      <c r="U46" s="1">
        <f t="shared" si="31"/>
        <v>0.72500000000000009</v>
      </c>
      <c r="V46" s="1">
        <f t="shared" si="32"/>
        <v>2.1352074966532792</v>
      </c>
      <c r="W46" s="6">
        <f t="shared" si="33"/>
        <v>11.06760374832664</v>
      </c>
      <c r="X46" s="5">
        <f t="shared" si="34"/>
        <v>0.25384615384615383</v>
      </c>
      <c r="Y46" s="1">
        <f t="shared" si="35"/>
        <v>0.74615384615384617</v>
      </c>
      <c r="Z46" s="1">
        <f t="shared" si="36"/>
        <v>2.1975079806405104</v>
      </c>
      <c r="AA46" s="6">
        <f t="shared" si="37"/>
        <v>11.098753990320255</v>
      </c>
      <c r="AB46" s="5">
        <f t="shared" si="38"/>
        <v>0.25</v>
      </c>
      <c r="AC46" s="1">
        <f t="shared" si="39"/>
        <v>0.75</v>
      </c>
      <c r="AD46" s="1">
        <f t="shared" si="40"/>
        <v>2.0080321285140559</v>
      </c>
      <c r="AE46" s="6">
        <f t="shared" si="41"/>
        <v>11.004016064257028</v>
      </c>
      <c r="AF46" s="5">
        <f t="shared" si="17"/>
        <v>0.27499999999999997</v>
      </c>
      <c r="AG46" s="1">
        <f t="shared" si="18"/>
        <v>0.72500000000000009</v>
      </c>
      <c r="AH46" s="1">
        <f t="shared" si="23"/>
        <v>2.1352074966532792</v>
      </c>
      <c r="AI46" s="6">
        <f t="shared" si="24"/>
        <v>11.06760374832664</v>
      </c>
      <c r="AJ46" s="5">
        <f t="shared" si="42"/>
        <v>0.29166666666666669</v>
      </c>
      <c r="AK46" s="1">
        <f t="shared" si="43"/>
        <v>0.70833333333333326</v>
      </c>
      <c r="AL46" s="1">
        <f t="shared" si="44"/>
        <v>2.2125539193812287</v>
      </c>
      <c r="AM46" s="6">
        <f t="shared" si="45"/>
        <v>11.106276959690614</v>
      </c>
    </row>
    <row r="47" spans="1:39">
      <c r="A47" s="68" t="s">
        <v>79</v>
      </c>
      <c r="B47" s="51">
        <f>(B46/1000)/Rcs</f>
        <v>1.0307898259705488</v>
      </c>
      <c r="C47" s="40" t="s">
        <v>4</v>
      </c>
      <c r="N47">
        <v>4.1000000000000002E-2</v>
      </c>
      <c r="O47">
        <f t="shared" si="25"/>
        <v>10.25</v>
      </c>
      <c r="P47" s="5">
        <f t="shared" si="26"/>
        <v>0.3</v>
      </c>
      <c r="Q47" s="1">
        <f t="shared" si="27"/>
        <v>0.7</v>
      </c>
      <c r="R47" s="1">
        <f t="shared" si="28"/>
        <v>2.0615796519410976</v>
      </c>
      <c r="S47" s="6">
        <f t="shared" si="29"/>
        <v>11.280789825970549</v>
      </c>
      <c r="T47" s="5">
        <f t="shared" si="30"/>
        <v>0.27499999999999997</v>
      </c>
      <c r="U47" s="1">
        <f t="shared" si="31"/>
        <v>0.72500000000000009</v>
      </c>
      <c r="V47" s="1">
        <f t="shared" si="32"/>
        <v>2.1352074966532792</v>
      </c>
      <c r="W47" s="6">
        <f t="shared" si="33"/>
        <v>11.31760374832664</v>
      </c>
      <c r="X47" s="5">
        <f t="shared" si="34"/>
        <v>0.25384615384615383</v>
      </c>
      <c r="Y47" s="1">
        <f t="shared" si="35"/>
        <v>0.74615384615384617</v>
      </c>
      <c r="Z47" s="1">
        <f t="shared" si="36"/>
        <v>2.1975079806405104</v>
      </c>
      <c r="AA47" s="6">
        <f t="shared" si="37"/>
        <v>11.348753990320255</v>
      </c>
      <c r="AB47" s="5">
        <f t="shared" si="38"/>
        <v>0.25</v>
      </c>
      <c r="AC47" s="1">
        <f t="shared" si="39"/>
        <v>0.75</v>
      </c>
      <c r="AD47" s="1">
        <f t="shared" si="40"/>
        <v>2.0080321285140559</v>
      </c>
      <c r="AE47" s="6">
        <f t="shared" si="41"/>
        <v>11.254016064257028</v>
      </c>
      <c r="AF47" s="5">
        <f t="shared" si="17"/>
        <v>0.27499999999999997</v>
      </c>
      <c r="AG47" s="1">
        <f t="shared" si="18"/>
        <v>0.72500000000000009</v>
      </c>
      <c r="AH47" s="1">
        <f t="shared" si="23"/>
        <v>2.1352074966532792</v>
      </c>
      <c r="AI47" s="6">
        <f t="shared" si="24"/>
        <v>11.31760374832664</v>
      </c>
      <c r="AJ47" s="5">
        <f t="shared" si="42"/>
        <v>0.29166666666666669</v>
      </c>
      <c r="AK47" s="1">
        <f t="shared" si="43"/>
        <v>0.70833333333333326</v>
      </c>
      <c r="AL47" s="1">
        <f t="shared" si="44"/>
        <v>2.2125539193812287</v>
      </c>
      <c r="AM47" s="6">
        <f t="shared" si="45"/>
        <v>11.356276959690614</v>
      </c>
    </row>
    <row r="48" spans="1:39">
      <c r="A48" s="68" t="s">
        <v>288</v>
      </c>
      <c r="B48" s="44">
        <f>(V12_Nom/V48_Min)</f>
        <v>0.3</v>
      </c>
      <c r="C48" s="40"/>
      <c r="N48">
        <v>4.2000000000000003E-2</v>
      </c>
      <c r="O48">
        <f t="shared" si="25"/>
        <v>10.5</v>
      </c>
      <c r="P48" s="5">
        <f t="shared" si="26"/>
        <v>0.3</v>
      </c>
      <c r="Q48" s="1">
        <f t="shared" si="27"/>
        <v>0.7</v>
      </c>
      <c r="R48" s="1">
        <f t="shared" si="28"/>
        <v>2.0615796519410976</v>
      </c>
      <c r="S48" s="6">
        <f t="shared" si="29"/>
        <v>11.530789825970549</v>
      </c>
      <c r="T48" s="5">
        <f t="shared" si="30"/>
        <v>0.27499999999999997</v>
      </c>
      <c r="U48" s="1">
        <f t="shared" si="31"/>
        <v>0.72500000000000009</v>
      </c>
      <c r="V48" s="1">
        <f t="shared" si="32"/>
        <v>2.1352074966532792</v>
      </c>
      <c r="W48" s="6">
        <f t="shared" si="33"/>
        <v>11.56760374832664</v>
      </c>
      <c r="X48" s="5">
        <f t="shared" si="34"/>
        <v>0.25384615384615383</v>
      </c>
      <c r="Y48" s="1">
        <f t="shared" si="35"/>
        <v>0.74615384615384617</v>
      </c>
      <c r="Z48" s="1">
        <f t="shared" si="36"/>
        <v>2.1975079806405104</v>
      </c>
      <c r="AA48" s="6">
        <f t="shared" si="37"/>
        <v>11.598753990320255</v>
      </c>
      <c r="AB48" s="5">
        <f t="shared" si="38"/>
        <v>0.25</v>
      </c>
      <c r="AC48" s="1">
        <f t="shared" si="39"/>
        <v>0.75</v>
      </c>
      <c r="AD48" s="1">
        <f t="shared" si="40"/>
        <v>2.0080321285140559</v>
      </c>
      <c r="AE48" s="6">
        <f t="shared" si="41"/>
        <v>11.504016064257028</v>
      </c>
      <c r="AF48" s="5">
        <f t="shared" si="17"/>
        <v>0.27499999999999997</v>
      </c>
      <c r="AG48" s="1">
        <f t="shared" si="18"/>
        <v>0.72500000000000009</v>
      </c>
      <c r="AH48" s="1">
        <f t="shared" si="23"/>
        <v>2.1352074966532792</v>
      </c>
      <c r="AI48" s="6">
        <f t="shared" si="24"/>
        <v>11.56760374832664</v>
      </c>
      <c r="AJ48" s="5">
        <f t="shared" si="42"/>
        <v>0.29166666666666669</v>
      </c>
      <c r="AK48" s="1">
        <f t="shared" si="43"/>
        <v>0.70833333333333326</v>
      </c>
      <c r="AL48" s="1">
        <f t="shared" si="44"/>
        <v>2.2125539193812287</v>
      </c>
      <c r="AM48" s="6">
        <f t="shared" si="45"/>
        <v>11.606276959690614</v>
      </c>
    </row>
    <row r="49" spans="1:42">
      <c r="A49" s="68" t="s">
        <v>70</v>
      </c>
      <c r="B49" s="50">
        <f>((V48_Nom-V12_Nom)/(2*Lm*Fsw))*((V12_Nom*Rcs)/V48_Nom)*1000</f>
        <v>4.2704149933065594</v>
      </c>
      <c r="C49" s="40" t="s">
        <v>68</v>
      </c>
      <c r="N49">
        <v>4.2999999999999997E-2</v>
      </c>
      <c r="O49">
        <f t="shared" si="25"/>
        <v>10.749999999999998</v>
      </c>
      <c r="P49" s="5">
        <f t="shared" si="26"/>
        <v>0.3</v>
      </c>
      <c r="Q49" s="1">
        <f t="shared" si="27"/>
        <v>0.7</v>
      </c>
      <c r="R49" s="1">
        <f t="shared" si="28"/>
        <v>2.0615796519410976</v>
      </c>
      <c r="S49" s="6">
        <f t="shared" si="29"/>
        <v>11.780789825970547</v>
      </c>
      <c r="T49" s="5">
        <f t="shared" si="30"/>
        <v>0.27499999999999997</v>
      </c>
      <c r="U49" s="1">
        <f t="shared" si="31"/>
        <v>0.72500000000000009</v>
      </c>
      <c r="V49" s="1">
        <f t="shared" si="32"/>
        <v>2.1352074966532792</v>
      </c>
      <c r="W49" s="6">
        <f t="shared" si="33"/>
        <v>11.817603748326638</v>
      </c>
      <c r="X49" s="5">
        <f t="shared" si="34"/>
        <v>0.25384615384615383</v>
      </c>
      <c r="Y49" s="1">
        <f t="shared" si="35"/>
        <v>0.74615384615384617</v>
      </c>
      <c r="Z49" s="1">
        <f t="shared" si="36"/>
        <v>2.1975079806405104</v>
      </c>
      <c r="AA49" s="6">
        <f t="shared" si="37"/>
        <v>11.848753990320253</v>
      </c>
      <c r="AB49" s="5">
        <f t="shared" si="38"/>
        <v>0.25</v>
      </c>
      <c r="AC49" s="1">
        <f t="shared" si="39"/>
        <v>0.75</v>
      </c>
      <c r="AD49" s="1">
        <f t="shared" si="40"/>
        <v>2.0080321285140559</v>
      </c>
      <c r="AE49" s="6">
        <f t="shared" si="41"/>
        <v>11.754016064257026</v>
      </c>
      <c r="AF49" s="5">
        <f t="shared" si="17"/>
        <v>0.27499999999999997</v>
      </c>
      <c r="AG49" s="1">
        <f t="shared" si="18"/>
        <v>0.72500000000000009</v>
      </c>
      <c r="AH49" s="1">
        <f t="shared" si="23"/>
        <v>2.1352074966532792</v>
      </c>
      <c r="AI49" s="6">
        <f t="shared" si="24"/>
        <v>11.817603748326638</v>
      </c>
      <c r="AJ49" s="5">
        <f t="shared" si="42"/>
        <v>0.29166666666666669</v>
      </c>
      <c r="AK49" s="1">
        <f t="shared" si="43"/>
        <v>0.70833333333333326</v>
      </c>
      <c r="AL49" s="1">
        <f t="shared" si="44"/>
        <v>2.2125539193812287</v>
      </c>
      <c r="AM49" s="6">
        <f t="shared" si="45"/>
        <v>11.856276959690613</v>
      </c>
    </row>
    <row r="50" spans="1:42">
      <c r="A50" s="68" t="s">
        <v>77</v>
      </c>
      <c r="B50" s="51">
        <f>(B49/1000)/Rcs</f>
        <v>1.0676037483266398</v>
      </c>
      <c r="C50" s="40" t="s">
        <v>4</v>
      </c>
      <c r="N50">
        <v>4.3999999999999997E-2</v>
      </c>
      <c r="O50">
        <f t="shared" si="25"/>
        <v>11</v>
      </c>
      <c r="P50" s="5">
        <f t="shared" si="26"/>
        <v>0.3</v>
      </c>
      <c r="Q50" s="1">
        <f t="shared" si="27"/>
        <v>0.7</v>
      </c>
      <c r="R50" s="1">
        <f t="shared" si="28"/>
        <v>2.0615796519410976</v>
      </c>
      <c r="S50" s="6">
        <f t="shared" si="29"/>
        <v>12.030789825970549</v>
      </c>
      <c r="T50" s="5">
        <f t="shared" si="30"/>
        <v>0.27499999999999997</v>
      </c>
      <c r="U50" s="1">
        <f t="shared" si="31"/>
        <v>0.72500000000000009</v>
      </c>
      <c r="V50" s="1">
        <f t="shared" si="32"/>
        <v>2.1352074966532792</v>
      </c>
      <c r="W50" s="6">
        <f t="shared" si="33"/>
        <v>12.06760374832664</v>
      </c>
      <c r="X50" s="5">
        <f t="shared" si="34"/>
        <v>0.25384615384615383</v>
      </c>
      <c r="Y50" s="1">
        <f t="shared" si="35"/>
        <v>0.74615384615384617</v>
      </c>
      <c r="Z50" s="1">
        <f t="shared" si="36"/>
        <v>2.1975079806405104</v>
      </c>
      <c r="AA50" s="6">
        <f t="shared" si="37"/>
        <v>12.098753990320255</v>
      </c>
      <c r="AB50" s="5">
        <f t="shared" si="38"/>
        <v>0.25</v>
      </c>
      <c r="AC50" s="1">
        <f t="shared" si="39"/>
        <v>0.75</v>
      </c>
      <c r="AD50" s="1">
        <f t="shared" si="40"/>
        <v>2.0080321285140559</v>
      </c>
      <c r="AE50" s="6">
        <f t="shared" si="41"/>
        <v>12.004016064257028</v>
      </c>
      <c r="AF50" s="5">
        <f t="shared" si="17"/>
        <v>0.27499999999999997</v>
      </c>
      <c r="AG50" s="1">
        <f t="shared" si="18"/>
        <v>0.72500000000000009</v>
      </c>
      <c r="AH50" s="1">
        <f t="shared" si="23"/>
        <v>2.1352074966532792</v>
      </c>
      <c r="AI50" s="6">
        <f t="shared" si="24"/>
        <v>12.06760374832664</v>
      </c>
      <c r="AJ50" s="5">
        <f t="shared" si="42"/>
        <v>0.29166666666666669</v>
      </c>
      <c r="AK50" s="1">
        <f t="shared" si="43"/>
        <v>0.70833333333333326</v>
      </c>
      <c r="AL50" s="1">
        <f t="shared" si="44"/>
        <v>2.2125539193812287</v>
      </c>
      <c r="AM50" s="6">
        <f t="shared" si="45"/>
        <v>12.106276959690614</v>
      </c>
    </row>
    <row r="51" spans="1:42">
      <c r="A51" s="68" t="s">
        <v>288</v>
      </c>
      <c r="B51" s="55">
        <f>(V12_Nom/V48_Nom)</f>
        <v>0.27499999999999997</v>
      </c>
      <c r="C51" s="40"/>
      <c r="N51">
        <v>4.4999999999999998E-2</v>
      </c>
      <c r="O51">
        <f t="shared" si="25"/>
        <v>11.25</v>
      </c>
      <c r="P51" s="5">
        <f t="shared" si="26"/>
        <v>0.3</v>
      </c>
      <c r="Q51" s="1">
        <f t="shared" si="27"/>
        <v>0.7</v>
      </c>
      <c r="R51" s="1">
        <f t="shared" si="28"/>
        <v>2.0615796519410976</v>
      </c>
      <c r="S51" s="6">
        <f t="shared" si="29"/>
        <v>12.280789825970549</v>
      </c>
      <c r="T51" s="5">
        <f t="shared" si="30"/>
        <v>0.27499999999999997</v>
      </c>
      <c r="U51" s="1">
        <f t="shared" si="31"/>
        <v>0.72500000000000009</v>
      </c>
      <c r="V51" s="1">
        <f t="shared" si="32"/>
        <v>2.1352074966532792</v>
      </c>
      <c r="W51" s="6">
        <f t="shared" si="33"/>
        <v>12.31760374832664</v>
      </c>
      <c r="X51" s="5">
        <f t="shared" si="34"/>
        <v>0.25384615384615383</v>
      </c>
      <c r="Y51" s="1">
        <f t="shared" si="35"/>
        <v>0.74615384615384617</v>
      </c>
      <c r="Z51" s="1">
        <f t="shared" si="36"/>
        <v>2.1975079806405104</v>
      </c>
      <c r="AA51" s="6">
        <f t="shared" si="37"/>
        <v>12.348753990320255</v>
      </c>
      <c r="AB51" s="5">
        <f t="shared" si="38"/>
        <v>0.25</v>
      </c>
      <c r="AC51" s="1">
        <f t="shared" si="39"/>
        <v>0.75</v>
      </c>
      <c r="AD51" s="1">
        <f t="shared" si="40"/>
        <v>2.0080321285140559</v>
      </c>
      <c r="AE51" s="6">
        <f t="shared" si="41"/>
        <v>12.254016064257028</v>
      </c>
      <c r="AF51" s="5">
        <f t="shared" si="17"/>
        <v>0.27499999999999997</v>
      </c>
      <c r="AG51" s="1">
        <f t="shared" si="18"/>
        <v>0.72500000000000009</v>
      </c>
      <c r="AH51" s="1">
        <f t="shared" si="23"/>
        <v>2.1352074966532792</v>
      </c>
      <c r="AI51" s="6">
        <f t="shared" si="24"/>
        <v>12.31760374832664</v>
      </c>
      <c r="AJ51" s="5">
        <f t="shared" si="42"/>
        <v>0.29166666666666669</v>
      </c>
      <c r="AK51" s="1">
        <f t="shared" si="43"/>
        <v>0.70833333333333326</v>
      </c>
      <c r="AL51" s="1">
        <f t="shared" si="44"/>
        <v>2.2125539193812287</v>
      </c>
      <c r="AM51" s="6">
        <f t="shared" si="45"/>
        <v>12.356276959690614</v>
      </c>
    </row>
    <row r="52" spans="1:42">
      <c r="A52" s="68" t="s">
        <v>80</v>
      </c>
      <c r="B52" s="50">
        <f>((V48_Max-V12_Nom)/(2*Lm*Fsw))*((V12_Nom*Rcs)/V48_Max)*1000</f>
        <v>4.3950159612810209</v>
      </c>
      <c r="C52" s="40" t="s">
        <v>68</v>
      </c>
      <c r="N52">
        <v>4.5999999999999999E-2</v>
      </c>
      <c r="O52">
        <f t="shared" si="25"/>
        <v>11.5</v>
      </c>
      <c r="P52" s="5">
        <f t="shared" si="26"/>
        <v>0.3</v>
      </c>
      <c r="Q52" s="1">
        <f t="shared" si="27"/>
        <v>0.7</v>
      </c>
      <c r="R52" s="1">
        <f t="shared" si="28"/>
        <v>2.0615796519410976</v>
      </c>
      <c r="S52" s="6">
        <f t="shared" si="29"/>
        <v>12.530789825970549</v>
      </c>
      <c r="T52" s="5">
        <f t="shared" si="30"/>
        <v>0.27499999999999997</v>
      </c>
      <c r="U52" s="1">
        <f t="shared" si="31"/>
        <v>0.72500000000000009</v>
      </c>
      <c r="V52" s="1">
        <f t="shared" si="32"/>
        <v>2.1352074966532792</v>
      </c>
      <c r="W52" s="6">
        <f t="shared" si="33"/>
        <v>12.56760374832664</v>
      </c>
      <c r="X52" s="5">
        <f t="shared" si="34"/>
        <v>0.25384615384615383</v>
      </c>
      <c r="Y52" s="1">
        <f t="shared" si="35"/>
        <v>0.74615384615384617</v>
      </c>
      <c r="Z52" s="1">
        <f t="shared" si="36"/>
        <v>2.1975079806405104</v>
      </c>
      <c r="AA52" s="6">
        <f t="shared" si="37"/>
        <v>12.598753990320255</v>
      </c>
      <c r="AB52" s="5">
        <f t="shared" si="38"/>
        <v>0.25</v>
      </c>
      <c r="AC52" s="1">
        <f t="shared" si="39"/>
        <v>0.75</v>
      </c>
      <c r="AD52" s="1">
        <f t="shared" si="40"/>
        <v>2.0080321285140559</v>
      </c>
      <c r="AE52" s="6">
        <f t="shared" si="41"/>
        <v>12.504016064257028</v>
      </c>
      <c r="AF52" s="5">
        <f t="shared" si="17"/>
        <v>0.27499999999999997</v>
      </c>
      <c r="AG52" s="1">
        <f t="shared" si="18"/>
        <v>0.72500000000000009</v>
      </c>
      <c r="AH52" s="1">
        <f t="shared" si="23"/>
        <v>2.1352074966532792</v>
      </c>
      <c r="AI52" s="6">
        <f t="shared" si="24"/>
        <v>12.56760374832664</v>
      </c>
      <c r="AJ52" s="5">
        <f t="shared" si="42"/>
        <v>0.29166666666666669</v>
      </c>
      <c r="AK52" s="1">
        <f t="shared" si="43"/>
        <v>0.70833333333333326</v>
      </c>
      <c r="AL52" s="1">
        <f t="shared" si="44"/>
        <v>2.2125539193812287</v>
      </c>
      <c r="AM52" s="6">
        <f t="shared" si="45"/>
        <v>12.606276959690614</v>
      </c>
    </row>
    <row r="53" spans="1:42">
      <c r="A53" s="68" t="s">
        <v>81</v>
      </c>
      <c r="B53" s="51">
        <f>(B52/1000)/Rcs</f>
        <v>1.0987539903202552</v>
      </c>
      <c r="C53" s="40" t="s">
        <v>4</v>
      </c>
      <c r="N53">
        <v>4.7E-2</v>
      </c>
      <c r="O53">
        <f t="shared" si="25"/>
        <v>11.75</v>
      </c>
      <c r="P53" s="5">
        <f t="shared" si="26"/>
        <v>0.3</v>
      </c>
      <c r="Q53" s="1">
        <f t="shared" si="27"/>
        <v>0.7</v>
      </c>
      <c r="R53" s="1">
        <f t="shared" si="28"/>
        <v>2.0615796519410976</v>
      </c>
      <c r="S53" s="6">
        <f t="shared" si="29"/>
        <v>12.780789825970549</v>
      </c>
      <c r="T53" s="5">
        <f t="shared" si="30"/>
        <v>0.27499999999999997</v>
      </c>
      <c r="U53" s="1">
        <f t="shared" si="31"/>
        <v>0.72500000000000009</v>
      </c>
      <c r="V53" s="1">
        <f t="shared" si="32"/>
        <v>2.1352074966532792</v>
      </c>
      <c r="W53" s="6">
        <f t="shared" si="33"/>
        <v>12.81760374832664</v>
      </c>
      <c r="X53" s="5">
        <f t="shared" si="34"/>
        <v>0.25384615384615383</v>
      </c>
      <c r="Y53" s="1">
        <f t="shared" si="35"/>
        <v>0.74615384615384617</v>
      </c>
      <c r="Z53" s="1">
        <f t="shared" si="36"/>
        <v>2.1975079806405104</v>
      </c>
      <c r="AA53" s="6">
        <f t="shared" si="37"/>
        <v>12.848753990320255</v>
      </c>
      <c r="AB53" s="5">
        <f t="shared" si="38"/>
        <v>0.25</v>
      </c>
      <c r="AC53" s="1">
        <f t="shared" si="39"/>
        <v>0.75</v>
      </c>
      <c r="AD53" s="1">
        <f t="shared" si="40"/>
        <v>2.0080321285140559</v>
      </c>
      <c r="AE53" s="6">
        <f t="shared" si="41"/>
        <v>12.754016064257028</v>
      </c>
      <c r="AF53" s="5">
        <f t="shared" si="17"/>
        <v>0.27499999999999997</v>
      </c>
      <c r="AG53" s="1">
        <f t="shared" si="18"/>
        <v>0.72500000000000009</v>
      </c>
      <c r="AH53" s="1">
        <f t="shared" si="23"/>
        <v>2.1352074966532792</v>
      </c>
      <c r="AI53" s="6">
        <f t="shared" si="24"/>
        <v>12.81760374832664</v>
      </c>
      <c r="AJ53" s="5">
        <f t="shared" si="42"/>
        <v>0.29166666666666669</v>
      </c>
      <c r="AK53" s="1">
        <f t="shared" si="43"/>
        <v>0.70833333333333326</v>
      </c>
      <c r="AL53" s="1">
        <f t="shared" si="44"/>
        <v>2.2125539193812287</v>
      </c>
      <c r="AM53" s="6">
        <f t="shared" si="45"/>
        <v>12.856276959690614</v>
      </c>
    </row>
    <row r="54" spans="1:42" ht="15" thickBot="1">
      <c r="A54" s="69" t="s">
        <v>288</v>
      </c>
      <c r="B54" s="51">
        <f>(V12_Nom/V48_Max)</f>
        <v>0.25384615384615383</v>
      </c>
      <c r="C54" s="70"/>
      <c r="N54">
        <v>4.8000000000000001E-2</v>
      </c>
      <c r="O54">
        <f t="shared" si="25"/>
        <v>12</v>
      </c>
      <c r="P54" s="5">
        <f t="shared" si="26"/>
        <v>0.3</v>
      </c>
      <c r="Q54" s="1">
        <f t="shared" si="27"/>
        <v>0.7</v>
      </c>
      <c r="R54" s="1">
        <f t="shared" si="28"/>
        <v>2.0615796519410976</v>
      </c>
      <c r="S54" s="6">
        <f t="shared" si="29"/>
        <v>13.030789825970549</v>
      </c>
      <c r="T54" s="5">
        <f t="shared" si="30"/>
        <v>0.27499999999999997</v>
      </c>
      <c r="U54" s="1">
        <f t="shared" si="31"/>
        <v>0.72500000000000009</v>
      </c>
      <c r="V54" s="1">
        <f t="shared" si="32"/>
        <v>2.1352074966532792</v>
      </c>
      <c r="W54" s="6">
        <f t="shared" si="33"/>
        <v>13.06760374832664</v>
      </c>
      <c r="X54" s="5">
        <f t="shared" si="34"/>
        <v>0.25384615384615383</v>
      </c>
      <c r="Y54" s="1">
        <f t="shared" si="35"/>
        <v>0.74615384615384617</v>
      </c>
      <c r="Z54" s="1">
        <f t="shared" si="36"/>
        <v>2.1975079806405104</v>
      </c>
      <c r="AA54" s="6">
        <f t="shared" si="37"/>
        <v>13.098753990320255</v>
      </c>
      <c r="AB54" s="5">
        <f t="shared" si="38"/>
        <v>0.25</v>
      </c>
      <c r="AC54" s="1">
        <f t="shared" si="39"/>
        <v>0.75</v>
      </c>
      <c r="AD54" s="1">
        <f t="shared" si="40"/>
        <v>2.0080321285140559</v>
      </c>
      <c r="AE54" s="6">
        <f t="shared" si="41"/>
        <v>13.004016064257028</v>
      </c>
      <c r="AF54" s="5">
        <f t="shared" si="17"/>
        <v>0.27499999999999997</v>
      </c>
      <c r="AG54" s="1">
        <f t="shared" si="18"/>
        <v>0.72500000000000009</v>
      </c>
      <c r="AH54" s="1">
        <f t="shared" si="23"/>
        <v>2.1352074966532792</v>
      </c>
      <c r="AI54" s="6">
        <f t="shared" si="24"/>
        <v>13.06760374832664</v>
      </c>
      <c r="AJ54" s="5">
        <f t="shared" si="42"/>
        <v>0.29166666666666669</v>
      </c>
      <c r="AK54" s="1">
        <f t="shared" si="43"/>
        <v>0.70833333333333326</v>
      </c>
      <c r="AL54" s="1">
        <f t="shared" si="44"/>
        <v>2.2125539193812287</v>
      </c>
      <c r="AM54" s="6">
        <f t="shared" si="45"/>
        <v>13.106276959690614</v>
      </c>
    </row>
    <row r="55" spans="1:42">
      <c r="A55" s="65" t="s">
        <v>287</v>
      </c>
      <c r="B55" s="66">
        <f>((V48_Nom-V12_Min)/(2*Lm*Fsw))*((V12_Min*Rcs)/V48_Nom)*1000</f>
        <v>4.0160642570281126</v>
      </c>
      <c r="C55" s="67" t="s">
        <v>68</v>
      </c>
      <c r="N55">
        <v>4.9000000000000002E-2</v>
      </c>
      <c r="O55">
        <f t="shared" si="25"/>
        <v>12.25</v>
      </c>
      <c r="P55" s="5">
        <f t="shared" si="26"/>
        <v>0.3</v>
      </c>
      <c r="Q55" s="1">
        <f t="shared" si="27"/>
        <v>0.7</v>
      </c>
      <c r="R55" s="1">
        <f t="shared" si="28"/>
        <v>2.0615796519410976</v>
      </c>
      <c r="S55" s="6">
        <f t="shared" si="29"/>
        <v>13.280789825970549</v>
      </c>
      <c r="T55" s="5">
        <f t="shared" si="30"/>
        <v>0.27499999999999997</v>
      </c>
      <c r="U55" s="1">
        <f t="shared" si="31"/>
        <v>0.72500000000000009</v>
      </c>
      <c r="V55" s="1">
        <f t="shared" si="32"/>
        <v>2.1352074966532792</v>
      </c>
      <c r="W55" s="6">
        <f t="shared" si="33"/>
        <v>13.31760374832664</v>
      </c>
      <c r="X55" s="5">
        <f t="shared" si="34"/>
        <v>0.25384615384615383</v>
      </c>
      <c r="Y55" s="1">
        <f t="shared" si="35"/>
        <v>0.74615384615384617</v>
      </c>
      <c r="Z55" s="1">
        <f t="shared" si="36"/>
        <v>2.1975079806405104</v>
      </c>
      <c r="AA55" s="6">
        <f t="shared" si="37"/>
        <v>13.348753990320255</v>
      </c>
      <c r="AB55" s="5">
        <f t="shared" si="38"/>
        <v>0.25</v>
      </c>
      <c r="AC55" s="1">
        <f t="shared" si="39"/>
        <v>0.75</v>
      </c>
      <c r="AD55" s="1">
        <f t="shared" si="40"/>
        <v>2.0080321285140559</v>
      </c>
      <c r="AE55" s="6">
        <f t="shared" si="41"/>
        <v>13.254016064257028</v>
      </c>
      <c r="AF55" s="5">
        <f t="shared" si="17"/>
        <v>0.27499999999999997</v>
      </c>
      <c r="AG55" s="1">
        <f t="shared" si="18"/>
        <v>0.72500000000000009</v>
      </c>
      <c r="AH55" s="1">
        <f t="shared" si="23"/>
        <v>2.1352074966532792</v>
      </c>
      <c r="AI55" s="6">
        <f t="shared" si="24"/>
        <v>13.31760374832664</v>
      </c>
      <c r="AJ55" s="5">
        <f t="shared" si="42"/>
        <v>0.29166666666666669</v>
      </c>
      <c r="AK55" s="1">
        <f t="shared" si="43"/>
        <v>0.70833333333333326</v>
      </c>
      <c r="AL55" s="1">
        <f t="shared" si="44"/>
        <v>2.2125539193812287</v>
      </c>
      <c r="AM55" s="6">
        <f t="shared" si="45"/>
        <v>13.356276959690614</v>
      </c>
    </row>
    <row r="56" spans="1:42">
      <c r="A56" s="68" t="s">
        <v>286</v>
      </c>
      <c r="B56" s="51">
        <f>(B55/1000)/Rcs</f>
        <v>1.0040160642570282</v>
      </c>
      <c r="C56" s="40" t="s">
        <v>4</v>
      </c>
      <c r="N56">
        <v>0.05</v>
      </c>
      <c r="O56">
        <f t="shared" si="25"/>
        <v>12.5</v>
      </c>
      <c r="P56" s="5">
        <f t="shared" si="26"/>
        <v>0.3</v>
      </c>
      <c r="Q56" s="1">
        <f t="shared" si="27"/>
        <v>0.7</v>
      </c>
      <c r="R56" s="1">
        <f t="shared" si="28"/>
        <v>2.0615796519410976</v>
      </c>
      <c r="S56" s="6">
        <f t="shared" si="29"/>
        <v>13.530789825970549</v>
      </c>
      <c r="T56" s="5">
        <f t="shared" si="30"/>
        <v>0.27499999999999997</v>
      </c>
      <c r="U56" s="1">
        <f t="shared" si="31"/>
        <v>0.72500000000000009</v>
      </c>
      <c r="V56" s="1">
        <f t="shared" si="32"/>
        <v>2.1352074966532792</v>
      </c>
      <c r="W56" s="6">
        <f t="shared" si="33"/>
        <v>13.56760374832664</v>
      </c>
      <c r="X56" s="5">
        <f t="shared" si="34"/>
        <v>0.25384615384615383</v>
      </c>
      <c r="Y56" s="1">
        <f t="shared" si="35"/>
        <v>0.74615384615384617</v>
      </c>
      <c r="Z56" s="1">
        <f t="shared" si="36"/>
        <v>2.1975079806405104</v>
      </c>
      <c r="AA56" s="6">
        <f t="shared" si="37"/>
        <v>13.598753990320255</v>
      </c>
      <c r="AB56" s="5">
        <f t="shared" si="38"/>
        <v>0.25</v>
      </c>
      <c r="AC56" s="1">
        <f t="shared" si="39"/>
        <v>0.75</v>
      </c>
      <c r="AD56" s="1">
        <f t="shared" si="40"/>
        <v>2.0080321285140559</v>
      </c>
      <c r="AE56" s="6">
        <f t="shared" si="41"/>
        <v>13.504016064257028</v>
      </c>
      <c r="AF56" s="5">
        <f t="shared" si="17"/>
        <v>0.27499999999999997</v>
      </c>
      <c r="AG56" s="1">
        <f t="shared" si="18"/>
        <v>0.72500000000000009</v>
      </c>
      <c r="AH56" s="1">
        <f t="shared" si="23"/>
        <v>2.1352074966532792</v>
      </c>
      <c r="AI56" s="6">
        <f t="shared" si="24"/>
        <v>13.56760374832664</v>
      </c>
      <c r="AJ56" s="5">
        <f t="shared" si="42"/>
        <v>0.29166666666666669</v>
      </c>
      <c r="AK56" s="1">
        <f t="shared" si="43"/>
        <v>0.70833333333333326</v>
      </c>
      <c r="AL56" s="1">
        <f t="shared" si="44"/>
        <v>2.2125539193812287</v>
      </c>
      <c r="AM56" s="6">
        <f t="shared" si="45"/>
        <v>13.606276959690614</v>
      </c>
    </row>
    <row r="57" spans="1:42">
      <c r="A57" s="68" t="s">
        <v>288</v>
      </c>
      <c r="B57" s="44">
        <f>1-(V12_Min/V48_Nom)</f>
        <v>0.75</v>
      </c>
      <c r="C57" s="40"/>
    </row>
    <row r="58" spans="1:42">
      <c r="A58" s="68" t="s">
        <v>70</v>
      </c>
      <c r="B58" s="50">
        <f>((V48_Nom-V12_Nom)/(2*Lm*Fsw))*((V12_Nom*Rcs)/V48_Nom)*1000</f>
        <v>4.2704149933065594</v>
      </c>
      <c r="C58" s="40" t="s">
        <v>68</v>
      </c>
      <c r="N58" s="145"/>
      <c r="O58" s="145"/>
      <c r="P58" s="145" t="s">
        <v>75</v>
      </c>
      <c r="Q58" s="145"/>
      <c r="R58" s="145"/>
      <c r="S58" s="145"/>
      <c r="T58" s="145"/>
      <c r="U58" s="145"/>
      <c r="V58" s="145"/>
      <c r="W58" s="145"/>
      <c r="X58" s="145"/>
      <c r="Y58" s="145"/>
      <c r="Z58" s="145"/>
      <c r="AA58" s="145"/>
      <c r="AD58" s="258" t="s">
        <v>75</v>
      </c>
      <c r="AE58" s="258"/>
      <c r="AF58" s="258"/>
      <c r="AG58" s="258"/>
      <c r="AH58" s="258"/>
      <c r="AI58" s="258"/>
      <c r="AJ58" s="258"/>
      <c r="AK58" s="258"/>
      <c r="AL58" s="258"/>
      <c r="AM58" s="258"/>
      <c r="AN58" s="258"/>
      <c r="AO58" s="258"/>
    </row>
    <row r="59" spans="1:42" ht="15" thickBot="1">
      <c r="A59" s="68" t="s">
        <v>77</v>
      </c>
      <c r="B59" s="51">
        <f>(B58/1000)/Rcs</f>
        <v>1.0676037483266398</v>
      </c>
      <c r="C59" s="40" t="s">
        <v>4</v>
      </c>
      <c r="N59" s="145"/>
      <c r="O59" s="145"/>
      <c r="P59" s="156" t="s">
        <v>72</v>
      </c>
      <c r="Q59" s="156"/>
      <c r="R59" s="156"/>
      <c r="S59" s="156"/>
      <c r="T59" s="156" t="s">
        <v>73</v>
      </c>
      <c r="U59" s="156"/>
      <c r="V59" s="156"/>
      <c r="W59" s="156"/>
      <c r="X59" s="156" t="s">
        <v>74</v>
      </c>
      <c r="Y59" s="156"/>
      <c r="Z59" s="156"/>
      <c r="AA59" s="156"/>
      <c r="AC59" s="145"/>
      <c r="AD59" s="145"/>
      <c r="AE59" s="156" t="s">
        <v>99</v>
      </c>
      <c r="AF59" s="156"/>
      <c r="AG59" s="156"/>
      <c r="AH59" s="156"/>
      <c r="AI59" s="156" t="s">
        <v>100</v>
      </c>
      <c r="AJ59" s="156"/>
      <c r="AK59" s="156"/>
      <c r="AL59" s="156"/>
      <c r="AM59" s="156" t="s">
        <v>101</v>
      </c>
      <c r="AN59" s="156"/>
      <c r="AO59" s="156"/>
      <c r="AP59" s="156"/>
    </row>
    <row r="60" spans="1:42" ht="18.75" customHeight="1" thickBot="1">
      <c r="A60" s="68" t="s">
        <v>288</v>
      </c>
      <c r="B60" s="51">
        <f>1-(V12_Nom/V48_Nom)</f>
        <v>0.72500000000000009</v>
      </c>
      <c r="C60" s="40"/>
      <c r="N60" s="145"/>
      <c r="O60" s="145" t="s">
        <v>30</v>
      </c>
      <c r="P60" s="17" t="s">
        <v>15</v>
      </c>
      <c r="Q60" s="18" t="s">
        <v>14</v>
      </c>
      <c r="R60" s="18" t="s">
        <v>13</v>
      </c>
      <c r="S60" s="19" t="s">
        <v>12</v>
      </c>
      <c r="T60" s="17" t="s">
        <v>15</v>
      </c>
      <c r="U60" s="18" t="s">
        <v>14</v>
      </c>
      <c r="V60" s="18" t="s">
        <v>13</v>
      </c>
      <c r="W60" s="19" t="s">
        <v>12</v>
      </c>
      <c r="X60" s="17" t="s">
        <v>15</v>
      </c>
      <c r="Y60" s="18" t="s">
        <v>14</v>
      </c>
      <c r="Z60" s="18" t="s">
        <v>13</v>
      </c>
      <c r="AA60" s="19" t="s">
        <v>12</v>
      </c>
      <c r="AC60" s="145"/>
      <c r="AD60" s="145" t="s">
        <v>98</v>
      </c>
      <c r="AE60" s="17" t="s">
        <v>15</v>
      </c>
      <c r="AF60" s="18" t="s">
        <v>14</v>
      </c>
      <c r="AG60" s="18" t="s">
        <v>13</v>
      </c>
      <c r="AH60" s="19" t="s">
        <v>12</v>
      </c>
      <c r="AI60" s="17" t="s">
        <v>15</v>
      </c>
      <c r="AJ60" s="18" t="s">
        <v>14</v>
      </c>
      <c r="AK60" s="18" t="s">
        <v>13</v>
      </c>
      <c r="AL60" s="19" t="s">
        <v>12</v>
      </c>
      <c r="AM60" s="17" t="s">
        <v>15</v>
      </c>
      <c r="AN60" s="18" t="s">
        <v>14</v>
      </c>
      <c r="AO60" s="18" t="s">
        <v>13</v>
      </c>
      <c r="AP60" s="19" t="s">
        <v>12</v>
      </c>
    </row>
    <row r="61" spans="1:42">
      <c r="A61" s="68" t="s">
        <v>285</v>
      </c>
      <c r="B61" s="50">
        <f>((V48_Nom-V12_Max)/(2*Lm*Fsw))*((V12_Max*Rcs)/V48_Nom)*1000</f>
        <v>4.4251078387624574</v>
      </c>
      <c r="C61" s="40" t="s">
        <v>68</v>
      </c>
      <c r="N61">
        <v>0</v>
      </c>
      <c r="O61">
        <f>V48_Min</f>
        <v>11</v>
      </c>
      <c r="P61" s="14">
        <f t="shared" ref="P61:P92" si="46">IF(I_Channel&lt;(($O61-V12_Min)*V12_Min)/((2*Lm*Fsw)*$O61),SQRT((2*I_Channel*Lm*Fsw*V12_Min)/($O61*($O61-V12_Min))),(V12_Min/$O61))</f>
        <v>0.27272727272727271</v>
      </c>
      <c r="Q61" s="15">
        <f t="shared" ref="Q61:Q92" si="47">IF(I_Channel&lt;(($O61-V12_Min)*V12_Min)/((2*Lm*Fsw)*$O61),SQRT((2*I_Channel*Lm*Fsw*V12_Min)/($O61*($O61-V12_Min)))*(($O61-V12_Min)/(V12_Min)),1-(V12_Min/$O61))</f>
        <v>0.72727272727272729</v>
      </c>
      <c r="R61" s="15">
        <f t="shared" ref="R61:R92" si="48">IF(I_Channel&lt;(($O61-V12_Min)*V12_Min)/((2*Lm*Fsw)*$O61),(P61/(Fsw*Lm))*($O61-V12_Min),((P61/(Fsw*Lm))*($O61-V12_Min)))</f>
        <v>1.9471826700742361</v>
      </c>
      <c r="S61" s="16">
        <f t="shared" ref="S61:S92" si="49">IF(I_Channel&lt;(($O61-V12_Min)*V12_Min)/((2*Lm*Fsw)*$O61),(P61/(Fsw*Lm))*($O61-V12_Min),(R61/2)+I_Channel)</f>
        <v>13.473591335037119</v>
      </c>
      <c r="T61" s="14">
        <f t="shared" ref="T61:T92" si="50">IF(I_Channel&lt;(($O61-V12_Nom)*V12_Nom)/((2*Lm*Fsw)*$O61),SQRT((2*I_Channel*Lm*Fsw*V12_Nom)/($O61*($O61-V12_Nom))),(V12_Nom/$O61))</f>
        <v>0.3</v>
      </c>
      <c r="U61" s="15">
        <f t="shared" ref="U61:U92" si="51">IF(I_Channel&lt;(($O61-V12_Nom)*V12_Nom)/((2*Lm*Fsw)*$O61),SQRT((2*I_Channel*Lm*Fsw*V12_Nom)/($O61*($O61-V12_Nom)))*(($O61-V12_Nom)/(V12_Nom)),1-(V12_Nom/$O61))</f>
        <v>0.7</v>
      </c>
      <c r="V61" s="15">
        <f t="shared" ref="V61:V92" si="52">IF(I_Channel&lt;(($O61-V12_Nom)*V12_Nom)/((2*Lm*Fsw)*$O61),(T61/(Fsw*Lm))*($O61-V12_Nom),((T61/(Fsw*Lm))*($O61-V12_Nom)))</f>
        <v>2.0615796519410976</v>
      </c>
      <c r="W61" s="16">
        <f t="shared" ref="W61:W92" si="53">IF(I_Channel&lt;(($O61-V12_Nom)*V12_Nom)/((2*Lm*Fsw)*$O61),(T61/(Fsw*Lm))*($O61-V12_Nom),(V61/2)+I_Channel)</f>
        <v>13.530789825970549</v>
      </c>
      <c r="X61" s="14">
        <f t="shared" ref="X61:X92" si="54">IF(I_Channel&lt;(($O61-V12_Max)*V12_Max)/((2*Lm*Fsw)*$O61),SQRT((2*I_Channel*Lm*Fsw*V12_Max)/($O61*($O61-V12_Max))),(V12_Max/$O61))</f>
        <v>0.31818181818181818</v>
      </c>
      <c r="Y61" s="15">
        <f t="shared" ref="Y61:Y92" si="55">IF(I_Channel&lt;(($O61-V12_Max)*V12_Max)/((2*Lm*Fsw)*$O61),SQRT((2*I_Channel*Lm*Fsw*V12_Max)/($O61*($O61-V12_Max)))*(($O61-V12_Max)/(V12_Max)),1-(V12_Max/$O61))</f>
        <v>0.68181818181818188</v>
      </c>
      <c r="Z61" s="15">
        <f t="shared" ref="Z61:Z92" si="56">IF(I_Channel&lt;(($O61-V12_Max)*V12_Max)/((2*Lm*Fsw)*$O61),(X61/(Fsw*Lm))*($O61-V12_Max),((X61/(Fsw*Lm))*($O61-V12_Max)))</f>
        <v>2.1297310453936955</v>
      </c>
      <c r="AA61" s="16">
        <f t="shared" ref="AA61:AA92" si="57">IF(I_Channel&lt;(($O61-V12_Max)*V12_Max)/((2*Lm*Fsw)*$O61),(X61/(Fsw*Lm))*($O61-V12_Max),(Z61/2)+I_Channel)</f>
        <v>13.564865522696849</v>
      </c>
      <c r="AC61">
        <v>0</v>
      </c>
      <c r="AD61">
        <f>V12_Min</f>
        <v>3</v>
      </c>
      <c r="AE61" s="14">
        <f t="shared" ref="AE61:AE92" si="58">IF(I_Channel&lt;((V48_Min-$AD61)*$AD61)/((2*Lm*Fsw)*V48_Min),SQRT((2*I_Channel*Lm*Fsw*$AD61)/(V48_Min*(V48_Min-$AD61))),($AD61/V48_Min))</f>
        <v>0.27272727272727271</v>
      </c>
      <c r="AF61" s="15">
        <f t="shared" ref="AF61:AF92" si="59">IF(I_Channel&lt;((V48_Min-$AD61)*$AD61)/((2*Lm*Fsw)*V48_Min),SQRT((2*I_Channel*Lm*Fsw*$AD61)/(V48_Min*(V48_Min-$AD61)))*((V48_Min-$AD61)/($AD61)),1-($AD61/V48_Min))</f>
        <v>0.72727272727272729</v>
      </c>
      <c r="AG61" s="15">
        <f t="shared" ref="AG61:AG92" si="60">IF(I_Channel&lt;((V48_Min-$AD61)*$AD61)/((2*Lm*Fsw)*V48_Min),(AE61/(Fsw*Lm))*(V48_Min-$AD61),((AE61/(Fsw*Lm))*(V48_Min-$AD61)))</f>
        <v>1.9471826700742361</v>
      </c>
      <c r="AH61" s="16">
        <f t="shared" ref="AH61:AH92" si="61">IF(I_Channel&lt;((V48_Min-$AD61)*$AD61)/((2*Lm*Fsw)*V48_Min),(AE61/(Fsw*Lm))*(V48_Min-$AD61),(AG61/2)+I_Channel)</f>
        <v>13.473591335037119</v>
      </c>
      <c r="AI61" s="14">
        <f t="shared" ref="AI61:AI92" si="62">IF(I_Channel&lt;((V48_Nom-$AD61)*$AD61)/((2*Lm*Fsw)*V48_Nom),SQRT((2*I_Channel*Lm*Fsw*$AD61)/(V48_Nom*(V48_Nom-$AD61))),($AD61/V48_Nom))</f>
        <v>0.25</v>
      </c>
      <c r="AJ61" s="15">
        <f t="shared" ref="AJ61:AJ92" si="63">IF(I_Channel&lt;((V48_Nom-$AD61)*$AD61)/((2*Lm*Fsw)*V48_Nom),SQRT((2*I_Channel*Lm*Fsw*$AD61)/(V48_Nom*(V48_Nom-$AD61)))*((V48_Nom-$AD61)/($AD61)),1-($AD61/V48_Nom))</f>
        <v>0.75</v>
      </c>
      <c r="AK61" s="15">
        <f t="shared" ref="AK61:AK92" si="64">IF(I_Channel&lt;((V48_Nom-$AD61)*$AD61)/((2*Lm*Fsw)*V48_Nom),(AI61/(Fsw*Lm))*(V48_Nom-$AD61),((AI61/(Fsw*Lm))*(V48_Nom-$AD61)))</f>
        <v>2.0080321285140559</v>
      </c>
      <c r="AL61" s="16">
        <f t="shared" ref="AL61:AL92" si="65">IF(I_Channel&lt;((V48_Nom-$AD61)*$AD61)/((2*Lm*Fsw)*V48_Nom),(AI61/(Fsw*Lm))*(V48_Nom-$AD61),(AK61/2)+I_Channel)</f>
        <v>13.504016064257028</v>
      </c>
      <c r="AM61" s="14">
        <f t="shared" ref="AM61:AM92" si="66">IF(I_Channel&lt;((V48_Max-$AD61)*$AD61)/((2*Lm*Fsw)*V48_Max),SQRT((2*I_Channel*Lm*Fsw*$AD61)/(V48_Max*(V48_Max-$AD61))),($AD61/V48_Max))</f>
        <v>0.23076923076923078</v>
      </c>
      <c r="AN61" s="15">
        <f t="shared" ref="AN61:AN92" si="67">IF(I_Channel&lt;((V48_Max-$AD61)*$AD61)/((2*Lm*Fsw)*V48_Max),SQRT((2*I_Channel*Lm*Fsw*$AD61)/(V48_Max*(V48_Max-$AD61)))*((V48_Max-$AD61)/($AD61)),1-($AD61/V48_Max))</f>
        <v>0.76923076923076916</v>
      </c>
      <c r="AO61" s="15">
        <f t="shared" ref="AO61:AO92" si="68">IF(I_Channel&lt;((V48_Max-$AD61)*$AD61)/((2*Lm*Fsw)*V48_Max),(AM61/(Fsw*Lm))*(V48_Max-$AD61),((AM61/(Fsw*Lm))*(V48_Max-$AD61)))</f>
        <v>2.0595201318092884</v>
      </c>
      <c r="AP61" s="16">
        <f t="shared" ref="AP61:AP92" si="69">IF(I_Channel&lt;((V48_Max-$AD61)*$AD61)/((2*Lm*Fsw)*V48_Max),(AM61/(Fsw*Lm))*(V48_Max-$AD61),(AO61/2)+I_Channel)</f>
        <v>13.529760065904645</v>
      </c>
    </row>
    <row r="62" spans="1:42">
      <c r="A62" s="68" t="s">
        <v>284</v>
      </c>
      <c r="B62" s="51">
        <f>(B61/1000)/Rcs</f>
        <v>1.1062769596906143</v>
      </c>
      <c r="C62" s="40" t="s">
        <v>4</v>
      </c>
      <c r="N62">
        <v>1</v>
      </c>
      <c r="O62">
        <f t="shared" ref="O62:O93" si="70">((V48_Max-V48_Min)/50)*N62+V48_Min</f>
        <v>11.04</v>
      </c>
      <c r="P62" s="14">
        <f t="shared" si="46"/>
        <v>0.27173913043478265</v>
      </c>
      <c r="Q62" s="15">
        <f t="shared" si="47"/>
        <v>0.72826086956521729</v>
      </c>
      <c r="R62" s="15">
        <f t="shared" si="48"/>
        <v>1.9498282987020545</v>
      </c>
      <c r="S62" s="16">
        <f t="shared" si="49"/>
        <v>13.474914149351028</v>
      </c>
      <c r="T62" s="14">
        <f t="shared" si="50"/>
        <v>0.29891304347826086</v>
      </c>
      <c r="U62" s="15">
        <f t="shared" si="51"/>
        <v>0.70108695652173914</v>
      </c>
      <c r="V62" s="15">
        <f t="shared" si="52"/>
        <v>2.0647808625807573</v>
      </c>
      <c r="W62" s="16">
        <f t="shared" si="53"/>
        <v>13.532390431290379</v>
      </c>
      <c r="X62" s="14">
        <f t="shared" si="54"/>
        <v>0.3170289855072464</v>
      </c>
      <c r="Y62" s="15">
        <f t="shared" si="55"/>
        <v>0.68297101449275366</v>
      </c>
      <c r="Z62" s="15">
        <f t="shared" si="56"/>
        <v>2.133332039914893</v>
      </c>
      <c r="AA62" s="16">
        <f t="shared" si="57"/>
        <v>13.566666019957447</v>
      </c>
      <c r="AC62">
        <v>1</v>
      </c>
      <c r="AD62">
        <f t="shared" ref="AD62:AD93" si="71">((V12_Max-V12_Min)/50)*AC62+V12_Min</f>
        <v>3.01</v>
      </c>
      <c r="AE62" s="14">
        <f t="shared" si="58"/>
        <v>0.27363636363636362</v>
      </c>
      <c r="AF62" s="15">
        <f t="shared" si="59"/>
        <v>0.72636363636363632</v>
      </c>
      <c r="AG62" s="15">
        <f t="shared" si="60"/>
        <v>1.9512311873757655</v>
      </c>
      <c r="AH62" s="16">
        <f t="shared" si="61"/>
        <v>13.475615593687882</v>
      </c>
      <c r="AI62" s="14">
        <f t="shared" si="62"/>
        <v>0.2508333333333333</v>
      </c>
      <c r="AJ62" s="15">
        <f t="shared" si="63"/>
        <v>0.74916666666666676</v>
      </c>
      <c r="AK62" s="15">
        <f t="shared" si="64"/>
        <v>2.0124869849769444</v>
      </c>
      <c r="AL62" s="16">
        <f t="shared" si="65"/>
        <v>13.506243492488473</v>
      </c>
      <c r="AM62" s="14">
        <f t="shared" si="66"/>
        <v>0.23153846153846153</v>
      </c>
      <c r="AN62" s="15">
        <f t="shared" si="67"/>
        <v>0.76846153846153853</v>
      </c>
      <c r="AO62" s="15">
        <f t="shared" si="68"/>
        <v>2.0643188137164041</v>
      </c>
      <c r="AP62" s="16">
        <f t="shared" si="69"/>
        <v>13.532159406858202</v>
      </c>
    </row>
    <row r="63" spans="1:42" ht="15" thickBot="1">
      <c r="A63" s="69" t="s">
        <v>288</v>
      </c>
      <c r="B63" s="180">
        <f>1-(V12_Max/V48_Nom)</f>
        <v>0.70833333333333326</v>
      </c>
      <c r="C63" s="70"/>
      <c r="N63">
        <v>2</v>
      </c>
      <c r="O63">
        <f t="shared" si="70"/>
        <v>11.08</v>
      </c>
      <c r="P63" s="14">
        <f t="shared" si="46"/>
        <v>0.27075812274368233</v>
      </c>
      <c r="Q63" s="15">
        <f t="shared" si="47"/>
        <v>0.72924187725631762</v>
      </c>
      <c r="R63" s="15">
        <f t="shared" si="48"/>
        <v>1.9524548253181198</v>
      </c>
      <c r="S63" s="16">
        <f t="shared" si="49"/>
        <v>13.47622741265906</v>
      </c>
      <c r="T63" s="14">
        <f t="shared" si="50"/>
        <v>0.2978339350180505</v>
      </c>
      <c r="U63" s="15">
        <f t="shared" si="51"/>
        <v>0.70216606498194944</v>
      </c>
      <c r="V63" s="15">
        <f t="shared" si="52"/>
        <v>2.0679589597861963</v>
      </c>
      <c r="W63" s="16">
        <f t="shared" si="53"/>
        <v>13.533979479893098</v>
      </c>
      <c r="X63" s="14">
        <f t="shared" si="54"/>
        <v>0.31588447653429602</v>
      </c>
      <c r="Y63" s="15">
        <f t="shared" si="55"/>
        <v>0.68411552346570392</v>
      </c>
      <c r="Z63" s="15">
        <f t="shared" si="56"/>
        <v>2.1369070344756484</v>
      </c>
      <c r="AA63" s="16">
        <f t="shared" si="57"/>
        <v>13.568453517237824</v>
      </c>
      <c r="AC63">
        <v>2</v>
      </c>
      <c r="AD63">
        <f t="shared" si="71"/>
        <v>3.02</v>
      </c>
      <c r="AE63" s="14">
        <f t="shared" si="58"/>
        <v>0.27454545454545454</v>
      </c>
      <c r="AF63" s="15">
        <f t="shared" si="59"/>
        <v>0.72545454545454546</v>
      </c>
      <c r="AG63" s="15">
        <f t="shared" si="60"/>
        <v>1.9552634781550444</v>
      </c>
      <c r="AH63" s="16">
        <f t="shared" si="61"/>
        <v>13.477631739077522</v>
      </c>
      <c r="AI63" s="14">
        <f t="shared" si="62"/>
        <v>0.25166666666666665</v>
      </c>
      <c r="AJ63" s="15">
        <f t="shared" si="63"/>
        <v>0.74833333333333329</v>
      </c>
      <c r="AK63" s="15">
        <f t="shared" si="64"/>
        <v>2.0169269671277701</v>
      </c>
      <c r="AL63" s="16">
        <f t="shared" si="65"/>
        <v>13.508463483563885</v>
      </c>
      <c r="AM63" s="14">
        <f t="shared" si="66"/>
        <v>0.2323076923076923</v>
      </c>
      <c r="AN63" s="15">
        <f t="shared" si="67"/>
        <v>0.76769230769230767</v>
      </c>
      <c r="AO63" s="15">
        <f t="shared" si="68"/>
        <v>2.0691037654893076</v>
      </c>
      <c r="AP63" s="16">
        <f t="shared" si="69"/>
        <v>13.534551882744655</v>
      </c>
    </row>
    <row r="64" spans="1:42">
      <c r="N64">
        <v>3</v>
      </c>
      <c r="O64">
        <f t="shared" si="70"/>
        <v>11.12</v>
      </c>
      <c r="P64" s="14">
        <f t="shared" si="46"/>
        <v>0.26978417266187055</v>
      </c>
      <c r="Q64" s="15">
        <f t="shared" si="47"/>
        <v>0.7302158273381294</v>
      </c>
      <c r="R64" s="15">
        <f t="shared" si="48"/>
        <v>1.9550624560592491</v>
      </c>
      <c r="S64" s="16">
        <f t="shared" si="49"/>
        <v>13.477531228029624</v>
      </c>
      <c r="T64" s="14">
        <f t="shared" si="50"/>
        <v>0.29676258992805754</v>
      </c>
      <c r="U64" s="15">
        <f t="shared" si="51"/>
        <v>0.70323741007194251</v>
      </c>
      <c r="V64" s="15">
        <f t="shared" si="52"/>
        <v>2.0711141929829626</v>
      </c>
      <c r="W64" s="16">
        <f t="shared" si="53"/>
        <v>13.53555709649148</v>
      </c>
      <c r="X64" s="14">
        <f t="shared" si="54"/>
        <v>0.31474820143884896</v>
      </c>
      <c r="Y64" s="15">
        <f t="shared" si="55"/>
        <v>0.68525179856115104</v>
      </c>
      <c r="Z64" s="15">
        <f t="shared" si="56"/>
        <v>2.1404563096510745</v>
      </c>
      <c r="AA64" s="16">
        <f t="shared" si="57"/>
        <v>13.570228154825537</v>
      </c>
      <c r="AC64">
        <v>3</v>
      </c>
      <c r="AD64">
        <f t="shared" si="71"/>
        <v>3.03</v>
      </c>
      <c r="AE64" s="14">
        <f t="shared" si="58"/>
        <v>0.27545454545454545</v>
      </c>
      <c r="AF64" s="15">
        <f t="shared" si="59"/>
        <v>0.7245454545454546</v>
      </c>
      <c r="AG64" s="15">
        <f t="shared" si="60"/>
        <v>1.9592795424120726</v>
      </c>
      <c r="AH64" s="16">
        <f t="shared" si="61"/>
        <v>13.479639771206037</v>
      </c>
      <c r="AI64" s="14">
        <f t="shared" si="62"/>
        <v>0.2525</v>
      </c>
      <c r="AJ64" s="15">
        <f t="shared" si="63"/>
        <v>0.74750000000000005</v>
      </c>
      <c r="AK64" s="15">
        <f t="shared" si="64"/>
        <v>2.0213520749665328</v>
      </c>
      <c r="AL64" s="16">
        <f t="shared" si="65"/>
        <v>13.510676037483266</v>
      </c>
      <c r="AM64" s="14">
        <f t="shared" si="66"/>
        <v>0.23307692307692307</v>
      </c>
      <c r="AN64" s="15">
        <f t="shared" si="67"/>
        <v>0.76692307692307693</v>
      </c>
      <c r="AO64" s="15">
        <f t="shared" si="68"/>
        <v>2.0738749871279989</v>
      </c>
      <c r="AP64" s="16">
        <f t="shared" si="69"/>
        <v>13.536937493564</v>
      </c>
    </row>
    <row r="65" spans="1:42">
      <c r="N65">
        <v>4</v>
      </c>
      <c r="O65">
        <f t="shared" si="70"/>
        <v>11.16</v>
      </c>
      <c r="P65" s="14">
        <f t="shared" si="46"/>
        <v>0.26881720430107525</v>
      </c>
      <c r="Q65" s="15">
        <f t="shared" si="47"/>
        <v>0.73118279569892475</v>
      </c>
      <c r="R65" s="15">
        <f t="shared" si="48"/>
        <v>1.9576513941068932</v>
      </c>
      <c r="S65" s="16">
        <f t="shared" si="49"/>
        <v>13.478825697053447</v>
      </c>
      <c r="T65" s="14">
        <f t="shared" si="50"/>
        <v>0.29569892473118276</v>
      </c>
      <c r="U65" s="15">
        <f t="shared" si="51"/>
        <v>0.70430107526881724</v>
      </c>
      <c r="V65" s="15">
        <f t="shared" si="52"/>
        <v>2.0742468080206127</v>
      </c>
      <c r="W65" s="16">
        <f t="shared" si="53"/>
        <v>13.537123404010305</v>
      </c>
      <c r="X65" s="14">
        <f t="shared" si="54"/>
        <v>0.31362007168458783</v>
      </c>
      <c r="Y65" s="15">
        <f t="shared" si="55"/>
        <v>0.68637992831541217</v>
      </c>
      <c r="Z65" s="15">
        <f t="shared" si="56"/>
        <v>2.1439801419937017</v>
      </c>
      <c r="AA65" s="16">
        <f t="shared" si="57"/>
        <v>13.571990070996851</v>
      </c>
      <c r="AC65">
        <v>4</v>
      </c>
      <c r="AD65">
        <f t="shared" si="71"/>
        <v>3.04</v>
      </c>
      <c r="AE65" s="14">
        <f t="shared" si="58"/>
        <v>0.27636363636363637</v>
      </c>
      <c r="AF65" s="15">
        <f t="shared" si="59"/>
        <v>0.72363636363636363</v>
      </c>
      <c r="AG65" s="15">
        <f t="shared" si="60"/>
        <v>1.96327938014685</v>
      </c>
      <c r="AH65" s="16">
        <f t="shared" si="61"/>
        <v>13.481639690073425</v>
      </c>
      <c r="AI65" s="14">
        <f t="shared" si="62"/>
        <v>0.25333333333333335</v>
      </c>
      <c r="AJ65" s="15">
        <f t="shared" si="63"/>
        <v>0.74666666666666659</v>
      </c>
      <c r="AK65" s="15">
        <f t="shared" si="64"/>
        <v>2.0257623084932326</v>
      </c>
      <c r="AL65" s="16">
        <f t="shared" si="65"/>
        <v>13.512881154246616</v>
      </c>
      <c r="AM65" s="14">
        <f t="shared" si="66"/>
        <v>0.23384615384615384</v>
      </c>
      <c r="AN65" s="15">
        <f t="shared" si="67"/>
        <v>0.76615384615384619</v>
      </c>
      <c r="AO65" s="15">
        <f t="shared" si="68"/>
        <v>2.0786324786324788</v>
      </c>
      <c r="AP65" s="16">
        <f t="shared" si="69"/>
        <v>13.539316239316239</v>
      </c>
    </row>
    <row r="66" spans="1:42">
      <c r="N66">
        <v>5</v>
      </c>
      <c r="O66">
        <f t="shared" si="70"/>
        <v>11.2</v>
      </c>
      <c r="P66" s="14">
        <f t="shared" si="46"/>
        <v>0.26785714285714285</v>
      </c>
      <c r="Q66" s="15">
        <f t="shared" si="47"/>
        <v>0.73214285714285721</v>
      </c>
      <c r="R66" s="15">
        <f t="shared" si="48"/>
        <v>1.9602218397399118</v>
      </c>
      <c r="S66" s="16">
        <f t="shared" si="49"/>
        <v>13.480110919869956</v>
      </c>
      <c r="T66" s="14">
        <f t="shared" si="50"/>
        <v>0.29464285714285715</v>
      </c>
      <c r="U66" s="15">
        <f t="shared" si="51"/>
        <v>0.70535714285714279</v>
      </c>
      <c r="V66" s="15">
        <f t="shared" si="52"/>
        <v>2.077357047236565</v>
      </c>
      <c r="W66" s="16">
        <f t="shared" si="53"/>
        <v>13.538678523618282</v>
      </c>
      <c r="X66" s="14">
        <f t="shared" si="54"/>
        <v>0.3125</v>
      </c>
      <c r="Y66" s="15">
        <f t="shared" si="55"/>
        <v>0.6875</v>
      </c>
      <c r="Z66" s="15">
        <f t="shared" si="56"/>
        <v>2.1474788041053099</v>
      </c>
      <c r="AA66" s="16">
        <f t="shared" si="57"/>
        <v>13.573739402052656</v>
      </c>
      <c r="AC66">
        <v>5</v>
      </c>
      <c r="AD66">
        <f t="shared" si="71"/>
        <v>3.05</v>
      </c>
      <c r="AE66" s="14">
        <f t="shared" si="58"/>
        <v>0.27727272727272728</v>
      </c>
      <c r="AF66" s="15">
        <f t="shared" si="59"/>
        <v>0.72272727272727266</v>
      </c>
      <c r="AG66" s="15">
        <f t="shared" si="60"/>
        <v>1.9672629913593769</v>
      </c>
      <c r="AH66" s="16">
        <f t="shared" si="61"/>
        <v>13.483631495679688</v>
      </c>
      <c r="AI66" s="14">
        <f t="shared" si="62"/>
        <v>0.25416666666666665</v>
      </c>
      <c r="AJ66" s="15">
        <f t="shared" si="63"/>
        <v>0.74583333333333335</v>
      </c>
      <c r="AK66" s="15">
        <f t="shared" si="64"/>
        <v>2.0301576677078681</v>
      </c>
      <c r="AL66" s="16">
        <f t="shared" si="65"/>
        <v>13.515078833853934</v>
      </c>
      <c r="AM66" s="14">
        <f t="shared" si="66"/>
        <v>0.23461538461538461</v>
      </c>
      <c r="AN66" s="15">
        <f t="shared" si="67"/>
        <v>0.76538461538461533</v>
      </c>
      <c r="AO66" s="15">
        <f t="shared" si="68"/>
        <v>2.083376240002746</v>
      </c>
      <c r="AP66" s="16">
        <f t="shared" si="69"/>
        <v>13.541688120001373</v>
      </c>
    </row>
    <row r="67" spans="1:42" ht="15" thickBot="1">
      <c r="N67">
        <v>6</v>
      </c>
      <c r="O67">
        <f t="shared" si="70"/>
        <v>11.24</v>
      </c>
      <c r="P67" s="14">
        <f t="shared" si="46"/>
        <v>0.2669039145907473</v>
      </c>
      <c r="Q67" s="15">
        <f t="shared" si="47"/>
        <v>0.73309608540925275</v>
      </c>
      <c r="R67" s="15">
        <f t="shared" si="48"/>
        <v>1.9627739903862185</v>
      </c>
      <c r="S67" s="16">
        <f t="shared" si="49"/>
        <v>13.481386995193109</v>
      </c>
      <c r="T67" s="14">
        <f t="shared" si="50"/>
        <v>0.29359430604982206</v>
      </c>
      <c r="U67" s="15">
        <f t="shared" si="51"/>
        <v>0.70640569395017794</v>
      </c>
      <c r="V67" s="15">
        <f t="shared" si="52"/>
        <v>2.0804451495185967</v>
      </c>
      <c r="W67" s="16">
        <f t="shared" si="53"/>
        <v>13.540222574759298</v>
      </c>
      <c r="X67" s="14">
        <f t="shared" si="54"/>
        <v>0.31138790035587188</v>
      </c>
      <c r="Y67" s="15">
        <f t="shared" si="55"/>
        <v>0.68861209964412806</v>
      </c>
      <c r="Z67" s="15">
        <f t="shared" si="56"/>
        <v>2.1509525647072274</v>
      </c>
      <c r="AA67" s="16">
        <f t="shared" si="57"/>
        <v>13.575476282353614</v>
      </c>
      <c r="AC67">
        <v>6</v>
      </c>
      <c r="AD67">
        <f t="shared" si="71"/>
        <v>3.06</v>
      </c>
      <c r="AE67" s="14">
        <f t="shared" si="58"/>
        <v>0.2781818181818182</v>
      </c>
      <c r="AF67" s="15">
        <f t="shared" si="59"/>
        <v>0.7218181818181818</v>
      </c>
      <c r="AG67" s="15">
        <f t="shared" si="60"/>
        <v>1.9712303760496532</v>
      </c>
      <c r="AH67" s="16">
        <f t="shared" si="61"/>
        <v>13.485615188024827</v>
      </c>
      <c r="AI67" s="14">
        <f t="shared" si="62"/>
        <v>0.255</v>
      </c>
      <c r="AJ67" s="15">
        <f t="shared" si="63"/>
        <v>0.745</v>
      </c>
      <c r="AK67" s="15">
        <f t="shared" si="64"/>
        <v>2.0345381526104416</v>
      </c>
      <c r="AL67" s="16">
        <f t="shared" si="65"/>
        <v>13.517269076305221</v>
      </c>
      <c r="AM67" s="14">
        <f t="shared" si="66"/>
        <v>0.23538461538461539</v>
      </c>
      <c r="AN67" s="15">
        <f t="shared" si="67"/>
        <v>0.76461538461538459</v>
      </c>
      <c r="AO67" s="15">
        <f t="shared" si="68"/>
        <v>2.088106271238801</v>
      </c>
      <c r="AP67" s="16">
        <f t="shared" si="69"/>
        <v>13.5440531356194</v>
      </c>
    </row>
    <row r="68" spans="1:42">
      <c r="A68" s="252" t="s">
        <v>69</v>
      </c>
      <c r="B68" s="253"/>
      <c r="C68" s="254"/>
      <c r="E68" s="57" t="s">
        <v>140</v>
      </c>
      <c r="N68">
        <v>7</v>
      </c>
      <c r="O68">
        <f t="shared" si="70"/>
        <v>11.28</v>
      </c>
      <c r="P68" s="14">
        <f t="shared" si="46"/>
        <v>0.26595744680851063</v>
      </c>
      <c r="Q68" s="15">
        <f t="shared" si="47"/>
        <v>0.73404255319148937</v>
      </c>
      <c r="R68" s="15">
        <f t="shared" si="48"/>
        <v>1.9653080406733312</v>
      </c>
      <c r="S68" s="16">
        <f t="shared" si="49"/>
        <v>13.482654020336666</v>
      </c>
      <c r="T68" s="14">
        <f t="shared" si="50"/>
        <v>0.29255319148936171</v>
      </c>
      <c r="U68" s="15">
        <f t="shared" si="51"/>
        <v>0.70744680851063824</v>
      </c>
      <c r="V68" s="15">
        <f t="shared" si="52"/>
        <v>2.083511350366003</v>
      </c>
      <c r="W68" s="16">
        <f t="shared" si="53"/>
        <v>13.541755675183001</v>
      </c>
      <c r="X68" s="14">
        <f t="shared" si="54"/>
        <v>0.31028368794326244</v>
      </c>
      <c r="Y68" s="15">
        <f t="shared" si="55"/>
        <v>0.68971631205673756</v>
      </c>
      <c r="Z68" s="15">
        <f t="shared" si="56"/>
        <v>2.1544016887091315</v>
      </c>
      <c r="AA68" s="16">
        <f t="shared" si="57"/>
        <v>13.577200844354566</v>
      </c>
      <c r="AC68">
        <v>7</v>
      </c>
      <c r="AD68">
        <f t="shared" si="71"/>
        <v>3.07</v>
      </c>
      <c r="AE68" s="14">
        <f t="shared" si="58"/>
        <v>0.27909090909090906</v>
      </c>
      <c r="AF68" s="15">
        <f t="shared" si="59"/>
        <v>0.72090909090909094</v>
      </c>
      <c r="AG68" s="15">
        <f t="shared" si="60"/>
        <v>1.9751815342176784</v>
      </c>
      <c r="AH68" s="16">
        <f t="shared" si="61"/>
        <v>13.48759076710884</v>
      </c>
      <c r="AI68" s="14">
        <f t="shared" si="62"/>
        <v>0.2558333333333333</v>
      </c>
      <c r="AJ68" s="15">
        <f t="shared" si="63"/>
        <v>0.74416666666666664</v>
      </c>
      <c r="AK68" s="15">
        <f t="shared" si="64"/>
        <v>2.0389037632009517</v>
      </c>
      <c r="AL68" s="16">
        <f t="shared" si="65"/>
        <v>13.519451881600476</v>
      </c>
      <c r="AM68" s="14">
        <f t="shared" si="66"/>
        <v>0.23615384615384613</v>
      </c>
      <c r="AN68" s="15">
        <f t="shared" si="67"/>
        <v>0.76384615384615384</v>
      </c>
      <c r="AO68" s="15">
        <f t="shared" si="68"/>
        <v>2.0928225723406442</v>
      </c>
      <c r="AP68" s="16">
        <f t="shared" si="69"/>
        <v>13.546411286170322</v>
      </c>
    </row>
    <row r="69" spans="1:42">
      <c r="A69" s="181" t="s">
        <v>67</v>
      </c>
      <c r="B69" s="51">
        <f>IF(V48_Max/2&gt;V12_Nom,((V48_Max-V12_Nom)*(V12_Nom/V48_Max))/(Lm*Fsw),((V48_Max-(V48_Max/2))*(V12_Nom/V48_Max))/(Lm*Fsw))</f>
        <v>2.1975079806405104</v>
      </c>
      <c r="C69" s="40" t="s">
        <v>4</v>
      </c>
      <c r="E69" s="34" t="s">
        <v>162</v>
      </c>
      <c r="N69">
        <v>8</v>
      </c>
      <c r="O69">
        <f t="shared" si="70"/>
        <v>11.32</v>
      </c>
      <c r="P69" s="14">
        <f t="shared" si="46"/>
        <v>0.26501766784452296</v>
      </c>
      <c r="Q69" s="15">
        <f t="shared" si="47"/>
        <v>0.73498233215547704</v>
      </c>
      <c r="R69" s="15">
        <f t="shared" si="48"/>
        <v>1.9678241824778502</v>
      </c>
      <c r="S69" s="16">
        <f t="shared" si="49"/>
        <v>13.483912091238926</v>
      </c>
      <c r="T69" s="14">
        <f t="shared" si="50"/>
        <v>0.29151943462897523</v>
      </c>
      <c r="U69" s="15">
        <f t="shared" si="51"/>
        <v>0.70848056537102477</v>
      </c>
      <c r="V69" s="15">
        <f t="shared" si="52"/>
        <v>2.0865558819494701</v>
      </c>
      <c r="W69" s="16">
        <f t="shared" si="53"/>
        <v>13.543277940974734</v>
      </c>
      <c r="X69" s="14">
        <f t="shared" si="54"/>
        <v>0.30918727915194344</v>
      </c>
      <c r="Y69" s="15">
        <f t="shared" si="55"/>
        <v>0.69081272084805656</v>
      </c>
      <c r="Z69" s="15">
        <f t="shared" si="56"/>
        <v>2.1578264372763925</v>
      </c>
      <c r="AA69" s="16">
        <f t="shared" si="57"/>
        <v>13.578913218638196</v>
      </c>
      <c r="AC69">
        <v>8</v>
      </c>
      <c r="AD69">
        <f t="shared" si="71"/>
        <v>3.08</v>
      </c>
      <c r="AE69" s="14">
        <f t="shared" si="58"/>
        <v>0.28000000000000003</v>
      </c>
      <c r="AF69" s="15">
        <f t="shared" si="59"/>
        <v>0.72</v>
      </c>
      <c r="AG69" s="15">
        <f t="shared" si="60"/>
        <v>1.9791164658634539</v>
      </c>
      <c r="AH69" s="16">
        <f t="shared" si="61"/>
        <v>13.489558232931728</v>
      </c>
      <c r="AI69" s="14">
        <f t="shared" si="62"/>
        <v>0.25666666666666665</v>
      </c>
      <c r="AJ69" s="15">
        <f t="shared" si="63"/>
        <v>0.7433333333333334</v>
      </c>
      <c r="AK69" s="15">
        <f t="shared" si="64"/>
        <v>2.0432544994793989</v>
      </c>
      <c r="AL69" s="16">
        <f t="shared" si="65"/>
        <v>13.5216272497397</v>
      </c>
      <c r="AM69" s="14">
        <f t="shared" si="66"/>
        <v>0.23692307692307693</v>
      </c>
      <c r="AN69" s="15">
        <f t="shared" si="67"/>
        <v>0.7630769230769231</v>
      </c>
      <c r="AO69" s="15">
        <f t="shared" si="68"/>
        <v>2.097525143308276</v>
      </c>
      <c r="AP69" s="16">
        <f t="shared" si="69"/>
        <v>13.548762571654137</v>
      </c>
    </row>
    <row r="70" spans="1:42">
      <c r="A70" s="182" t="s">
        <v>383</v>
      </c>
      <c r="B70" s="51">
        <f>(V48_Max-V12_Nom)*(V12_Nom/V48_Max)/(B43*Fsw)*(1000000)</f>
        <v>2.1975079806405104</v>
      </c>
      <c r="C70" s="40" t="s">
        <v>4</v>
      </c>
      <c r="N70">
        <v>9</v>
      </c>
      <c r="O70">
        <f t="shared" si="70"/>
        <v>11.36</v>
      </c>
      <c r="P70" s="14">
        <f t="shared" si="46"/>
        <v>0.26408450704225356</v>
      </c>
      <c r="Q70" s="15">
        <f t="shared" si="47"/>
        <v>0.7359154929577465</v>
      </c>
      <c r="R70" s="15">
        <f t="shared" si="48"/>
        <v>1.9703226049738862</v>
      </c>
      <c r="S70" s="16">
        <f t="shared" si="49"/>
        <v>13.485161302486944</v>
      </c>
      <c r="T70" s="14">
        <f t="shared" si="50"/>
        <v>0.29049295774647887</v>
      </c>
      <c r="U70" s="15">
        <f t="shared" si="51"/>
        <v>0.70950704225352113</v>
      </c>
      <c r="V70" s="15">
        <f t="shared" si="52"/>
        <v>2.0895789731696737</v>
      </c>
      <c r="W70" s="16">
        <f t="shared" si="53"/>
        <v>13.544789486584836</v>
      </c>
      <c r="X70" s="14">
        <f t="shared" si="54"/>
        <v>0.30809859154929581</v>
      </c>
      <c r="Y70" s="15">
        <f t="shared" si="55"/>
        <v>0.69190140845070425</v>
      </c>
      <c r="Z70" s="15">
        <f t="shared" si="56"/>
        <v>2.1612270678959971</v>
      </c>
      <c r="AA70" s="16">
        <f t="shared" si="57"/>
        <v>13.580613533947998</v>
      </c>
      <c r="AC70">
        <v>9</v>
      </c>
      <c r="AD70">
        <f t="shared" si="71"/>
        <v>3.09</v>
      </c>
      <c r="AE70" s="14">
        <f t="shared" si="58"/>
        <v>0.28090909090909089</v>
      </c>
      <c r="AF70" s="15">
        <f t="shared" si="59"/>
        <v>0.71909090909090911</v>
      </c>
      <c r="AG70" s="15">
        <f t="shared" si="60"/>
        <v>1.983035170986978</v>
      </c>
      <c r="AH70" s="16">
        <f t="shared" si="61"/>
        <v>13.491517585493488</v>
      </c>
      <c r="AI70" s="14">
        <f t="shared" si="62"/>
        <v>0.25750000000000001</v>
      </c>
      <c r="AJ70" s="15">
        <f t="shared" si="63"/>
        <v>0.74249999999999994</v>
      </c>
      <c r="AK70" s="15">
        <f t="shared" si="64"/>
        <v>2.0475903614457831</v>
      </c>
      <c r="AL70" s="16">
        <f t="shared" si="65"/>
        <v>13.523795180722892</v>
      </c>
      <c r="AM70" s="14">
        <f t="shared" si="66"/>
        <v>0.23769230769230767</v>
      </c>
      <c r="AN70" s="15">
        <f t="shared" si="67"/>
        <v>0.76230769230769235</v>
      </c>
      <c r="AO70" s="15">
        <f t="shared" si="68"/>
        <v>2.1022139841416947</v>
      </c>
      <c r="AP70" s="16">
        <f t="shared" si="69"/>
        <v>13.551106992070848</v>
      </c>
    </row>
    <row r="71" spans="1:42">
      <c r="A71" s="182" t="s">
        <v>384</v>
      </c>
      <c r="B71" s="51"/>
      <c r="C71" s="40" t="s">
        <v>4</v>
      </c>
      <c r="E71" s="34" t="s">
        <v>387</v>
      </c>
      <c r="N71">
        <v>10</v>
      </c>
      <c r="O71">
        <f t="shared" si="70"/>
        <v>11.4</v>
      </c>
      <c r="P71" s="14">
        <f t="shared" si="46"/>
        <v>0.26315789473684209</v>
      </c>
      <c r="Q71" s="15">
        <f t="shared" si="47"/>
        <v>0.73684210526315796</v>
      </c>
      <c r="R71" s="15">
        <f t="shared" si="48"/>
        <v>1.9728034946804762</v>
      </c>
      <c r="S71" s="16">
        <f t="shared" si="49"/>
        <v>13.486401747340238</v>
      </c>
      <c r="T71" s="14">
        <f t="shared" si="50"/>
        <v>0.28947368421052627</v>
      </c>
      <c r="U71" s="15">
        <f t="shared" si="51"/>
        <v>0.71052631578947367</v>
      </c>
      <c r="V71" s="15">
        <f t="shared" si="52"/>
        <v>2.0925808497146479</v>
      </c>
      <c r="W71" s="16">
        <f t="shared" si="53"/>
        <v>13.546290424857323</v>
      </c>
      <c r="X71" s="14">
        <f t="shared" si="54"/>
        <v>0.30701754385964913</v>
      </c>
      <c r="Y71" s="15">
        <f t="shared" si="55"/>
        <v>0.69298245614035081</v>
      </c>
      <c r="Z71" s="15">
        <f t="shared" si="56"/>
        <v>2.1646038344410785</v>
      </c>
      <c r="AA71" s="16">
        <f t="shared" si="57"/>
        <v>13.582301917220539</v>
      </c>
      <c r="AC71">
        <v>10</v>
      </c>
      <c r="AD71">
        <f t="shared" si="71"/>
        <v>3.1</v>
      </c>
      <c r="AE71" s="14">
        <f t="shared" si="58"/>
        <v>0.2818181818181818</v>
      </c>
      <c r="AF71" s="15">
        <f t="shared" si="59"/>
        <v>0.71818181818181825</v>
      </c>
      <c r="AG71" s="15">
        <f t="shared" si="60"/>
        <v>1.9869376495882518</v>
      </c>
      <c r="AH71" s="16">
        <f t="shared" si="61"/>
        <v>13.493468824794126</v>
      </c>
      <c r="AI71" s="14">
        <f t="shared" si="62"/>
        <v>0.25833333333333336</v>
      </c>
      <c r="AJ71" s="15">
        <f t="shared" si="63"/>
        <v>0.7416666666666667</v>
      </c>
      <c r="AK71" s="15">
        <f t="shared" si="64"/>
        <v>2.0519113491001044</v>
      </c>
      <c r="AL71" s="16">
        <f t="shared" si="65"/>
        <v>13.525955674550053</v>
      </c>
      <c r="AM71" s="14">
        <f t="shared" si="66"/>
        <v>0.23846153846153847</v>
      </c>
      <c r="AN71" s="15">
        <f t="shared" si="67"/>
        <v>0.7615384615384615</v>
      </c>
      <c r="AO71" s="15">
        <f t="shared" si="68"/>
        <v>2.106889094840902</v>
      </c>
      <c r="AP71" s="16">
        <f t="shared" si="69"/>
        <v>13.553444547420451</v>
      </c>
    </row>
    <row r="72" spans="1:42">
      <c r="A72" s="182" t="s">
        <v>388</v>
      </c>
      <c r="B72" s="51"/>
      <c r="C72" s="40" t="s">
        <v>4</v>
      </c>
      <c r="N72">
        <v>11</v>
      </c>
      <c r="O72">
        <f t="shared" si="70"/>
        <v>11.44</v>
      </c>
      <c r="P72" s="14">
        <f t="shared" si="46"/>
        <v>0.26223776223776224</v>
      </c>
      <c r="Q72" s="15">
        <f t="shared" si="47"/>
        <v>0.7377622377622377</v>
      </c>
      <c r="R72" s="15">
        <f t="shared" si="48"/>
        <v>1.9752670355079993</v>
      </c>
      <c r="S72" s="16">
        <f t="shared" si="49"/>
        <v>13.487633517754</v>
      </c>
      <c r="T72" s="14">
        <f t="shared" si="50"/>
        <v>0.28846153846153844</v>
      </c>
      <c r="U72" s="15">
        <f t="shared" si="51"/>
        <v>0.71153846153846156</v>
      </c>
      <c r="V72" s="15">
        <f t="shared" si="52"/>
        <v>2.0955617341159507</v>
      </c>
      <c r="W72" s="16">
        <f t="shared" si="53"/>
        <v>13.547780867057975</v>
      </c>
      <c r="X72" s="14">
        <f t="shared" si="54"/>
        <v>0.30594405594405594</v>
      </c>
      <c r="Y72" s="15">
        <f t="shared" si="55"/>
        <v>0.69405594405594406</v>
      </c>
      <c r="Z72" s="15">
        <f t="shared" si="56"/>
        <v>2.1679569872340951</v>
      </c>
      <c r="AA72" s="16">
        <f t="shared" si="57"/>
        <v>13.583978493617048</v>
      </c>
      <c r="AC72">
        <v>11</v>
      </c>
      <c r="AD72">
        <f t="shared" si="71"/>
        <v>3.11</v>
      </c>
      <c r="AE72" s="14">
        <f t="shared" si="58"/>
        <v>0.28272727272727272</v>
      </c>
      <c r="AF72" s="15">
        <f t="shared" si="59"/>
        <v>0.71727272727272728</v>
      </c>
      <c r="AG72" s="15">
        <f t="shared" si="60"/>
        <v>1.9908239016672751</v>
      </c>
      <c r="AH72" s="16">
        <f t="shared" si="61"/>
        <v>13.495411950833638</v>
      </c>
      <c r="AI72" s="14">
        <f t="shared" si="62"/>
        <v>0.25916666666666666</v>
      </c>
      <c r="AJ72" s="15">
        <f t="shared" si="63"/>
        <v>0.74083333333333334</v>
      </c>
      <c r="AK72" s="15">
        <f t="shared" si="64"/>
        <v>2.0562174624423619</v>
      </c>
      <c r="AL72" s="16">
        <f t="shared" si="65"/>
        <v>13.528108731221181</v>
      </c>
      <c r="AM72" s="14">
        <f t="shared" si="66"/>
        <v>0.23923076923076922</v>
      </c>
      <c r="AN72" s="15">
        <f t="shared" si="67"/>
        <v>0.76076923076923075</v>
      </c>
      <c r="AO72" s="15">
        <f t="shared" si="68"/>
        <v>2.1115504754058971</v>
      </c>
      <c r="AP72" s="16">
        <f t="shared" si="69"/>
        <v>13.555775237702949</v>
      </c>
    </row>
    <row r="73" spans="1:42">
      <c r="A73" s="182" t="s">
        <v>386</v>
      </c>
      <c r="B73" s="51">
        <f>(B70/2)+B25</f>
        <v>13.098753990320255</v>
      </c>
      <c r="C73" s="40" t="s">
        <v>4</v>
      </c>
      <c r="N73">
        <v>12</v>
      </c>
      <c r="O73">
        <f t="shared" si="70"/>
        <v>11.48</v>
      </c>
      <c r="P73" s="14">
        <f t="shared" si="46"/>
        <v>0.26132404181184671</v>
      </c>
      <c r="Q73" s="15">
        <f t="shared" si="47"/>
        <v>0.73867595818815324</v>
      </c>
      <c r="R73" s="15">
        <f t="shared" si="48"/>
        <v>1.9777134088036235</v>
      </c>
      <c r="S73" s="16">
        <f t="shared" si="49"/>
        <v>13.488856704401812</v>
      </c>
      <c r="T73" s="14">
        <f t="shared" si="50"/>
        <v>0.28745644599303133</v>
      </c>
      <c r="U73" s="15">
        <f t="shared" si="51"/>
        <v>0.71254355400696867</v>
      </c>
      <c r="V73" s="15">
        <f t="shared" si="52"/>
        <v>2.0985218458036554</v>
      </c>
      <c r="W73" s="16">
        <f t="shared" si="53"/>
        <v>13.549260922901828</v>
      </c>
      <c r="X73" s="14">
        <f t="shared" si="54"/>
        <v>0.3048780487804878</v>
      </c>
      <c r="Y73" s="15">
        <f t="shared" si="55"/>
        <v>0.69512195121951215</v>
      </c>
      <c r="Z73" s="15">
        <f t="shared" si="56"/>
        <v>2.1712867731086947</v>
      </c>
      <c r="AA73" s="16">
        <f t="shared" si="57"/>
        <v>13.585643386554347</v>
      </c>
      <c r="AC73">
        <v>12</v>
      </c>
      <c r="AD73">
        <f t="shared" si="71"/>
        <v>3.12</v>
      </c>
      <c r="AE73" s="14">
        <f t="shared" si="58"/>
        <v>0.28363636363636363</v>
      </c>
      <c r="AF73" s="15">
        <f t="shared" si="59"/>
        <v>0.71636363636363631</v>
      </c>
      <c r="AG73" s="15">
        <f t="shared" si="60"/>
        <v>1.9946939272240474</v>
      </c>
      <c r="AH73" s="16">
        <f t="shared" si="61"/>
        <v>13.497346963612024</v>
      </c>
      <c r="AI73" s="14">
        <f t="shared" si="62"/>
        <v>0.26</v>
      </c>
      <c r="AJ73" s="15">
        <f t="shared" si="63"/>
        <v>0.74</v>
      </c>
      <c r="AK73" s="15">
        <f t="shared" si="64"/>
        <v>2.0605087014725565</v>
      </c>
      <c r="AL73" s="16">
        <f t="shared" si="65"/>
        <v>13.530254350736278</v>
      </c>
      <c r="AM73" s="14">
        <f t="shared" si="66"/>
        <v>0.24000000000000002</v>
      </c>
      <c r="AN73" s="15">
        <f t="shared" si="67"/>
        <v>0.76</v>
      </c>
      <c r="AO73" s="15">
        <f t="shared" si="68"/>
        <v>2.11619812583668</v>
      </c>
      <c r="AP73" s="16">
        <f t="shared" si="69"/>
        <v>13.558099062918339</v>
      </c>
    </row>
    <row r="74" spans="1:42">
      <c r="A74" s="182" t="s">
        <v>385</v>
      </c>
      <c r="B74" s="51"/>
      <c r="C74" s="40" t="s">
        <v>4</v>
      </c>
      <c r="N74">
        <v>13</v>
      </c>
      <c r="O74">
        <f t="shared" si="70"/>
        <v>11.52</v>
      </c>
      <c r="P74" s="14">
        <f t="shared" si="46"/>
        <v>0.26041666666666669</v>
      </c>
      <c r="Q74" s="15">
        <f t="shared" si="47"/>
        <v>0.73958333333333326</v>
      </c>
      <c r="R74" s="15">
        <f t="shared" si="48"/>
        <v>1.9801427933958053</v>
      </c>
      <c r="S74" s="16">
        <f t="shared" si="49"/>
        <v>13.490071396697903</v>
      </c>
      <c r="T74" s="14">
        <f t="shared" si="50"/>
        <v>0.28645833333333331</v>
      </c>
      <c r="U74" s="15">
        <f t="shared" si="51"/>
        <v>0.71354166666666674</v>
      </c>
      <c r="V74" s="15">
        <f t="shared" si="52"/>
        <v>2.1014614011601958</v>
      </c>
      <c r="W74" s="16">
        <f t="shared" si="53"/>
        <v>13.550730700580099</v>
      </c>
      <c r="X74" s="14">
        <f t="shared" si="54"/>
        <v>0.30381944444444448</v>
      </c>
      <c r="Y74" s="15">
        <f t="shared" si="55"/>
        <v>0.69618055555555558</v>
      </c>
      <c r="Z74" s="15">
        <f t="shared" si="56"/>
        <v>2.1745934354702765</v>
      </c>
      <c r="AA74" s="16">
        <f t="shared" si="57"/>
        <v>13.587296717735139</v>
      </c>
      <c r="AC74">
        <v>13</v>
      </c>
      <c r="AD74">
        <f t="shared" si="71"/>
        <v>3.13</v>
      </c>
      <c r="AE74" s="14">
        <f t="shared" si="58"/>
        <v>0.28454545454545455</v>
      </c>
      <c r="AF74" s="15">
        <f t="shared" si="59"/>
        <v>0.71545454545454545</v>
      </c>
      <c r="AG74" s="15">
        <f t="shared" si="60"/>
        <v>1.9985477262585694</v>
      </c>
      <c r="AH74" s="16">
        <f t="shared" si="61"/>
        <v>13.499273863129284</v>
      </c>
      <c r="AI74" s="14">
        <f t="shared" si="62"/>
        <v>0.26083333333333331</v>
      </c>
      <c r="AJ74" s="15">
        <f t="shared" si="63"/>
        <v>0.73916666666666675</v>
      </c>
      <c r="AK74" s="15">
        <f t="shared" si="64"/>
        <v>2.0647850661906886</v>
      </c>
      <c r="AL74" s="16">
        <f t="shared" si="65"/>
        <v>13.532392533095344</v>
      </c>
      <c r="AM74" s="14">
        <f t="shared" si="66"/>
        <v>0.24076923076923076</v>
      </c>
      <c r="AN74" s="15">
        <f t="shared" si="67"/>
        <v>0.75923076923076926</v>
      </c>
      <c r="AO74" s="15">
        <f t="shared" si="68"/>
        <v>2.120832046133251</v>
      </c>
      <c r="AP74" s="16">
        <f t="shared" si="69"/>
        <v>13.560416023066626</v>
      </c>
    </row>
    <row r="75" spans="1:42">
      <c r="A75" s="68" t="s">
        <v>172</v>
      </c>
      <c r="B75" s="52">
        <f>MAX(B73,B74)</f>
        <v>13.098753990320255</v>
      </c>
      <c r="C75" s="40" t="s">
        <v>4</v>
      </c>
      <c r="E75" s="34" t="s">
        <v>171</v>
      </c>
      <c r="N75">
        <v>14</v>
      </c>
      <c r="O75">
        <f t="shared" si="70"/>
        <v>11.56</v>
      </c>
      <c r="P75" s="14">
        <f t="shared" si="46"/>
        <v>0.25951557093425603</v>
      </c>
      <c r="Q75" s="15">
        <f t="shared" si="47"/>
        <v>0.74048442906574397</v>
      </c>
      <c r="R75" s="15">
        <f t="shared" si="48"/>
        <v>1.9825553656378685</v>
      </c>
      <c r="S75" s="16">
        <f t="shared" si="49"/>
        <v>13.491277682818934</v>
      </c>
      <c r="T75" s="14">
        <f t="shared" si="50"/>
        <v>0.28546712802768165</v>
      </c>
      <c r="U75" s="15">
        <f t="shared" si="51"/>
        <v>0.7145328719723183</v>
      </c>
      <c r="V75" s="15">
        <f t="shared" si="52"/>
        <v>2.1043806135730931</v>
      </c>
      <c r="W75" s="16">
        <f t="shared" si="53"/>
        <v>13.552190306786546</v>
      </c>
      <c r="X75" s="14">
        <f t="shared" si="54"/>
        <v>0.30276816608996537</v>
      </c>
      <c r="Y75" s="15">
        <f t="shared" si="55"/>
        <v>0.69723183391003463</v>
      </c>
      <c r="Z75" s="15">
        <f t="shared" si="56"/>
        <v>2.1778772143553065</v>
      </c>
      <c r="AA75" s="16">
        <f t="shared" si="57"/>
        <v>13.588938607177653</v>
      </c>
      <c r="AC75">
        <v>14</v>
      </c>
      <c r="AD75">
        <f t="shared" si="71"/>
        <v>3.14</v>
      </c>
      <c r="AE75" s="14">
        <f t="shared" si="58"/>
        <v>0.28545454545454546</v>
      </c>
      <c r="AF75" s="15">
        <f t="shared" si="59"/>
        <v>0.71454545454545459</v>
      </c>
      <c r="AG75" s="15">
        <f t="shared" si="60"/>
        <v>2.0023852987708404</v>
      </c>
      <c r="AH75" s="16">
        <f t="shared" si="61"/>
        <v>13.50119264938542</v>
      </c>
      <c r="AI75" s="14">
        <f t="shared" si="62"/>
        <v>0.26166666666666666</v>
      </c>
      <c r="AJ75" s="15">
        <f t="shared" si="63"/>
        <v>0.73833333333333329</v>
      </c>
      <c r="AK75" s="15">
        <f t="shared" si="64"/>
        <v>2.0690465565967573</v>
      </c>
      <c r="AL75" s="16">
        <f t="shared" si="65"/>
        <v>13.534523278298378</v>
      </c>
      <c r="AM75" s="14">
        <f t="shared" si="66"/>
        <v>0.24153846153846154</v>
      </c>
      <c r="AN75" s="15">
        <f t="shared" si="67"/>
        <v>0.75846153846153852</v>
      </c>
      <c r="AO75" s="15">
        <f t="shared" si="68"/>
        <v>2.1254522362956094</v>
      </c>
      <c r="AP75" s="16">
        <f t="shared" si="69"/>
        <v>13.562726118147804</v>
      </c>
    </row>
    <row r="76" spans="1:42">
      <c r="A76" s="183" t="s">
        <v>245</v>
      </c>
      <c r="B76" s="184">
        <f>Design_Converter!B45</f>
        <v>5</v>
      </c>
      <c r="C76" s="185" t="s">
        <v>26</v>
      </c>
      <c r="N76">
        <v>15</v>
      </c>
      <c r="O76">
        <f t="shared" si="70"/>
        <v>11.6</v>
      </c>
      <c r="P76" s="14">
        <f t="shared" si="46"/>
        <v>0.25862068965517243</v>
      </c>
      <c r="Q76" s="15">
        <f t="shared" si="47"/>
        <v>0.74137931034482762</v>
      </c>
      <c r="R76" s="15">
        <f t="shared" si="48"/>
        <v>1.9849512994506762</v>
      </c>
      <c r="S76" s="16">
        <f t="shared" si="49"/>
        <v>13.492475649725337</v>
      </c>
      <c r="T76" s="14">
        <f t="shared" si="50"/>
        <v>0.28448275862068967</v>
      </c>
      <c r="U76" s="15">
        <f t="shared" si="51"/>
        <v>0.71551724137931028</v>
      </c>
      <c r="V76" s="15">
        <f t="shared" si="52"/>
        <v>2.1072796934865905</v>
      </c>
      <c r="W76" s="16">
        <f t="shared" si="53"/>
        <v>13.553639846743295</v>
      </c>
      <c r="X76" s="14">
        <f t="shared" si="54"/>
        <v>0.30172413793103448</v>
      </c>
      <c r="Y76" s="15">
        <f t="shared" si="55"/>
        <v>0.69827586206896552</v>
      </c>
      <c r="Z76" s="15">
        <f t="shared" si="56"/>
        <v>2.1811383464894059</v>
      </c>
      <c r="AA76" s="16">
        <f t="shared" si="57"/>
        <v>13.590569173244702</v>
      </c>
      <c r="AC76">
        <v>15</v>
      </c>
      <c r="AD76">
        <f t="shared" si="71"/>
        <v>3.15</v>
      </c>
      <c r="AE76" s="14">
        <f t="shared" si="58"/>
        <v>0.28636363636363638</v>
      </c>
      <c r="AF76" s="15">
        <f t="shared" si="59"/>
        <v>0.71363636363636362</v>
      </c>
      <c r="AG76" s="15">
        <f t="shared" si="60"/>
        <v>2.0062066447608617</v>
      </c>
      <c r="AH76" s="16">
        <f t="shared" si="61"/>
        <v>13.503103322380431</v>
      </c>
      <c r="AI76" s="14">
        <f t="shared" si="62"/>
        <v>0.26250000000000001</v>
      </c>
      <c r="AJ76" s="15">
        <f t="shared" si="63"/>
        <v>0.73750000000000004</v>
      </c>
      <c r="AK76" s="15">
        <f t="shared" si="64"/>
        <v>2.0732931726907631</v>
      </c>
      <c r="AL76" s="16">
        <f t="shared" si="65"/>
        <v>13.536646586345382</v>
      </c>
      <c r="AM76" s="14">
        <f t="shared" si="66"/>
        <v>0.24230769230769231</v>
      </c>
      <c r="AN76" s="15">
        <f t="shared" si="67"/>
        <v>0.75769230769230766</v>
      </c>
      <c r="AO76" s="15">
        <f t="shared" si="68"/>
        <v>2.1300586963237564</v>
      </c>
      <c r="AP76" s="16">
        <f t="shared" si="69"/>
        <v>13.565029348161879</v>
      </c>
    </row>
    <row r="77" spans="1:42">
      <c r="A77" s="68" t="s">
        <v>394</v>
      </c>
      <c r="B77" s="48">
        <f>I_Channel_Peak_No_Ilimit*(1+(B76/100))</f>
        <v>13.753691689836268</v>
      </c>
      <c r="C77" s="40" t="s">
        <v>4</v>
      </c>
      <c r="E77" s="34" t="s">
        <v>395</v>
      </c>
      <c r="N77">
        <v>16</v>
      </c>
      <c r="O77">
        <f t="shared" si="70"/>
        <v>11.64</v>
      </c>
      <c r="P77" s="14">
        <f t="shared" si="46"/>
        <v>0.25773195876288657</v>
      </c>
      <c r="Q77" s="15">
        <f t="shared" si="47"/>
        <v>0.74226804123711343</v>
      </c>
      <c r="R77" s="15">
        <f t="shared" si="48"/>
        <v>1.9873307663644266</v>
      </c>
      <c r="S77" s="16">
        <f t="shared" si="49"/>
        <v>13.493665383182213</v>
      </c>
      <c r="T77" s="14">
        <f t="shared" si="50"/>
        <v>0.28350515463917525</v>
      </c>
      <c r="U77" s="15">
        <f t="shared" si="51"/>
        <v>0.71649484536082475</v>
      </c>
      <c r="V77" s="15">
        <f t="shared" si="52"/>
        <v>2.1101588484522282</v>
      </c>
      <c r="W77" s="16">
        <f t="shared" si="53"/>
        <v>13.555079424226115</v>
      </c>
      <c r="X77" s="14">
        <f t="shared" si="54"/>
        <v>0.30068728522336768</v>
      </c>
      <c r="Y77" s="15">
        <f t="shared" si="55"/>
        <v>0.69931271477663226</v>
      </c>
      <c r="Z77" s="15">
        <f t="shared" si="56"/>
        <v>2.1843770653442327</v>
      </c>
      <c r="AA77" s="16">
        <f t="shared" si="57"/>
        <v>13.592188532672116</v>
      </c>
      <c r="AC77">
        <v>16</v>
      </c>
      <c r="AD77">
        <f t="shared" si="71"/>
        <v>3.16</v>
      </c>
      <c r="AE77" s="14">
        <f t="shared" si="58"/>
        <v>0.28727272727272729</v>
      </c>
      <c r="AF77" s="15">
        <f t="shared" si="59"/>
        <v>0.71272727272727265</v>
      </c>
      <c r="AG77" s="15">
        <f t="shared" si="60"/>
        <v>2.0100117642286319</v>
      </c>
      <c r="AH77" s="16">
        <f t="shared" si="61"/>
        <v>13.505005882114316</v>
      </c>
      <c r="AI77" s="14">
        <f t="shared" si="62"/>
        <v>0.26333333333333336</v>
      </c>
      <c r="AJ77" s="15">
        <f t="shared" si="63"/>
        <v>0.73666666666666658</v>
      </c>
      <c r="AK77" s="15">
        <f t="shared" si="64"/>
        <v>2.0775249144727055</v>
      </c>
      <c r="AL77" s="16">
        <f t="shared" si="65"/>
        <v>13.538762457236352</v>
      </c>
      <c r="AM77" s="14">
        <f t="shared" si="66"/>
        <v>0.24307692307692308</v>
      </c>
      <c r="AN77" s="15">
        <f t="shared" si="67"/>
        <v>0.75692307692307692</v>
      </c>
      <c r="AO77" s="15">
        <f t="shared" si="68"/>
        <v>2.1346514262176912</v>
      </c>
      <c r="AP77" s="16">
        <f t="shared" si="69"/>
        <v>13.567325713108845</v>
      </c>
    </row>
    <row r="78" spans="1:42">
      <c r="A78" s="68" t="s">
        <v>173</v>
      </c>
      <c r="B78" s="184">
        <f>Design_Converter!B47</f>
        <v>14</v>
      </c>
      <c r="C78" s="40" t="s">
        <v>4</v>
      </c>
      <c r="E78" s="34" t="s">
        <v>396</v>
      </c>
      <c r="N78">
        <v>17</v>
      </c>
      <c r="O78">
        <f t="shared" si="70"/>
        <v>11.68</v>
      </c>
      <c r="P78" s="14">
        <f t="shared" si="46"/>
        <v>0.25684931506849318</v>
      </c>
      <c r="Q78" s="15">
        <f t="shared" si="47"/>
        <v>0.74315068493150682</v>
      </c>
      <c r="R78" s="15">
        <f t="shared" si="48"/>
        <v>1.98969393555959</v>
      </c>
      <c r="S78" s="16">
        <f t="shared" si="49"/>
        <v>13.494846967779795</v>
      </c>
      <c r="T78" s="14">
        <f t="shared" si="50"/>
        <v>0.28253424657534248</v>
      </c>
      <c r="U78" s="15">
        <f t="shared" si="51"/>
        <v>0.71746575342465757</v>
      </c>
      <c r="V78" s="15">
        <f t="shared" si="52"/>
        <v>2.1130182831783757</v>
      </c>
      <c r="W78" s="16">
        <f t="shared" si="53"/>
        <v>13.556509141589189</v>
      </c>
      <c r="X78" s="14">
        <f t="shared" si="54"/>
        <v>0.29965753424657537</v>
      </c>
      <c r="Y78" s="15">
        <f t="shared" si="55"/>
        <v>0.70034246575342463</v>
      </c>
      <c r="Z78" s="15">
        <f t="shared" si="56"/>
        <v>2.1875936011932051</v>
      </c>
      <c r="AA78" s="16">
        <f t="shared" si="57"/>
        <v>13.593796800596603</v>
      </c>
      <c r="AC78">
        <v>17</v>
      </c>
      <c r="AD78">
        <f t="shared" si="71"/>
        <v>3.17</v>
      </c>
      <c r="AE78" s="14">
        <f t="shared" si="58"/>
        <v>0.28818181818181815</v>
      </c>
      <c r="AF78" s="15">
        <f t="shared" si="59"/>
        <v>0.71181818181818191</v>
      </c>
      <c r="AG78" s="15">
        <f t="shared" si="60"/>
        <v>2.0138006571741509</v>
      </c>
      <c r="AH78" s="16">
        <f t="shared" si="61"/>
        <v>13.506900328587076</v>
      </c>
      <c r="AI78" s="14">
        <f t="shared" si="62"/>
        <v>0.26416666666666666</v>
      </c>
      <c r="AJ78" s="15">
        <f t="shared" si="63"/>
        <v>0.73583333333333334</v>
      </c>
      <c r="AK78" s="15">
        <f t="shared" si="64"/>
        <v>2.081741781942585</v>
      </c>
      <c r="AL78" s="16">
        <f t="shared" si="65"/>
        <v>13.540870890971293</v>
      </c>
      <c r="AM78" s="14">
        <f t="shared" si="66"/>
        <v>0.24384615384615385</v>
      </c>
      <c r="AN78" s="15">
        <f t="shared" si="67"/>
        <v>0.75615384615384618</v>
      </c>
      <c r="AO78" s="15">
        <f t="shared" si="68"/>
        <v>2.1392304259774138</v>
      </c>
      <c r="AP78" s="16">
        <f t="shared" si="69"/>
        <v>13.569615212988706</v>
      </c>
    </row>
    <row r="79" spans="1:42">
      <c r="A79" s="68" t="s">
        <v>452</v>
      </c>
      <c r="B79" s="48">
        <f>20*B31/1000*B78</f>
        <v>1.1200000000000001</v>
      </c>
      <c r="C79" s="40" t="s">
        <v>1</v>
      </c>
      <c r="N79">
        <v>18</v>
      </c>
      <c r="O79">
        <f t="shared" si="70"/>
        <v>11.72</v>
      </c>
      <c r="P79" s="14">
        <f t="shared" si="46"/>
        <v>0.25597269624573377</v>
      </c>
      <c r="Q79" s="15">
        <f t="shared" si="47"/>
        <v>0.74402730375426618</v>
      </c>
      <c r="R79" s="15">
        <f t="shared" si="48"/>
        <v>1.9920409739070046</v>
      </c>
      <c r="S79" s="16">
        <f t="shared" si="49"/>
        <v>13.496020486953503</v>
      </c>
      <c r="T79" s="14">
        <f t="shared" si="50"/>
        <v>0.28156996587030714</v>
      </c>
      <c r="U79" s="15">
        <f t="shared" si="51"/>
        <v>0.71843003412969286</v>
      </c>
      <c r="V79" s="15">
        <f t="shared" si="52"/>
        <v>2.1158581995787475</v>
      </c>
      <c r="W79" s="16">
        <f t="shared" si="53"/>
        <v>13.557929099789373</v>
      </c>
      <c r="X79" s="14">
        <f t="shared" si="54"/>
        <v>0.29863481228668942</v>
      </c>
      <c r="Y79" s="15">
        <f t="shared" si="55"/>
        <v>0.70136518771331058</v>
      </c>
      <c r="Z79" s="15">
        <f t="shared" si="56"/>
        <v>2.190788181166075</v>
      </c>
      <c r="AA79" s="16">
        <f t="shared" si="57"/>
        <v>13.595394090583037</v>
      </c>
      <c r="AC79">
        <v>18</v>
      </c>
      <c r="AD79">
        <f t="shared" si="71"/>
        <v>3.18</v>
      </c>
      <c r="AE79" s="14">
        <f t="shared" si="58"/>
        <v>0.28909090909090912</v>
      </c>
      <c r="AF79" s="15">
        <f t="shared" si="59"/>
        <v>0.71090909090909093</v>
      </c>
      <c r="AG79" s="15">
        <f t="shared" si="60"/>
        <v>2.01757332359742</v>
      </c>
      <c r="AH79" s="16">
        <f t="shared" si="61"/>
        <v>13.508786661798711</v>
      </c>
      <c r="AI79" s="14">
        <f t="shared" si="62"/>
        <v>0.26500000000000001</v>
      </c>
      <c r="AJ79" s="15">
        <f t="shared" si="63"/>
        <v>0.73499999999999999</v>
      </c>
      <c r="AK79" s="15">
        <f t="shared" si="64"/>
        <v>2.085943775100402</v>
      </c>
      <c r="AL79" s="16">
        <f t="shared" si="65"/>
        <v>13.542971887550202</v>
      </c>
      <c r="AM79" s="14">
        <f t="shared" si="66"/>
        <v>0.24461538461538462</v>
      </c>
      <c r="AN79" s="15">
        <f t="shared" si="67"/>
        <v>0.75538461538461532</v>
      </c>
      <c r="AO79" s="15">
        <f t="shared" si="68"/>
        <v>2.1437956956029245</v>
      </c>
      <c r="AP79" s="16">
        <f t="shared" si="69"/>
        <v>13.571897847801463</v>
      </c>
    </row>
    <row r="80" spans="1:42">
      <c r="A80" s="5" t="s">
        <v>453</v>
      </c>
      <c r="B80" s="43">
        <f>Design_Converter!B49</f>
        <v>3.5</v>
      </c>
      <c r="C80" s="6" t="s">
        <v>1</v>
      </c>
      <c r="D80"/>
      <c r="E80"/>
      <c r="N80">
        <v>19</v>
      </c>
      <c r="O80">
        <f t="shared" si="70"/>
        <v>11.76</v>
      </c>
      <c r="P80" s="14">
        <f t="shared" si="46"/>
        <v>0.25510204081632654</v>
      </c>
      <c r="Q80" s="15">
        <f t="shared" si="47"/>
        <v>0.74489795918367352</v>
      </c>
      <c r="R80" s="15">
        <f t="shared" si="48"/>
        <v>1.9943720460071577</v>
      </c>
      <c r="S80" s="16">
        <f t="shared" si="49"/>
        <v>13.497186023003579</v>
      </c>
      <c r="T80" s="14">
        <f t="shared" si="50"/>
        <v>0.28061224489795916</v>
      </c>
      <c r="U80" s="15">
        <f t="shared" si="51"/>
        <v>0.71938775510204089</v>
      </c>
      <c r="V80" s="15">
        <f t="shared" si="52"/>
        <v>2.1186787968199328</v>
      </c>
      <c r="W80" s="16">
        <f t="shared" si="53"/>
        <v>13.559339398409966</v>
      </c>
      <c r="X80" s="14">
        <f t="shared" si="54"/>
        <v>0.29761904761904762</v>
      </c>
      <c r="Y80" s="15">
        <f t="shared" si="55"/>
        <v>0.70238095238095233</v>
      </c>
      <c r="Z80" s="15">
        <f t="shared" si="56"/>
        <v>2.1939610293023946</v>
      </c>
      <c r="AA80" s="16">
        <f t="shared" si="57"/>
        <v>13.596980514651197</v>
      </c>
      <c r="AC80">
        <v>19</v>
      </c>
      <c r="AD80">
        <f t="shared" si="71"/>
        <v>3.19</v>
      </c>
      <c r="AE80" s="14">
        <f t="shared" si="58"/>
        <v>0.28999999999999998</v>
      </c>
      <c r="AF80" s="15">
        <f t="shared" si="59"/>
        <v>0.71</v>
      </c>
      <c r="AG80" s="15">
        <f t="shared" si="60"/>
        <v>2.021329763498438</v>
      </c>
      <c r="AH80" s="16">
        <f t="shared" si="61"/>
        <v>13.51066488174922</v>
      </c>
      <c r="AI80" s="14">
        <f t="shared" si="62"/>
        <v>0.26583333333333331</v>
      </c>
      <c r="AJ80" s="15">
        <f t="shared" si="63"/>
        <v>0.73416666666666663</v>
      </c>
      <c r="AK80" s="15">
        <f t="shared" si="64"/>
        <v>2.0901308939461547</v>
      </c>
      <c r="AL80" s="16">
        <f t="shared" si="65"/>
        <v>13.545065446973076</v>
      </c>
      <c r="AM80" s="14">
        <f t="shared" si="66"/>
        <v>0.24538461538461537</v>
      </c>
      <c r="AN80" s="15">
        <f t="shared" si="67"/>
        <v>0.75461538461538469</v>
      </c>
      <c r="AO80" s="15">
        <f t="shared" si="68"/>
        <v>2.148347235094223</v>
      </c>
      <c r="AP80" s="16">
        <f t="shared" si="69"/>
        <v>13.574173617547112</v>
      </c>
    </row>
    <row r="81" spans="1:42">
      <c r="A81" s="5" t="s">
        <v>454</v>
      </c>
      <c r="B81" s="51">
        <f>B79/0.1</f>
        <v>11.200000000000001</v>
      </c>
      <c r="C81" s="40" t="s">
        <v>95</v>
      </c>
      <c r="N81">
        <v>20</v>
      </c>
      <c r="O81">
        <f t="shared" si="70"/>
        <v>11.8</v>
      </c>
      <c r="P81" s="14">
        <f t="shared" si="46"/>
        <v>0.25423728813559321</v>
      </c>
      <c r="Q81" s="15">
        <f t="shared" si="47"/>
        <v>0.74576271186440679</v>
      </c>
      <c r="R81" s="15">
        <f t="shared" si="48"/>
        <v>1.9966873142286659</v>
      </c>
      <c r="S81" s="16">
        <f t="shared" si="49"/>
        <v>13.498343657114333</v>
      </c>
      <c r="T81" s="14">
        <f t="shared" si="50"/>
        <v>0.27966101694915252</v>
      </c>
      <c r="U81" s="15">
        <f t="shared" si="51"/>
        <v>0.72033898305084754</v>
      </c>
      <c r="V81" s="15">
        <f t="shared" si="52"/>
        <v>2.1214802713679575</v>
      </c>
      <c r="W81" s="16">
        <f t="shared" si="53"/>
        <v>13.560740135683979</v>
      </c>
      <c r="X81" s="14">
        <f t="shared" si="54"/>
        <v>0.29661016949152541</v>
      </c>
      <c r="Y81" s="15">
        <f t="shared" si="55"/>
        <v>0.70338983050847459</v>
      </c>
      <c r="Z81" s="15">
        <f t="shared" si="56"/>
        <v>2.1971123666038919</v>
      </c>
      <c r="AA81" s="16">
        <f t="shared" si="57"/>
        <v>13.598556183301946</v>
      </c>
      <c r="AC81">
        <v>20</v>
      </c>
      <c r="AD81">
        <f t="shared" si="71"/>
        <v>3.2</v>
      </c>
      <c r="AE81" s="14">
        <f t="shared" si="58"/>
        <v>0.29090909090909095</v>
      </c>
      <c r="AF81" s="15">
        <f t="shared" si="59"/>
        <v>0.70909090909090899</v>
      </c>
      <c r="AG81" s="15">
        <f t="shared" si="60"/>
        <v>2.025069976877206</v>
      </c>
      <c r="AH81" s="16">
        <f t="shared" si="61"/>
        <v>13.512534988438603</v>
      </c>
      <c r="AI81" s="14">
        <f t="shared" si="62"/>
        <v>0.26666666666666666</v>
      </c>
      <c r="AJ81" s="15">
        <f t="shared" si="63"/>
        <v>0.73333333333333339</v>
      </c>
      <c r="AK81" s="15">
        <f t="shared" si="64"/>
        <v>2.0943031384798454</v>
      </c>
      <c r="AL81" s="16">
        <f t="shared" si="65"/>
        <v>13.547151569239922</v>
      </c>
      <c r="AM81" s="14">
        <f t="shared" si="66"/>
        <v>0.24615384615384617</v>
      </c>
      <c r="AN81" s="15">
        <f t="shared" si="67"/>
        <v>0.75384615384615383</v>
      </c>
      <c r="AO81" s="15">
        <f t="shared" si="68"/>
        <v>2.1528850444513097</v>
      </c>
      <c r="AP81" s="16">
        <f t="shared" si="69"/>
        <v>13.576442522225655</v>
      </c>
    </row>
    <row r="82" spans="1:42">
      <c r="A82" s="5" t="s">
        <v>456</v>
      </c>
      <c r="B82" s="43">
        <f>Design_Converter!B51</f>
        <v>15</v>
      </c>
      <c r="C82" s="40" t="s">
        <v>95</v>
      </c>
      <c r="D82"/>
      <c r="N82">
        <v>21</v>
      </c>
      <c r="O82">
        <f t="shared" si="70"/>
        <v>11.84</v>
      </c>
      <c r="P82" s="14">
        <f t="shared" si="46"/>
        <v>0.2533783783783784</v>
      </c>
      <c r="Q82" s="15">
        <f t="shared" si="47"/>
        <v>0.7466216216216216</v>
      </c>
      <c r="R82" s="15">
        <f t="shared" si="48"/>
        <v>1.9989869387459749</v>
      </c>
      <c r="S82" s="16">
        <f t="shared" si="49"/>
        <v>13.499493469372988</v>
      </c>
      <c r="T82" s="14">
        <f t="shared" si="50"/>
        <v>0.27871621621621623</v>
      </c>
      <c r="U82" s="15">
        <f t="shared" si="51"/>
        <v>0.72128378378378377</v>
      </c>
      <c r="V82" s="15">
        <f t="shared" si="52"/>
        <v>2.1242628170339009</v>
      </c>
      <c r="W82" s="16">
        <f t="shared" si="53"/>
        <v>13.562131408516951</v>
      </c>
      <c r="X82" s="14">
        <f t="shared" si="54"/>
        <v>0.29560810810810811</v>
      </c>
      <c r="Y82" s="15">
        <f t="shared" si="55"/>
        <v>0.70439189189189189</v>
      </c>
      <c r="Z82" s="15">
        <f t="shared" si="56"/>
        <v>2.2002424110857848</v>
      </c>
      <c r="AA82" s="16">
        <f t="shared" si="57"/>
        <v>13.600121205542893</v>
      </c>
      <c r="AC82">
        <v>21</v>
      </c>
      <c r="AD82">
        <f t="shared" si="71"/>
        <v>3.21</v>
      </c>
      <c r="AE82" s="14">
        <f t="shared" si="58"/>
        <v>0.29181818181818181</v>
      </c>
      <c r="AF82" s="15">
        <f t="shared" si="59"/>
        <v>0.70818181818181825</v>
      </c>
      <c r="AG82" s="15">
        <f t="shared" si="60"/>
        <v>2.0287939637337224</v>
      </c>
      <c r="AH82" s="16">
        <f t="shared" si="61"/>
        <v>13.514396981866861</v>
      </c>
      <c r="AI82" s="14">
        <f t="shared" si="62"/>
        <v>0.26750000000000002</v>
      </c>
      <c r="AJ82" s="15">
        <f t="shared" si="63"/>
        <v>0.73249999999999993</v>
      </c>
      <c r="AK82" s="15">
        <f t="shared" si="64"/>
        <v>2.0984605087014723</v>
      </c>
      <c r="AL82" s="16">
        <f t="shared" si="65"/>
        <v>13.549230254350736</v>
      </c>
      <c r="AM82" s="14">
        <f t="shared" si="66"/>
        <v>0.24692307692307691</v>
      </c>
      <c r="AN82" s="15">
        <f t="shared" si="67"/>
        <v>0.75307692307692309</v>
      </c>
      <c r="AO82" s="15">
        <f t="shared" si="68"/>
        <v>2.1574091236741837</v>
      </c>
      <c r="AP82" s="16">
        <f t="shared" si="69"/>
        <v>13.578704561837093</v>
      </c>
    </row>
    <row r="83" spans="1:42">
      <c r="A83" s="5" t="s">
        <v>455</v>
      </c>
      <c r="B83" s="51">
        <f>(B80-B79)/B79*B82</f>
        <v>31.874999999999993</v>
      </c>
      <c r="C83" s="40" t="s">
        <v>95</v>
      </c>
      <c r="D83"/>
      <c r="N83">
        <v>22</v>
      </c>
      <c r="O83">
        <f t="shared" si="70"/>
        <v>11.88</v>
      </c>
      <c r="P83" s="14">
        <f t="shared" si="46"/>
        <v>0.25252525252525249</v>
      </c>
      <c r="Q83" s="15">
        <f t="shared" si="47"/>
        <v>0.74747474747474751</v>
      </c>
      <c r="R83" s="15">
        <f t="shared" si="48"/>
        <v>2.0012710775762983</v>
      </c>
      <c r="S83" s="16">
        <f t="shared" si="49"/>
        <v>13.500635538788149</v>
      </c>
      <c r="T83" s="14">
        <f t="shared" si="50"/>
        <v>0.27777777777777773</v>
      </c>
      <c r="U83" s="15">
        <f t="shared" si="51"/>
        <v>0.72222222222222232</v>
      </c>
      <c r="V83" s="15">
        <f t="shared" si="52"/>
        <v>2.1270266250185927</v>
      </c>
      <c r="W83" s="16">
        <f t="shared" si="53"/>
        <v>13.563513312509297</v>
      </c>
      <c r="X83" s="14">
        <f t="shared" si="54"/>
        <v>0.2946127946127946</v>
      </c>
      <c r="Y83" s="15">
        <f t="shared" si="55"/>
        <v>0.70538720538720545</v>
      </c>
      <c r="Z83" s="15">
        <f t="shared" si="56"/>
        <v>2.2033513778270581</v>
      </c>
      <c r="AA83" s="16">
        <f t="shared" si="57"/>
        <v>13.601675688913529</v>
      </c>
      <c r="AC83">
        <v>22</v>
      </c>
      <c r="AD83">
        <f t="shared" si="71"/>
        <v>3.22</v>
      </c>
      <c r="AE83" s="14">
        <f t="shared" si="58"/>
        <v>0.29272727272727272</v>
      </c>
      <c r="AF83" s="15">
        <f t="shared" si="59"/>
        <v>0.70727272727272728</v>
      </c>
      <c r="AG83" s="15">
        <f t="shared" si="60"/>
        <v>2.032501724067989</v>
      </c>
      <c r="AH83" s="16">
        <f t="shared" si="61"/>
        <v>13.516250862033994</v>
      </c>
      <c r="AI83" s="14">
        <f t="shared" si="62"/>
        <v>0.26833333333333337</v>
      </c>
      <c r="AJ83" s="15">
        <f t="shared" si="63"/>
        <v>0.73166666666666669</v>
      </c>
      <c r="AK83" s="15">
        <f t="shared" si="64"/>
        <v>2.1026030046110367</v>
      </c>
      <c r="AL83" s="16">
        <f t="shared" si="65"/>
        <v>13.551301502305519</v>
      </c>
      <c r="AM83" s="14">
        <f t="shared" si="66"/>
        <v>0.24769230769230771</v>
      </c>
      <c r="AN83" s="15">
        <f t="shared" si="67"/>
        <v>0.75230769230769234</v>
      </c>
      <c r="AO83" s="15">
        <f t="shared" si="68"/>
        <v>2.1619194727628464</v>
      </c>
      <c r="AP83" s="16">
        <f t="shared" si="69"/>
        <v>13.580959736381423</v>
      </c>
    </row>
    <row r="84" spans="1:42">
      <c r="A84" s="5" t="s">
        <v>457</v>
      </c>
      <c r="B84" s="43">
        <f>Design_Converter!B53</f>
        <v>33</v>
      </c>
      <c r="C84" s="40" t="s">
        <v>95</v>
      </c>
      <c r="D84"/>
      <c r="N84">
        <v>23</v>
      </c>
      <c r="O84">
        <f t="shared" si="70"/>
        <v>11.92</v>
      </c>
      <c r="P84" s="14">
        <f t="shared" si="46"/>
        <v>0.25167785234899331</v>
      </c>
      <c r="Q84" s="15">
        <f t="shared" si="47"/>
        <v>0.74832214765100669</v>
      </c>
      <c r="R84" s="15">
        <f t="shared" si="48"/>
        <v>2.0035398866158145</v>
      </c>
      <c r="S84" s="16">
        <f t="shared" si="49"/>
        <v>13.501769943307908</v>
      </c>
      <c r="T84" s="14">
        <f t="shared" si="50"/>
        <v>0.27684563758389258</v>
      </c>
      <c r="U84" s="15">
        <f t="shared" si="51"/>
        <v>0.72315436241610742</v>
      </c>
      <c r="V84" s="15">
        <f t="shared" si="52"/>
        <v>2.129771883956407</v>
      </c>
      <c r="W84" s="16">
        <f t="shared" si="53"/>
        <v>13.564885941978204</v>
      </c>
      <c r="X84" s="14">
        <f t="shared" si="54"/>
        <v>0.2936241610738255</v>
      </c>
      <c r="Y84" s="15">
        <f t="shared" si="55"/>
        <v>0.7063758389261745</v>
      </c>
      <c r="Z84" s="15">
        <f t="shared" si="56"/>
        <v>2.2064394790197328</v>
      </c>
      <c r="AA84" s="16">
        <f t="shared" si="57"/>
        <v>13.603219739509866</v>
      </c>
      <c r="AC84">
        <v>23</v>
      </c>
      <c r="AD84">
        <f t="shared" si="71"/>
        <v>3.23</v>
      </c>
      <c r="AE84" s="14">
        <f t="shared" si="58"/>
        <v>0.29363636363636364</v>
      </c>
      <c r="AF84" s="15">
        <f t="shared" si="59"/>
        <v>0.7063636363636363</v>
      </c>
      <c r="AG84" s="15">
        <f t="shared" si="60"/>
        <v>2.0361932578800048</v>
      </c>
      <c r="AH84" s="16">
        <f t="shared" si="61"/>
        <v>13.518096628940002</v>
      </c>
      <c r="AI84" s="14">
        <f t="shared" si="62"/>
        <v>0.26916666666666667</v>
      </c>
      <c r="AJ84" s="15">
        <f t="shared" si="63"/>
        <v>0.73083333333333333</v>
      </c>
      <c r="AK84" s="15">
        <f t="shared" si="64"/>
        <v>2.1067306262085377</v>
      </c>
      <c r="AL84" s="16">
        <f t="shared" si="65"/>
        <v>13.553365313104269</v>
      </c>
      <c r="AM84" s="14">
        <f t="shared" si="66"/>
        <v>0.24846153846153846</v>
      </c>
      <c r="AN84" s="15">
        <f t="shared" si="67"/>
        <v>0.75153846153846149</v>
      </c>
      <c r="AO84" s="15">
        <f t="shared" si="68"/>
        <v>2.1664160917172963</v>
      </c>
      <c r="AP84" s="16">
        <f t="shared" si="69"/>
        <v>13.583208045858647</v>
      </c>
    </row>
    <row r="85" spans="1:42">
      <c r="A85" s="5" t="s">
        <v>458</v>
      </c>
      <c r="B85" s="51">
        <f>B80*B82/(B82+B84)</f>
        <v>1.09375</v>
      </c>
      <c r="C85" s="40" t="s">
        <v>1</v>
      </c>
      <c r="D85"/>
      <c r="N85">
        <v>24</v>
      </c>
      <c r="O85">
        <f t="shared" si="70"/>
        <v>11.96</v>
      </c>
      <c r="P85" s="14">
        <f t="shared" si="46"/>
        <v>0.25083612040133779</v>
      </c>
      <c r="Q85" s="15">
        <f t="shared" si="47"/>
        <v>0.74916387959866215</v>
      </c>
      <c r="R85" s="15">
        <f t="shared" si="48"/>
        <v>2.0057935196751333</v>
      </c>
      <c r="S85" s="16">
        <f t="shared" si="49"/>
        <v>13.502896759837567</v>
      </c>
      <c r="T85" s="14">
        <f t="shared" si="50"/>
        <v>0.27591973244147155</v>
      </c>
      <c r="U85" s="15">
        <f t="shared" si="51"/>
        <v>0.7240802675585285</v>
      </c>
      <c r="V85" s="15">
        <f t="shared" si="52"/>
        <v>2.1324987799581825</v>
      </c>
      <c r="W85" s="16">
        <f t="shared" si="53"/>
        <v>13.566249389979092</v>
      </c>
      <c r="X85" s="14">
        <f t="shared" si="54"/>
        <v>0.2926421404682274</v>
      </c>
      <c r="Y85" s="15">
        <f t="shared" si="55"/>
        <v>0.70735785953177266</v>
      </c>
      <c r="Z85" s="15">
        <f t="shared" si="56"/>
        <v>2.2095069240171386</v>
      </c>
      <c r="AA85" s="16">
        <f t="shared" si="57"/>
        <v>13.604753462008569</v>
      </c>
      <c r="AC85">
        <v>24</v>
      </c>
      <c r="AD85">
        <f t="shared" si="71"/>
        <v>3.24</v>
      </c>
      <c r="AE85" s="14">
        <f t="shared" si="58"/>
        <v>0.29454545454545455</v>
      </c>
      <c r="AF85" s="15">
        <f t="shared" si="59"/>
        <v>0.70545454545454545</v>
      </c>
      <c r="AG85" s="15">
        <f t="shared" si="60"/>
        <v>2.0398685651697699</v>
      </c>
      <c r="AH85" s="16">
        <f t="shared" si="61"/>
        <v>13.519934282584884</v>
      </c>
      <c r="AI85" s="14">
        <f t="shared" si="62"/>
        <v>0.27</v>
      </c>
      <c r="AJ85" s="15">
        <f t="shared" si="63"/>
        <v>0.73</v>
      </c>
      <c r="AK85" s="15">
        <f t="shared" si="64"/>
        <v>2.1108433734939758</v>
      </c>
      <c r="AL85" s="16">
        <f t="shared" si="65"/>
        <v>13.555421686746987</v>
      </c>
      <c r="AM85" s="14">
        <f t="shared" si="66"/>
        <v>0.24923076923076926</v>
      </c>
      <c r="AN85" s="15">
        <f t="shared" si="67"/>
        <v>0.75076923076923074</v>
      </c>
      <c r="AO85" s="15">
        <f t="shared" si="68"/>
        <v>2.1708989805375349</v>
      </c>
      <c r="AP85" s="16">
        <f t="shared" si="69"/>
        <v>13.585449490268768</v>
      </c>
    </row>
    <row r="86" spans="1:42" ht="15" thickBot="1">
      <c r="A86" s="186" t="s">
        <v>459</v>
      </c>
      <c r="B86" s="187">
        <f>1000/20/B31*B85</f>
        <v>13.671875</v>
      </c>
      <c r="C86" s="70" t="s">
        <v>4</v>
      </c>
      <c r="D86"/>
      <c r="N86">
        <v>25</v>
      </c>
      <c r="O86">
        <f t="shared" si="70"/>
        <v>12</v>
      </c>
      <c r="P86" s="14">
        <f t="shared" si="46"/>
        <v>0.25</v>
      </c>
      <c r="Q86" s="15">
        <f t="shared" si="47"/>
        <v>0.75</v>
      </c>
      <c r="R86" s="15">
        <f t="shared" si="48"/>
        <v>2.0080321285140559</v>
      </c>
      <c r="S86" s="16">
        <f t="shared" si="49"/>
        <v>13.504016064257028</v>
      </c>
      <c r="T86" s="14">
        <f t="shared" si="50"/>
        <v>0.27499999999999997</v>
      </c>
      <c r="U86" s="15">
        <f t="shared" si="51"/>
        <v>0.72500000000000009</v>
      </c>
      <c r="V86" s="15">
        <f t="shared" si="52"/>
        <v>2.1352074966532792</v>
      </c>
      <c r="W86" s="16">
        <f t="shared" si="53"/>
        <v>13.56760374832664</v>
      </c>
      <c r="X86" s="14">
        <f t="shared" si="54"/>
        <v>0.29166666666666669</v>
      </c>
      <c r="Y86" s="15">
        <f t="shared" si="55"/>
        <v>0.70833333333333326</v>
      </c>
      <c r="Z86" s="15">
        <f t="shared" si="56"/>
        <v>2.2125539193812287</v>
      </c>
      <c r="AA86" s="16">
        <f t="shared" si="57"/>
        <v>13.606276959690614</v>
      </c>
      <c r="AC86">
        <v>25</v>
      </c>
      <c r="AD86">
        <f t="shared" si="71"/>
        <v>3.25</v>
      </c>
      <c r="AE86" s="14">
        <f t="shared" si="58"/>
        <v>0.29545454545454547</v>
      </c>
      <c r="AF86" s="15">
        <f t="shared" si="59"/>
        <v>0.70454545454545459</v>
      </c>
      <c r="AG86" s="15">
        <f t="shared" si="60"/>
        <v>2.0435276459372846</v>
      </c>
      <c r="AH86" s="16">
        <f t="shared" si="61"/>
        <v>13.521763822968643</v>
      </c>
      <c r="AI86" s="14">
        <f t="shared" si="62"/>
        <v>0.27083333333333331</v>
      </c>
      <c r="AJ86" s="15">
        <f t="shared" si="63"/>
        <v>0.72916666666666674</v>
      </c>
      <c r="AK86" s="15">
        <f t="shared" si="64"/>
        <v>2.1149412464673509</v>
      </c>
      <c r="AL86" s="16">
        <f t="shared" si="65"/>
        <v>13.557470623233675</v>
      </c>
      <c r="AM86" s="14">
        <f t="shared" si="66"/>
        <v>0.25</v>
      </c>
      <c r="AN86" s="15">
        <f t="shared" si="67"/>
        <v>0.75</v>
      </c>
      <c r="AO86" s="15">
        <f t="shared" si="68"/>
        <v>2.1753681392235609</v>
      </c>
      <c r="AP86" s="16">
        <f t="shared" si="69"/>
        <v>13.587684069611781</v>
      </c>
    </row>
    <row r="87" spans="1:42" ht="15" thickBot="1">
      <c r="A87"/>
      <c r="B87" s="34"/>
      <c r="D87"/>
      <c r="N87">
        <v>26</v>
      </c>
      <c r="O87">
        <f t="shared" si="70"/>
        <v>12.04</v>
      </c>
      <c r="P87" s="14">
        <f t="shared" si="46"/>
        <v>0.24916943521594687</v>
      </c>
      <c r="Q87" s="15">
        <f t="shared" si="47"/>
        <v>0.75083056478405319</v>
      </c>
      <c r="R87" s="15">
        <f t="shared" si="48"/>
        <v>2.0102558628756442</v>
      </c>
      <c r="S87" s="16">
        <f t="shared" si="49"/>
        <v>13.505127931437823</v>
      </c>
      <c r="T87" s="14">
        <f t="shared" si="50"/>
        <v>0.27408637873754155</v>
      </c>
      <c r="U87" s="15">
        <f t="shared" si="51"/>
        <v>0.7259136212624584</v>
      </c>
      <c r="V87" s="15">
        <f t="shared" si="52"/>
        <v>2.137898215230801</v>
      </c>
      <c r="W87" s="16">
        <f t="shared" si="53"/>
        <v>13.568949107615401</v>
      </c>
      <c r="X87" s="14">
        <f t="shared" si="54"/>
        <v>0.29069767441860467</v>
      </c>
      <c r="Y87" s="15">
        <f t="shared" si="55"/>
        <v>0.70930232558139528</v>
      </c>
      <c r="Z87" s="15">
        <f t="shared" si="56"/>
        <v>2.2155806689289457</v>
      </c>
      <c r="AA87" s="16">
        <f t="shared" si="57"/>
        <v>13.607790334464474</v>
      </c>
      <c r="AC87">
        <v>26</v>
      </c>
      <c r="AD87">
        <f t="shared" si="71"/>
        <v>3.26</v>
      </c>
      <c r="AE87" s="14">
        <f t="shared" si="58"/>
        <v>0.29636363636363633</v>
      </c>
      <c r="AF87" s="15">
        <f t="shared" si="59"/>
        <v>0.70363636363636362</v>
      </c>
      <c r="AG87" s="15">
        <f t="shared" si="60"/>
        <v>2.0471705001825482</v>
      </c>
      <c r="AH87" s="16">
        <f t="shared" si="61"/>
        <v>13.523585250091275</v>
      </c>
      <c r="AI87" s="14">
        <f t="shared" si="62"/>
        <v>0.27166666666666667</v>
      </c>
      <c r="AJ87" s="15">
        <f t="shared" si="63"/>
        <v>0.72833333333333328</v>
      </c>
      <c r="AK87" s="15">
        <f t="shared" si="64"/>
        <v>2.1190242451286627</v>
      </c>
      <c r="AL87" s="16">
        <f t="shared" si="65"/>
        <v>13.559512122564332</v>
      </c>
      <c r="AM87" s="14">
        <f t="shared" si="66"/>
        <v>0.25076923076923074</v>
      </c>
      <c r="AN87" s="15">
        <f t="shared" si="67"/>
        <v>0.74923076923076926</v>
      </c>
      <c r="AO87" s="15">
        <f t="shared" si="68"/>
        <v>2.1798235677753746</v>
      </c>
      <c r="AP87" s="16">
        <f t="shared" si="69"/>
        <v>13.589911783887688</v>
      </c>
    </row>
    <row r="88" spans="1:42" ht="15" thickBot="1">
      <c r="A88" s="188" t="s">
        <v>477</v>
      </c>
      <c r="B88" s="190">
        <f>IF(Design_Converter!B68=Lists!K2,0,1)</f>
        <v>1</v>
      </c>
      <c r="C88" s="189"/>
      <c r="D88"/>
      <c r="E88" s="34" t="s">
        <v>478</v>
      </c>
      <c r="N88">
        <v>27</v>
      </c>
      <c r="O88">
        <f t="shared" si="70"/>
        <v>12.08</v>
      </c>
      <c r="P88" s="14">
        <f t="shared" si="46"/>
        <v>0.24834437086092714</v>
      </c>
      <c r="Q88" s="15">
        <f t="shared" si="47"/>
        <v>0.7516556291390728</v>
      </c>
      <c r="R88" s="15">
        <f t="shared" si="48"/>
        <v>2.0124648705196058</v>
      </c>
      <c r="S88" s="16">
        <f t="shared" si="49"/>
        <v>13.506232435259802</v>
      </c>
      <c r="T88" s="14">
        <f t="shared" si="50"/>
        <v>0.27317880794701987</v>
      </c>
      <c r="U88" s="15">
        <f t="shared" si="51"/>
        <v>0.72682119205298013</v>
      </c>
      <c r="V88" s="15">
        <f t="shared" si="52"/>
        <v>2.1405711144799953</v>
      </c>
      <c r="W88" s="16">
        <f t="shared" si="53"/>
        <v>13.570285557239998</v>
      </c>
      <c r="X88" s="14">
        <f t="shared" si="54"/>
        <v>0.28973509933774833</v>
      </c>
      <c r="Y88" s="15">
        <f t="shared" si="55"/>
        <v>0.71026490066225167</v>
      </c>
      <c r="Z88" s="15">
        <f t="shared" si="56"/>
        <v>2.2185873737776713</v>
      </c>
      <c r="AA88" s="16">
        <f t="shared" si="57"/>
        <v>13.609293686888837</v>
      </c>
      <c r="AC88">
        <v>27</v>
      </c>
      <c r="AD88">
        <f t="shared" si="71"/>
        <v>3.27</v>
      </c>
      <c r="AE88" s="14">
        <f t="shared" si="58"/>
        <v>0.2972727272727273</v>
      </c>
      <c r="AF88" s="15">
        <f t="shared" si="59"/>
        <v>0.70272727272727264</v>
      </c>
      <c r="AG88" s="15">
        <f t="shared" si="60"/>
        <v>2.0507971279055619</v>
      </c>
      <c r="AH88" s="16">
        <f t="shared" si="61"/>
        <v>13.525398563952781</v>
      </c>
      <c r="AI88" s="14">
        <f t="shared" si="62"/>
        <v>0.27250000000000002</v>
      </c>
      <c r="AJ88" s="15">
        <f t="shared" si="63"/>
        <v>0.72750000000000004</v>
      </c>
      <c r="AK88" s="15">
        <f t="shared" si="64"/>
        <v>2.123092369477912</v>
      </c>
      <c r="AL88" s="16">
        <f t="shared" si="65"/>
        <v>13.561546184738956</v>
      </c>
      <c r="AM88" s="14">
        <f t="shared" si="66"/>
        <v>0.25153846153846154</v>
      </c>
      <c r="AN88" s="15">
        <f t="shared" si="67"/>
        <v>0.74846153846153851</v>
      </c>
      <c r="AO88" s="15">
        <f t="shared" si="68"/>
        <v>2.1842652661929773</v>
      </c>
      <c r="AP88" s="16">
        <f t="shared" si="69"/>
        <v>13.592132633096488</v>
      </c>
    </row>
    <row r="89" spans="1:42" ht="15" thickBot="1">
      <c r="A89"/>
      <c r="B89"/>
      <c r="C89"/>
      <c r="D89"/>
      <c r="N89">
        <v>28</v>
      </c>
      <c r="O89">
        <f t="shared" si="70"/>
        <v>12.120000000000001</v>
      </c>
      <c r="P89" s="14">
        <f t="shared" si="46"/>
        <v>0.24752475247524749</v>
      </c>
      <c r="Q89" s="15">
        <f t="shared" si="47"/>
        <v>0.75247524752475248</v>
      </c>
      <c r="R89" s="15">
        <f t="shared" si="48"/>
        <v>2.0146592972550268</v>
      </c>
      <c r="S89" s="16">
        <f t="shared" si="49"/>
        <v>13.507329648627513</v>
      </c>
      <c r="T89" s="14">
        <f t="shared" si="50"/>
        <v>0.27227722772277224</v>
      </c>
      <c r="U89" s="15">
        <f t="shared" si="51"/>
        <v>0.7277227722772277</v>
      </c>
      <c r="V89" s="15">
        <f t="shared" si="52"/>
        <v>2.1432263708298538</v>
      </c>
      <c r="W89" s="16">
        <f t="shared" si="53"/>
        <v>13.571613185414927</v>
      </c>
      <c r="X89" s="14">
        <f t="shared" si="54"/>
        <v>0.28877887788778878</v>
      </c>
      <c r="Y89" s="15">
        <f t="shared" si="55"/>
        <v>0.71122112211221122</v>
      </c>
      <c r="Z89" s="15">
        <f t="shared" si="56"/>
        <v>2.2215742323897718</v>
      </c>
      <c r="AA89" s="16">
        <f t="shared" si="57"/>
        <v>13.610787116194885</v>
      </c>
      <c r="AC89">
        <v>28</v>
      </c>
      <c r="AD89">
        <f t="shared" si="71"/>
        <v>3.2800000000000002</v>
      </c>
      <c r="AE89" s="14">
        <f t="shared" si="58"/>
        <v>0.29818181818181821</v>
      </c>
      <c r="AF89" s="15">
        <f t="shared" si="59"/>
        <v>0.70181818181818179</v>
      </c>
      <c r="AG89" s="15">
        <f t="shared" si="60"/>
        <v>2.0544075291063244</v>
      </c>
      <c r="AH89" s="16">
        <f t="shared" si="61"/>
        <v>13.527203764553162</v>
      </c>
      <c r="AI89" s="14">
        <f t="shared" si="62"/>
        <v>0.27333333333333337</v>
      </c>
      <c r="AJ89" s="15">
        <f t="shared" si="63"/>
        <v>0.72666666666666657</v>
      </c>
      <c r="AK89" s="15">
        <f t="shared" si="64"/>
        <v>2.1271456195150975</v>
      </c>
      <c r="AL89" s="16">
        <f t="shared" si="65"/>
        <v>13.563572809757549</v>
      </c>
      <c r="AM89" s="14">
        <f t="shared" si="66"/>
        <v>0.25230769230769234</v>
      </c>
      <c r="AN89" s="15">
        <f t="shared" si="67"/>
        <v>0.74769230769230766</v>
      </c>
      <c r="AO89" s="15">
        <f t="shared" si="68"/>
        <v>2.188693234476367</v>
      </c>
      <c r="AP89" s="16">
        <f t="shared" si="69"/>
        <v>13.594346617238184</v>
      </c>
    </row>
    <row r="90" spans="1:42">
      <c r="A90" s="255" t="s">
        <v>462</v>
      </c>
      <c r="B90" s="256"/>
      <c r="C90" s="257"/>
      <c r="D90"/>
      <c r="N90">
        <v>29</v>
      </c>
      <c r="O90">
        <f t="shared" si="70"/>
        <v>12.16</v>
      </c>
      <c r="P90" s="14">
        <f t="shared" si="46"/>
        <v>0.24671052631578946</v>
      </c>
      <c r="Q90" s="15">
        <f t="shared" si="47"/>
        <v>0.75328947368421051</v>
      </c>
      <c r="R90" s="15">
        <f t="shared" si="48"/>
        <v>2.0168392869724512</v>
      </c>
      <c r="S90" s="16">
        <f t="shared" si="49"/>
        <v>13.508419643486226</v>
      </c>
      <c r="T90" s="14">
        <f t="shared" si="50"/>
        <v>0.27138157894736842</v>
      </c>
      <c r="U90" s="15">
        <f t="shared" si="51"/>
        <v>0.72861842105263164</v>
      </c>
      <c r="V90" s="15">
        <f t="shared" si="52"/>
        <v>2.1458641583879374</v>
      </c>
      <c r="W90" s="16">
        <f t="shared" si="53"/>
        <v>13.572932079193968</v>
      </c>
      <c r="X90" s="14">
        <f t="shared" si="54"/>
        <v>0.28782894736842107</v>
      </c>
      <c r="Y90" s="15">
        <f t="shared" si="55"/>
        <v>0.71217105263157898</v>
      </c>
      <c r="Z90" s="15">
        <f t="shared" si="56"/>
        <v>2.2245414406162665</v>
      </c>
      <c r="AA90" s="16">
        <f t="shared" si="57"/>
        <v>13.612270720308134</v>
      </c>
      <c r="AC90">
        <v>29</v>
      </c>
      <c r="AD90">
        <f t="shared" si="71"/>
        <v>3.29</v>
      </c>
      <c r="AE90" s="14">
        <f t="shared" si="58"/>
        <v>0.29909090909090907</v>
      </c>
      <c r="AF90" s="15">
        <f t="shared" si="59"/>
        <v>0.70090909090909093</v>
      </c>
      <c r="AG90" s="15">
        <f t="shared" si="60"/>
        <v>2.0580017037848362</v>
      </c>
      <c r="AH90" s="16">
        <f t="shared" si="61"/>
        <v>13.529000851892418</v>
      </c>
      <c r="AI90" s="14">
        <f t="shared" si="62"/>
        <v>0.27416666666666667</v>
      </c>
      <c r="AJ90" s="15">
        <f t="shared" si="63"/>
        <v>0.72583333333333333</v>
      </c>
      <c r="AK90" s="15">
        <f t="shared" si="64"/>
        <v>2.1311839952402205</v>
      </c>
      <c r="AL90" s="16">
        <f t="shared" si="65"/>
        <v>13.56559199762011</v>
      </c>
      <c r="AM90" s="14">
        <f t="shared" si="66"/>
        <v>0.25307692307692309</v>
      </c>
      <c r="AN90" s="15">
        <f t="shared" si="67"/>
        <v>0.74692307692307691</v>
      </c>
      <c r="AO90" s="15">
        <f t="shared" si="68"/>
        <v>2.1931074726255453</v>
      </c>
      <c r="AP90" s="16">
        <f t="shared" si="69"/>
        <v>13.596553736312773</v>
      </c>
    </row>
    <row r="91" spans="1:42">
      <c r="A91" s="68" t="s">
        <v>463</v>
      </c>
      <c r="B91" s="43">
        <f>Design_Converter!B70</f>
        <v>2</v>
      </c>
      <c r="C91" s="40" t="s">
        <v>103</v>
      </c>
      <c r="D91"/>
      <c r="N91">
        <v>30</v>
      </c>
      <c r="O91">
        <f t="shared" si="70"/>
        <v>12.2</v>
      </c>
      <c r="P91" s="14">
        <f t="shared" si="46"/>
        <v>0.24590163934426232</v>
      </c>
      <c r="Q91" s="15">
        <f t="shared" si="47"/>
        <v>0.75409836065573765</v>
      </c>
      <c r="R91" s="15">
        <f t="shared" si="48"/>
        <v>2.019004981675335</v>
      </c>
      <c r="S91" s="16">
        <f t="shared" si="49"/>
        <v>13.509502490837667</v>
      </c>
      <c r="T91" s="14">
        <f t="shared" si="50"/>
        <v>0.27049180327868855</v>
      </c>
      <c r="U91" s="15">
        <f t="shared" si="51"/>
        <v>0.72950819672131151</v>
      </c>
      <c r="V91" s="15">
        <f t="shared" si="52"/>
        <v>2.1484846489784273</v>
      </c>
      <c r="W91" s="16">
        <f t="shared" si="53"/>
        <v>13.574242324489214</v>
      </c>
      <c r="X91" s="14">
        <f t="shared" si="54"/>
        <v>0.28688524590163939</v>
      </c>
      <c r="Y91" s="15">
        <f t="shared" si="55"/>
        <v>0.71311475409836067</v>
      </c>
      <c r="Z91" s="15">
        <f t="shared" si="56"/>
        <v>2.2274891917396364</v>
      </c>
      <c r="AA91" s="16">
        <f t="shared" si="57"/>
        <v>13.613744595869818</v>
      </c>
      <c r="AC91">
        <v>30</v>
      </c>
      <c r="AD91">
        <f t="shared" si="71"/>
        <v>3.3</v>
      </c>
      <c r="AE91" s="14">
        <f t="shared" si="58"/>
        <v>0.3</v>
      </c>
      <c r="AF91" s="15">
        <f t="shared" si="59"/>
        <v>0.7</v>
      </c>
      <c r="AG91" s="15">
        <f t="shared" si="60"/>
        <v>2.0615796519410976</v>
      </c>
      <c r="AH91" s="16">
        <f t="shared" si="61"/>
        <v>13.530789825970549</v>
      </c>
      <c r="AI91" s="14">
        <f t="shared" si="62"/>
        <v>0.27499999999999997</v>
      </c>
      <c r="AJ91" s="15">
        <f t="shared" si="63"/>
        <v>0.72500000000000009</v>
      </c>
      <c r="AK91" s="15">
        <f t="shared" si="64"/>
        <v>2.1352074966532792</v>
      </c>
      <c r="AL91" s="16">
        <f t="shared" si="65"/>
        <v>13.56760374832664</v>
      </c>
      <c r="AM91" s="14">
        <f t="shared" si="66"/>
        <v>0.25384615384615383</v>
      </c>
      <c r="AN91" s="15">
        <f t="shared" si="67"/>
        <v>0.74615384615384617</v>
      </c>
      <c r="AO91" s="15">
        <f t="shared" si="68"/>
        <v>2.1975079806405104</v>
      </c>
      <c r="AP91" s="16">
        <f t="shared" si="69"/>
        <v>13.598753990320255</v>
      </c>
    </row>
    <row r="92" spans="1:42" ht="15.6">
      <c r="A92" s="68" t="s">
        <v>465</v>
      </c>
      <c r="B92" s="43">
        <f>Design_Converter!B71</f>
        <v>2</v>
      </c>
      <c r="C92" s="40" t="s">
        <v>1</v>
      </c>
      <c r="N92">
        <v>31</v>
      </c>
      <c r="O92">
        <f t="shared" si="70"/>
        <v>12.24</v>
      </c>
      <c r="P92" s="14">
        <f t="shared" si="46"/>
        <v>0.24509803921568626</v>
      </c>
      <c r="Q92" s="15">
        <f t="shared" si="47"/>
        <v>0.75490196078431371</v>
      </c>
      <c r="R92" s="15">
        <f t="shared" si="48"/>
        <v>2.0211565215108798</v>
      </c>
      <c r="S92" s="16">
        <f t="shared" si="49"/>
        <v>13.510578260755439</v>
      </c>
      <c r="T92" s="14">
        <f t="shared" si="50"/>
        <v>0.26960784313725489</v>
      </c>
      <c r="U92" s="15">
        <f t="shared" si="51"/>
        <v>0.73039215686274517</v>
      </c>
      <c r="V92" s="15">
        <f t="shared" si="52"/>
        <v>2.1510880121794367</v>
      </c>
      <c r="W92" s="16">
        <f t="shared" si="53"/>
        <v>13.575544006089718</v>
      </c>
      <c r="X92" s="14">
        <f t="shared" si="54"/>
        <v>0.28594771241830064</v>
      </c>
      <c r="Y92" s="15">
        <f t="shared" si="55"/>
        <v>0.71405228758169936</v>
      </c>
      <c r="Z92" s="15">
        <f t="shared" si="56"/>
        <v>2.2304176765157946</v>
      </c>
      <c r="AA92" s="16">
        <f t="shared" si="57"/>
        <v>13.615208838257898</v>
      </c>
      <c r="AC92">
        <v>31</v>
      </c>
      <c r="AD92">
        <f t="shared" si="71"/>
        <v>3.31</v>
      </c>
      <c r="AE92" s="14">
        <f t="shared" si="58"/>
        <v>0.3009090909090909</v>
      </c>
      <c r="AF92" s="15">
        <f t="shared" si="59"/>
        <v>0.6990909090909091</v>
      </c>
      <c r="AG92" s="15">
        <f t="shared" si="60"/>
        <v>2.0651413735751083</v>
      </c>
      <c r="AH92" s="16">
        <f t="shared" si="61"/>
        <v>13.532570686787555</v>
      </c>
      <c r="AI92" s="14">
        <f t="shared" si="62"/>
        <v>0.27583333333333332</v>
      </c>
      <c r="AJ92" s="15">
        <f t="shared" si="63"/>
        <v>0.72416666666666663</v>
      </c>
      <c r="AK92" s="15">
        <f t="shared" si="64"/>
        <v>2.1392161237542759</v>
      </c>
      <c r="AL92" s="16">
        <f t="shared" si="65"/>
        <v>13.569608061877139</v>
      </c>
      <c r="AM92" s="14">
        <f t="shared" si="66"/>
        <v>0.25461538461538463</v>
      </c>
      <c r="AN92" s="15">
        <f t="shared" si="67"/>
        <v>0.74538461538461531</v>
      </c>
      <c r="AO92" s="15">
        <f t="shared" si="68"/>
        <v>2.2018947585212643</v>
      </c>
      <c r="AP92" s="16">
        <f t="shared" si="69"/>
        <v>13.600947379260631</v>
      </c>
    </row>
    <row r="93" spans="1:42">
      <c r="A93" s="68" t="s">
        <v>473</v>
      </c>
      <c r="B93" s="43">
        <f>Design_Converter!B72</f>
        <v>3.5</v>
      </c>
      <c r="C93" s="40" t="s">
        <v>1</v>
      </c>
      <c r="N93">
        <v>32</v>
      </c>
      <c r="O93">
        <f t="shared" si="70"/>
        <v>12.28</v>
      </c>
      <c r="P93" s="14">
        <f t="shared" ref="P93:P111" si="72">IF(I_Channel&lt;(($O93-V12_Min)*V12_Min)/((2*Lm*Fsw)*$O93),SQRT((2*I_Channel*Lm*Fsw*V12_Min)/($O93*($O93-V12_Min))),(V12_Min/$O93))</f>
        <v>0.244299674267101</v>
      </c>
      <c r="Q93" s="15">
        <f t="shared" ref="Q93:Q111" si="73">IF(I_Channel&lt;(($O93-V12_Min)*V12_Min)/((2*Lm*Fsw)*$O93),SQRT((2*I_Channel*Lm*Fsw*V12_Min)/($O93*($O93-V12_Min)))*(($O93-V12_Min)/(V12_Min)),1-(V12_Min/$O93))</f>
        <v>0.75570032573289903</v>
      </c>
      <c r="R93" s="15">
        <f t="shared" ref="R93:R111" si="74">IF(I_Channel&lt;(($O93-V12_Min)*V12_Min)/((2*Lm*Fsw)*$O93),(P93/(Fsw*Lm))*($O93-V12_Min),((P93/(Fsw*Lm))*($O93-V12_Min)))</f>
        <v>2.0232940448002652</v>
      </c>
      <c r="S93" s="16">
        <f t="shared" ref="S93:S111" si="75">IF(I_Channel&lt;(($O93-V12_Min)*V12_Min)/((2*Lm*Fsw)*$O93),(P93/(Fsw*Lm))*($O93-V12_Min),(R93/2)+I_Channel)</f>
        <v>13.511647022400133</v>
      </c>
      <c r="T93" s="14">
        <f t="shared" ref="T93:T111" si="76">IF(I_Channel&lt;(($O93-V12_Nom)*V12_Nom)/((2*Lm*Fsw)*$O93),SQRT((2*I_Channel*Lm*Fsw*V12_Nom)/($O93*($O93-V12_Nom))),(V12_Nom/$O93))</f>
        <v>0.26872964169381108</v>
      </c>
      <c r="U93" s="15">
        <f t="shared" ref="U93:U111" si="77">IF(I_Channel&lt;(($O93-V12_Nom)*V12_Nom)/((2*Lm*Fsw)*$O93),SQRT((2*I_Channel*Lm*Fsw*V12_Nom)/($O93*($O93-V12_Nom)))*(($O93-V12_Nom)/(V12_Nom)),1-(V12_Nom/$O93))</f>
        <v>0.73127035830618892</v>
      </c>
      <c r="V93" s="15">
        <f t="shared" ref="V93:V111" si="78">IF(I_Channel&lt;(($O93-V12_Nom)*V12_Nom)/((2*Lm*Fsw)*$O93),(T93/(Fsw*Lm))*($O93-V12_Nom),((T93/(Fsw*Lm))*($O93-V12_Nom)))</f>
        <v>2.1536744153595926</v>
      </c>
      <c r="W93" s="16">
        <f t="shared" ref="W93:W111" si="79">IF(I_Channel&lt;(($O93-V12_Nom)*V12_Nom)/((2*Lm*Fsw)*$O93),(T93/(Fsw*Lm))*($O93-V12_Nom),(V93/2)+I_Channel)</f>
        <v>13.576837207679796</v>
      </c>
      <c r="X93" s="14">
        <f t="shared" ref="X93:X111" si="80">IF(I_Channel&lt;(($O93-V12_Max)*V12_Max)/((2*Lm*Fsw)*$O93),SQRT((2*I_Channel*Lm*Fsw*V12_Max)/($O93*($O93-V12_Max))),(V12_Max/$O93))</f>
        <v>0.28501628664495116</v>
      </c>
      <c r="Y93" s="15">
        <f t="shared" ref="Y93:Y111" si="81">IF(I_Channel&lt;(($O93-V12_Max)*V12_Max)/((2*Lm*Fsw)*$O93),SQRT((2*I_Channel*Lm*Fsw*V12_Max)/($O93*($O93-V12_Max)))*(($O93-V12_Max)/(V12_Max)),1-(V12_Max/$O93))</f>
        <v>0.71498371335504884</v>
      </c>
      <c r="Z93" s="15">
        <f t="shared" ref="Z93:Z111" si="82">IF(I_Channel&lt;(($O93-V12_Max)*V12_Max)/((2*Lm*Fsw)*$O93),(X93/(Fsw*Lm))*($O93-V12_Max),((X93/(Fsw*Lm))*($O93-V12_Max)))</f>
        <v>2.2333270832152348</v>
      </c>
      <c r="AA93" s="16">
        <f t="shared" ref="AA93:AA111" si="83">IF(I_Channel&lt;(($O93-V12_Max)*V12_Max)/((2*Lm*Fsw)*$O93),(X93/(Fsw*Lm))*($O93-V12_Max),(Z93/2)+I_Channel)</f>
        <v>13.616663541607618</v>
      </c>
      <c r="AC93">
        <v>32</v>
      </c>
      <c r="AD93">
        <f t="shared" si="71"/>
        <v>3.32</v>
      </c>
      <c r="AE93" s="14">
        <f t="shared" ref="AE93:AE111" si="84">IF(I_Channel&lt;((V48_Min-$AD93)*$AD93)/((2*Lm*Fsw)*V48_Min),SQRT((2*I_Channel*Lm*Fsw*$AD93)/(V48_Min*(V48_Min-$AD93))),($AD93/V48_Min))</f>
        <v>0.30181818181818182</v>
      </c>
      <c r="AF93" s="15">
        <f t="shared" ref="AF93:AF111" si="85">IF(I_Channel&lt;((V48_Min-$AD93)*$AD93)/((2*Lm*Fsw)*V48_Min),SQRT((2*I_Channel*Lm*Fsw*$AD93)/(V48_Min*(V48_Min-$AD93)))*((V48_Min-$AD93)/($AD93)),1-($AD93/V48_Min))</f>
        <v>0.69818181818181824</v>
      </c>
      <c r="AG93" s="15">
        <f t="shared" ref="AG93:AG111" si="86">IF(I_Channel&lt;((V48_Min-$AD93)*$AD93)/((2*Lm*Fsw)*V48_Min),(AE93/(Fsw*Lm))*(V48_Min-$AD93),((AE93/(Fsw*Lm))*(V48_Min-$AD93)))</f>
        <v>2.0686868686868687</v>
      </c>
      <c r="AH93" s="16">
        <f t="shared" ref="AH93:AH111" si="87">IF(I_Channel&lt;((V48_Min-$AD93)*$AD93)/((2*Lm*Fsw)*V48_Min),(AE93/(Fsw*Lm))*(V48_Min-$AD93),(AG93/2)+I_Channel)</f>
        <v>13.534343434343434</v>
      </c>
      <c r="AI93" s="14">
        <f t="shared" ref="AI93:AI111" si="88">IF(I_Channel&lt;((V48_Nom-$AD93)*$AD93)/((2*Lm*Fsw)*V48_Nom),SQRT((2*I_Channel*Lm*Fsw*$AD93)/(V48_Nom*(V48_Nom-$AD93))),($AD93/V48_Nom))</f>
        <v>0.27666666666666667</v>
      </c>
      <c r="AJ93" s="15">
        <f t="shared" ref="AJ93:AJ111" si="89">IF(I_Channel&lt;((V48_Nom-$AD93)*$AD93)/((2*Lm*Fsw)*V48_Nom),SQRT((2*I_Channel*Lm*Fsw*$AD93)/(V48_Nom*(V48_Nom-$AD93)))*((V48_Nom-$AD93)/($AD93)),1-($AD93/V48_Nom))</f>
        <v>0.72333333333333338</v>
      </c>
      <c r="AK93" s="15">
        <f t="shared" ref="AK93:AK111" si="90">IF(I_Channel&lt;((V48_Nom-$AD93)*$AD93)/((2*Lm*Fsw)*V48_Nom),(AI93/(Fsw*Lm))*(V48_Nom-$AD93),((AI93/(Fsw*Lm))*(V48_Nom-$AD93)))</f>
        <v>2.1432098765432097</v>
      </c>
      <c r="AL93" s="16">
        <f t="shared" ref="AL93:AL111" si="91">IF(I_Channel&lt;((V48_Nom-$AD93)*$AD93)/((2*Lm*Fsw)*V48_Nom),(AI93/(Fsw*Lm))*(V48_Nom-$AD93),(AK93/2)+I_Channel)</f>
        <v>13.571604938271605</v>
      </c>
      <c r="AM93" s="14">
        <f t="shared" ref="AM93:AM111" si="92">IF(I_Channel&lt;((V48_Max-$AD93)*$AD93)/((2*Lm*Fsw)*V48_Max),SQRT((2*I_Channel*Lm*Fsw*$AD93)/(V48_Max*(V48_Max-$AD93))),($AD93/V48_Max))</f>
        <v>0.25538461538461538</v>
      </c>
      <c r="AN93" s="15">
        <f t="shared" ref="AN93:AN111" si="93">IF(I_Channel&lt;((V48_Max-$AD93)*$AD93)/((2*Lm*Fsw)*V48_Max),SQRT((2*I_Channel*Lm*Fsw*$AD93)/(V48_Max*(V48_Max-$AD93)))*((V48_Max-$AD93)/($AD93)),1-($AD93/V48_Max))</f>
        <v>0.74461538461538468</v>
      </c>
      <c r="AO93" s="15">
        <f t="shared" ref="AO93:AO111" si="94">IF(I_Channel&lt;((V48_Max-$AD93)*$AD93)/((2*Lm*Fsw)*V48_Max),(AM93/(Fsw*Lm))*(V48_Max-$AD93),((AM93/(Fsw*Lm))*(V48_Max-$AD93)))</f>
        <v>2.2062678062678058</v>
      </c>
      <c r="AP93" s="16">
        <f t="shared" ref="AP93:AP111" si="95">IF(I_Channel&lt;((V48_Max-$AD93)*$AD93)/((2*Lm*Fsw)*V48_Max),(AM93/(Fsw*Lm))*(V48_Max-$AD93),(AO93/2)+I_Channel)</f>
        <v>13.603133903133903</v>
      </c>
    </row>
    <row r="94" spans="1:42" ht="15.6">
      <c r="A94" s="68" t="s">
        <v>467</v>
      </c>
      <c r="B94" s="51">
        <f>B92/0.1</f>
        <v>20</v>
      </c>
      <c r="C94" s="40" t="s">
        <v>95</v>
      </c>
      <c r="N94">
        <v>33</v>
      </c>
      <c r="O94">
        <f t="shared" ref="O94:O111" si="96">((V48_Max-V48_Min)/50)*N94+V48_Min</f>
        <v>12.32</v>
      </c>
      <c r="P94" s="14">
        <f t="shared" si="72"/>
        <v>0.2435064935064935</v>
      </c>
      <c r="Q94" s="15">
        <f t="shared" si="73"/>
        <v>0.75649350649350655</v>
      </c>
      <c r="R94" s="15">
        <f t="shared" si="74"/>
        <v>2.0254176880682904</v>
      </c>
      <c r="S94" s="16">
        <f t="shared" si="75"/>
        <v>13.512708844034146</v>
      </c>
      <c r="T94" s="14">
        <f t="shared" si="76"/>
        <v>0.26785714285714285</v>
      </c>
      <c r="U94" s="15">
        <f t="shared" si="77"/>
        <v>0.73214285714285721</v>
      </c>
      <c r="V94" s="15">
        <f t="shared" si="78"/>
        <v>2.1562440237139029</v>
      </c>
      <c r="W94" s="16">
        <f t="shared" si="79"/>
        <v>13.578122011856951</v>
      </c>
      <c r="X94" s="14">
        <f t="shared" si="80"/>
        <v>0.28409090909090906</v>
      </c>
      <c r="Y94" s="15">
        <f t="shared" si="81"/>
        <v>0.71590909090909094</v>
      </c>
      <c r="Z94" s="15">
        <f t="shared" si="82"/>
        <v>2.2362175976633805</v>
      </c>
      <c r="AA94" s="16">
        <f t="shared" si="83"/>
        <v>13.61810879883169</v>
      </c>
      <c r="AC94">
        <v>33</v>
      </c>
      <c r="AD94">
        <f t="shared" ref="AD94:AD111" si="97">((V12_Max-V12_Min)/50)*AC94+V12_Min</f>
        <v>3.33</v>
      </c>
      <c r="AE94" s="14">
        <f t="shared" si="84"/>
        <v>0.30272727272727273</v>
      </c>
      <c r="AF94" s="15">
        <f t="shared" si="85"/>
        <v>0.69727272727272727</v>
      </c>
      <c r="AG94" s="15">
        <f t="shared" si="86"/>
        <v>2.0722161372763783</v>
      </c>
      <c r="AH94" s="16">
        <f t="shared" si="87"/>
        <v>13.536108068638189</v>
      </c>
      <c r="AI94" s="14">
        <f t="shared" si="88"/>
        <v>0.27750000000000002</v>
      </c>
      <c r="AJ94" s="15">
        <f t="shared" si="89"/>
        <v>0.72249999999999992</v>
      </c>
      <c r="AK94" s="15">
        <f t="shared" si="90"/>
        <v>2.1471887550200801</v>
      </c>
      <c r="AL94" s="16">
        <f t="shared" si="91"/>
        <v>13.573594377510041</v>
      </c>
      <c r="AM94" s="14">
        <f t="shared" si="92"/>
        <v>0.25615384615384618</v>
      </c>
      <c r="AN94" s="15">
        <f t="shared" si="93"/>
        <v>0.74384615384615382</v>
      </c>
      <c r="AO94" s="15">
        <f t="shared" si="94"/>
        <v>2.210627123880136</v>
      </c>
      <c r="AP94" s="16">
        <f t="shared" si="95"/>
        <v>13.605313561940068</v>
      </c>
    </row>
    <row r="95" spans="1:42" ht="15.6">
      <c r="A95" s="68" t="s">
        <v>468</v>
      </c>
      <c r="B95" s="43">
        <f>Design_Converter!B74</f>
        <v>20</v>
      </c>
      <c r="C95" s="40" t="s">
        <v>95</v>
      </c>
      <c r="N95">
        <v>34</v>
      </c>
      <c r="O95">
        <f t="shared" si="96"/>
        <v>12.36</v>
      </c>
      <c r="P95" s="14">
        <f t="shared" si="72"/>
        <v>0.24271844660194175</v>
      </c>
      <c r="Q95" s="15">
        <f t="shared" si="73"/>
        <v>0.75728155339805825</v>
      </c>
      <c r="R95" s="15">
        <f t="shared" si="74"/>
        <v>2.0275275860724449</v>
      </c>
      <c r="S95" s="16">
        <f t="shared" si="75"/>
        <v>13.513763793036222</v>
      </c>
      <c r="T95" s="14">
        <f t="shared" si="76"/>
        <v>0.26699029126213591</v>
      </c>
      <c r="U95" s="15">
        <f t="shared" si="77"/>
        <v>0.73300970873786409</v>
      </c>
      <c r="V95" s="15">
        <f t="shared" si="78"/>
        <v>2.1587970002989296</v>
      </c>
      <c r="W95" s="16">
        <f t="shared" si="79"/>
        <v>13.579398500149464</v>
      </c>
      <c r="X95" s="14">
        <f t="shared" si="80"/>
        <v>0.28317152103559873</v>
      </c>
      <c r="Y95" s="15">
        <f t="shared" si="81"/>
        <v>0.71682847896440127</v>
      </c>
      <c r="Z95" s="15">
        <f t="shared" si="82"/>
        <v>2.2390894032801469</v>
      </c>
      <c r="AA95" s="16">
        <f t="shared" si="83"/>
        <v>13.619544701640073</v>
      </c>
      <c r="AC95">
        <v>34</v>
      </c>
      <c r="AD95">
        <f t="shared" si="97"/>
        <v>3.34</v>
      </c>
      <c r="AE95" s="14">
        <f t="shared" si="84"/>
        <v>0.30363636363636365</v>
      </c>
      <c r="AF95" s="15">
        <f t="shared" si="85"/>
        <v>0.6963636363636363</v>
      </c>
      <c r="AG95" s="15">
        <f t="shared" si="86"/>
        <v>2.0757291793436372</v>
      </c>
      <c r="AH95" s="16">
        <f t="shared" si="87"/>
        <v>13.537864589671818</v>
      </c>
      <c r="AI95" s="14">
        <f t="shared" si="88"/>
        <v>0.27833333333333332</v>
      </c>
      <c r="AJ95" s="15">
        <f t="shared" si="89"/>
        <v>0.72166666666666668</v>
      </c>
      <c r="AK95" s="15">
        <f t="shared" si="90"/>
        <v>2.1511527591848876</v>
      </c>
      <c r="AL95" s="16">
        <f t="shared" si="91"/>
        <v>13.575576379592444</v>
      </c>
      <c r="AM95" s="14">
        <f t="shared" si="92"/>
        <v>0.25692307692307692</v>
      </c>
      <c r="AN95" s="15">
        <f t="shared" si="93"/>
        <v>0.74307692307692308</v>
      </c>
      <c r="AO95" s="15">
        <f t="shared" si="94"/>
        <v>2.2149727113582536</v>
      </c>
      <c r="AP95" s="16">
        <f t="shared" si="95"/>
        <v>13.607486355679127</v>
      </c>
    </row>
    <row r="96" spans="1:42" ht="15.6">
      <c r="A96" s="68" t="s">
        <v>469</v>
      </c>
      <c r="B96" s="51">
        <f>(B93-B92)/B92*B95</f>
        <v>15</v>
      </c>
      <c r="C96" s="40" t="s">
        <v>95</v>
      </c>
      <c r="N96">
        <v>35</v>
      </c>
      <c r="O96">
        <f t="shared" si="96"/>
        <v>12.4</v>
      </c>
      <c r="P96" s="14">
        <f t="shared" si="72"/>
        <v>0.24193548387096772</v>
      </c>
      <c r="Q96" s="15">
        <f t="shared" si="73"/>
        <v>0.75806451612903225</v>
      </c>
      <c r="R96" s="15">
        <f t="shared" si="74"/>
        <v>2.0296238718314115</v>
      </c>
      <c r="S96" s="16">
        <f t="shared" si="75"/>
        <v>13.514811935915706</v>
      </c>
      <c r="T96" s="14">
        <f t="shared" si="76"/>
        <v>0.2661290322580645</v>
      </c>
      <c r="U96" s="15">
        <f t="shared" si="77"/>
        <v>0.7338709677419355</v>
      </c>
      <c r="V96" s="15">
        <f t="shared" si="78"/>
        <v>2.16133350606728</v>
      </c>
      <c r="W96" s="16">
        <f t="shared" si="79"/>
        <v>13.58066675303364</v>
      </c>
      <c r="X96" s="14">
        <f t="shared" si="80"/>
        <v>0.282258064516129</v>
      </c>
      <c r="Y96" s="15">
        <f t="shared" si="81"/>
        <v>0.717741935483871</v>
      </c>
      <c r="Z96" s="15">
        <f t="shared" si="82"/>
        <v>2.24194268111874</v>
      </c>
      <c r="AA96" s="16">
        <f t="shared" si="83"/>
        <v>13.62097134055937</v>
      </c>
      <c r="AC96">
        <v>35</v>
      </c>
      <c r="AD96">
        <f t="shared" si="97"/>
        <v>3.35</v>
      </c>
      <c r="AE96" s="14">
        <f t="shared" si="84"/>
        <v>0.30454545454545456</v>
      </c>
      <c r="AF96" s="15">
        <f t="shared" si="85"/>
        <v>0.69545454545454544</v>
      </c>
      <c r="AG96" s="15">
        <f t="shared" si="86"/>
        <v>2.0792259948886453</v>
      </c>
      <c r="AH96" s="16">
        <f t="shared" si="87"/>
        <v>13.539612997444323</v>
      </c>
      <c r="AI96" s="14">
        <f t="shared" si="88"/>
        <v>0.27916666666666667</v>
      </c>
      <c r="AJ96" s="15">
        <f t="shared" si="89"/>
        <v>0.72083333333333333</v>
      </c>
      <c r="AK96" s="15">
        <f t="shared" si="90"/>
        <v>2.1551018890376321</v>
      </c>
      <c r="AL96" s="16">
        <f t="shared" si="91"/>
        <v>13.577550944518816</v>
      </c>
      <c r="AM96" s="14">
        <f t="shared" si="92"/>
        <v>0.25769230769230772</v>
      </c>
      <c r="AN96" s="15">
        <f t="shared" si="93"/>
        <v>0.74230769230769234</v>
      </c>
      <c r="AO96" s="15">
        <f t="shared" si="94"/>
        <v>2.2193045687021593</v>
      </c>
      <c r="AP96" s="16">
        <f t="shared" si="95"/>
        <v>13.60965228435108</v>
      </c>
    </row>
    <row r="97" spans="1:42" ht="15.6">
      <c r="A97" s="68" t="s">
        <v>466</v>
      </c>
      <c r="B97" s="43">
        <f>Design_Converter!B76</f>
        <v>15</v>
      </c>
      <c r="C97" s="40" t="s">
        <v>95</v>
      </c>
      <c r="N97">
        <v>36</v>
      </c>
      <c r="O97">
        <f t="shared" si="96"/>
        <v>12.44</v>
      </c>
      <c r="P97" s="14">
        <f t="shared" si="72"/>
        <v>0.24115755627009647</v>
      </c>
      <c r="Q97" s="15">
        <f t="shared" si="73"/>
        <v>0.7588424437299035</v>
      </c>
      <c r="R97" s="15">
        <f t="shared" si="74"/>
        <v>2.0317066766530214</v>
      </c>
      <c r="S97" s="16">
        <f t="shared" si="75"/>
        <v>13.515853338326512</v>
      </c>
      <c r="T97" s="14">
        <f t="shared" si="76"/>
        <v>0.26527331189710612</v>
      </c>
      <c r="U97" s="15">
        <f t="shared" si="77"/>
        <v>0.73472668810289388</v>
      </c>
      <c r="V97" s="15">
        <f t="shared" si="78"/>
        <v>2.163853699901428</v>
      </c>
      <c r="W97" s="16">
        <f t="shared" si="79"/>
        <v>13.581926849950714</v>
      </c>
      <c r="X97" s="14">
        <f t="shared" si="80"/>
        <v>0.28135048231511256</v>
      </c>
      <c r="Y97" s="15">
        <f t="shared" si="81"/>
        <v>0.7186495176848875</v>
      </c>
      <c r="Z97" s="15">
        <f t="shared" si="82"/>
        <v>2.2447776099037093</v>
      </c>
      <c r="AA97" s="16">
        <f t="shared" si="83"/>
        <v>13.622388804951855</v>
      </c>
      <c r="AC97">
        <v>36</v>
      </c>
      <c r="AD97">
        <f t="shared" si="97"/>
        <v>3.36</v>
      </c>
      <c r="AE97" s="14">
        <f t="shared" si="84"/>
        <v>0.30545454545454542</v>
      </c>
      <c r="AF97" s="15">
        <f t="shared" si="85"/>
        <v>0.69454545454545458</v>
      </c>
      <c r="AG97" s="15">
        <f t="shared" si="86"/>
        <v>2.0827065839114027</v>
      </c>
      <c r="AH97" s="16">
        <f t="shared" si="87"/>
        <v>13.541353291955701</v>
      </c>
      <c r="AI97" s="14">
        <f t="shared" si="88"/>
        <v>0.27999999999999997</v>
      </c>
      <c r="AJ97" s="15">
        <f t="shared" si="89"/>
        <v>0.72</v>
      </c>
      <c r="AK97" s="15">
        <f t="shared" si="90"/>
        <v>2.1590361445783128</v>
      </c>
      <c r="AL97" s="16">
        <f t="shared" si="91"/>
        <v>13.579518072289156</v>
      </c>
      <c r="AM97" s="14">
        <f t="shared" si="92"/>
        <v>0.25846153846153846</v>
      </c>
      <c r="AN97" s="15">
        <f t="shared" si="93"/>
        <v>0.74153846153846148</v>
      </c>
      <c r="AO97" s="15">
        <f t="shared" si="94"/>
        <v>2.2236226959118528</v>
      </c>
      <c r="AP97" s="16">
        <f t="shared" si="95"/>
        <v>13.611811347955927</v>
      </c>
    </row>
    <row r="98" spans="1:42" ht="15.6">
      <c r="A98" s="158" t="s">
        <v>535</v>
      </c>
      <c r="B98" s="51">
        <f>B95/(B95+B97)*B93</f>
        <v>2</v>
      </c>
      <c r="C98" s="40" t="s">
        <v>1</v>
      </c>
      <c r="N98">
        <v>37</v>
      </c>
      <c r="O98">
        <f t="shared" si="96"/>
        <v>12.48</v>
      </c>
      <c r="P98" s="14">
        <f t="shared" si="72"/>
        <v>0.24038461538461536</v>
      </c>
      <c r="Q98" s="15">
        <f t="shared" si="73"/>
        <v>0.75961538461538458</v>
      </c>
      <c r="R98" s="15">
        <f t="shared" si="74"/>
        <v>2.0337761301616721</v>
      </c>
      <c r="S98" s="16">
        <f t="shared" si="75"/>
        <v>13.516888065080837</v>
      </c>
      <c r="T98" s="14">
        <f t="shared" si="76"/>
        <v>0.26442307692307693</v>
      </c>
      <c r="U98" s="15">
        <f t="shared" si="77"/>
        <v>0.73557692307692313</v>
      </c>
      <c r="V98" s="15">
        <f t="shared" si="78"/>
        <v>2.1663577386468953</v>
      </c>
      <c r="W98" s="16">
        <f t="shared" si="79"/>
        <v>13.583178869323447</v>
      </c>
      <c r="X98" s="14">
        <f t="shared" si="80"/>
        <v>0.28044871794871795</v>
      </c>
      <c r="Y98" s="15">
        <f t="shared" si="81"/>
        <v>0.71955128205128205</v>
      </c>
      <c r="Z98" s="15">
        <f t="shared" si="82"/>
        <v>2.2475943660682618</v>
      </c>
      <c r="AA98" s="16">
        <f t="shared" si="83"/>
        <v>13.623797183034132</v>
      </c>
      <c r="AC98">
        <v>37</v>
      </c>
      <c r="AD98">
        <f t="shared" si="97"/>
        <v>3.37</v>
      </c>
      <c r="AE98" s="14">
        <f t="shared" si="84"/>
        <v>0.30636363636363639</v>
      </c>
      <c r="AF98" s="15">
        <f t="shared" si="85"/>
        <v>0.69363636363636361</v>
      </c>
      <c r="AG98" s="15">
        <f t="shared" si="86"/>
        <v>2.0861709464119103</v>
      </c>
      <c r="AH98" s="16">
        <f t="shared" si="87"/>
        <v>13.543085473205956</v>
      </c>
      <c r="AI98" s="14">
        <f t="shared" si="88"/>
        <v>0.28083333333333332</v>
      </c>
      <c r="AJ98" s="15">
        <f t="shared" si="89"/>
        <v>0.71916666666666673</v>
      </c>
      <c r="AK98" s="15">
        <f t="shared" si="90"/>
        <v>2.1629555258069311</v>
      </c>
      <c r="AL98" s="16">
        <f t="shared" si="91"/>
        <v>13.581477762903466</v>
      </c>
      <c r="AM98" s="14">
        <f t="shared" si="92"/>
        <v>0.25923076923076926</v>
      </c>
      <c r="AN98" s="15">
        <f t="shared" si="93"/>
        <v>0.74076923076923074</v>
      </c>
      <c r="AO98" s="15">
        <f t="shared" si="94"/>
        <v>2.2279270929873336</v>
      </c>
      <c r="AP98" s="16">
        <f t="shared" si="95"/>
        <v>13.613963546493666</v>
      </c>
    </row>
    <row r="99" spans="1:42" ht="15.6">
      <c r="A99" s="68" t="s">
        <v>470</v>
      </c>
      <c r="B99" s="51">
        <f>B91/2*(1/B95+1/B97)</f>
        <v>0.11666666666666667</v>
      </c>
      <c r="C99" s="40" t="s">
        <v>32</v>
      </c>
      <c r="N99">
        <v>38</v>
      </c>
      <c r="O99">
        <f t="shared" si="96"/>
        <v>12.52</v>
      </c>
      <c r="P99" s="14">
        <f t="shared" si="72"/>
        <v>0.23961661341853036</v>
      </c>
      <c r="Q99" s="15">
        <f t="shared" si="73"/>
        <v>0.76038338658146964</v>
      </c>
      <c r="R99" s="15">
        <f t="shared" si="74"/>
        <v>2.0358323603252195</v>
      </c>
      <c r="S99" s="16">
        <f t="shared" si="75"/>
        <v>13.51791618016261</v>
      </c>
      <c r="T99" s="14">
        <f t="shared" si="76"/>
        <v>0.26357827476038337</v>
      </c>
      <c r="U99" s="15">
        <f t="shared" si="77"/>
        <v>0.73642172523961658</v>
      </c>
      <c r="V99" s="15">
        <f t="shared" si="78"/>
        <v>2.1688457771447873</v>
      </c>
      <c r="W99" s="16">
        <f t="shared" si="79"/>
        <v>13.584422888572394</v>
      </c>
      <c r="X99" s="14">
        <f t="shared" si="80"/>
        <v>0.2795527156549521</v>
      </c>
      <c r="Y99" s="15">
        <f t="shared" si="81"/>
        <v>0.7204472843450479</v>
      </c>
      <c r="Z99" s="15">
        <f t="shared" si="82"/>
        <v>2.2503931237908681</v>
      </c>
      <c r="AA99" s="16">
        <f t="shared" si="83"/>
        <v>13.625196561895434</v>
      </c>
      <c r="AC99">
        <v>38</v>
      </c>
      <c r="AD99">
        <f t="shared" si="97"/>
        <v>3.38</v>
      </c>
      <c r="AE99" s="14">
        <f t="shared" si="84"/>
        <v>0.30727272727272725</v>
      </c>
      <c r="AF99" s="15">
        <f t="shared" si="85"/>
        <v>0.69272727272727275</v>
      </c>
      <c r="AG99" s="15">
        <f t="shared" si="86"/>
        <v>2.0896190823901666</v>
      </c>
      <c r="AH99" s="16">
        <f t="shared" si="87"/>
        <v>13.544809541195082</v>
      </c>
      <c r="AI99" s="14">
        <f t="shared" si="88"/>
        <v>0.28166666666666668</v>
      </c>
      <c r="AJ99" s="15">
        <f t="shared" si="89"/>
        <v>0.71833333333333327</v>
      </c>
      <c r="AK99" s="15">
        <f t="shared" si="90"/>
        <v>2.1668600327234868</v>
      </c>
      <c r="AL99" s="16">
        <f t="shared" si="91"/>
        <v>13.583430016361744</v>
      </c>
      <c r="AM99" s="14">
        <f t="shared" si="92"/>
        <v>0.26</v>
      </c>
      <c r="AN99" s="15">
        <f t="shared" si="93"/>
        <v>0.74</v>
      </c>
      <c r="AO99" s="15">
        <f t="shared" si="94"/>
        <v>2.2322177599286035</v>
      </c>
      <c r="AP99" s="16">
        <f t="shared" si="95"/>
        <v>13.616108879964301</v>
      </c>
    </row>
    <row r="100" spans="1:42" ht="15.6">
      <c r="A100" s="68" t="s">
        <v>471</v>
      </c>
      <c r="B100" s="43">
        <f>Design_Converter!B79</f>
        <v>0.1</v>
      </c>
      <c r="C100" s="40" t="s">
        <v>32</v>
      </c>
      <c r="N100">
        <v>39</v>
      </c>
      <c r="O100">
        <f t="shared" si="96"/>
        <v>12.56</v>
      </c>
      <c r="P100" s="14">
        <f t="shared" si="72"/>
        <v>0.23885350318471338</v>
      </c>
      <c r="Q100" s="15">
        <f t="shared" si="73"/>
        <v>0.76114649681528657</v>
      </c>
      <c r="R100" s="15">
        <f t="shared" si="74"/>
        <v>2.0378754934813563</v>
      </c>
      <c r="S100" s="16">
        <f t="shared" si="75"/>
        <v>13.518937746740677</v>
      </c>
      <c r="T100" s="14">
        <f t="shared" si="76"/>
        <v>0.26273885350318471</v>
      </c>
      <c r="U100" s="15">
        <f t="shared" si="77"/>
        <v>0.73726114649681529</v>
      </c>
      <c r="V100" s="15">
        <f t="shared" si="78"/>
        <v>2.1713179682637134</v>
      </c>
      <c r="W100" s="16">
        <f t="shared" si="79"/>
        <v>13.585658984131857</v>
      </c>
      <c r="X100" s="14">
        <f t="shared" si="80"/>
        <v>0.2786624203821656</v>
      </c>
      <c r="Y100" s="15">
        <f t="shared" si="81"/>
        <v>0.7213375796178344</v>
      </c>
      <c r="Z100" s="15">
        <f t="shared" si="82"/>
        <v>2.253174055031165</v>
      </c>
      <c r="AA100" s="16">
        <f t="shared" si="83"/>
        <v>13.626587027515583</v>
      </c>
      <c r="AC100">
        <v>39</v>
      </c>
      <c r="AD100">
        <f t="shared" si="97"/>
        <v>3.39</v>
      </c>
      <c r="AE100" s="14">
        <f t="shared" si="84"/>
        <v>0.30818181818181817</v>
      </c>
      <c r="AF100" s="15">
        <f t="shared" si="85"/>
        <v>0.69181818181818189</v>
      </c>
      <c r="AG100" s="15">
        <f t="shared" si="86"/>
        <v>2.0930509918461722</v>
      </c>
      <c r="AH100" s="16">
        <f t="shared" si="87"/>
        <v>13.546525495923087</v>
      </c>
      <c r="AI100" s="14">
        <f t="shared" si="88"/>
        <v>0.28250000000000003</v>
      </c>
      <c r="AJ100" s="15">
        <f t="shared" si="89"/>
        <v>0.71750000000000003</v>
      </c>
      <c r="AK100" s="15">
        <f t="shared" si="90"/>
        <v>2.1707496653279783</v>
      </c>
      <c r="AL100" s="16">
        <f t="shared" si="91"/>
        <v>13.585374832663989</v>
      </c>
      <c r="AM100" s="14">
        <f t="shared" si="92"/>
        <v>0.26076923076923075</v>
      </c>
      <c r="AN100" s="15">
        <f t="shared" si="93"/>
        <v>0.73923076923076925</v>
      </c>
      <c r="AO100" s="15">
        <f t="shared" si="94"/>
        <v>2.2364946967356603</v>
      </c>
      <c r="AP100" s="16">
        <f t="shared" si="95"/>
        <v>13.618247348367831</v>
      </c>
    </row>
    <row r="101" spans="1:42" ht="15" thickBot="1">
      <c r="A101" s="69" t="s">
        <v>472</v>
      </c>
      <c r="B101" s="187">
        <f>2*B100*B95*B97/(B95+B97)</f>
        <v>1.7142857142857142</v>
      </c>
      <c r="C101" s="40" t="s">
        <v>103</v>
      </c>
      <c r="N101">
        <v>40</v>
      </c>
      <c r="O101">
        <f t="shared" si="96"/>
        <v>12.6</v>
      </c>
      <c r="P101" s="14">
        <f t="shared" si="72"/>
        <v>0.23809523809523811</v>
      </c>
      <c r="Q101" s="15">
        <f t="shared" si="73"/>
        <v>0.76190476190476186</v>
      </c>
      <c r="R101" s="15">
        <f t="shared" si="74"/>
        <v>2.0399056543634857</v>
      </c>
      <c r="S101" s="16">
        <f t="shared" si="75"/>
        <v>13.519952827181744</v>
      </c>
      <c r="T101" s="14">
        <f t="shared" si="76"/>
        <v>0.26190476190476192</v>
      </c>
      <c r="U101" s="15">
        <f t="shared" si="77"/>
        <v>0.73809523809523814</v>
      </c>
      <c r="V101" s="15">
        <f t="shared" si="78"/>
        <v>2.1737744629310898</v>
      </c>
      <c r="W101" s="16">
        <f t="shared" si="79"/>
        <v>13.586887231465544</v>
      </c>
      <c r="X101" s="14">
        <f t="shared" si="80"/>
        <v>0.27777777777777779</v>
      </c>
      <c r="Y101" s="15">
        <f t="shared" si="81"/>
        <v>0.72222222222222221</v>
      </c>
      <c r="Z101" s="15">
        <f t="shared" si="82"/>
        <v>2.2559373295651741</v>
      </c>
      <c r="AA101" s="16">
        <f t="shared" si="83"/>
        <v>13.627968664782587</v>
      </c>
      <c r="AC101">
        <v>40</v>
      </c>
      <c r="AD101">
        <f t="shared" si="97"/>
        <v>3.4</v>
      </c>
      <c r="AE101" s="14">
        <f t="shared" si="84"/>
        <v>0.30909090909090908</v>
      </c>
      <c r="AF101" s="15">
        <f t="shared" si="85"/>
        <v>0.69090909090909092</v>
      </c>
      <c r="AG101" s="15">
        <f t="shared" si="86"/>
        <v>2.0964666747799274</v>
      </c>
      <c r="AH101" s="16">
        <f t="shared" si="87"/>
        <v>13.548233337389963</v>
      </c>
      <c r="AI101" s="14">
        <f t="shared" si="88"/>
        <v>0.28333333333333333</v>
      </c>
      <c r="AJ101" s="15">
        <f t="shared" si="89"/>
        <v>0.71666666666666667</v>
      </c>
      <c r="AK101" s="15">
        <f t="shared" si="90"/>
        <v>2.1746244236204073</v>
      </c>
      <c r="AL101" s="16">
        <f t="shared" si="91"/>
        <v>13.587312211810204</v>
      </c>
      <c r="AM101" s="14">
        <f t="shared" si="92"/>
        <v>0.26153846153846155</v>
      </c>
      <c r="AN101" s="15">
        <f t="shared" si="93"/>
        <v>0.7384615384615385</v>
      </c>
      <c r="AO101" s="15">
        <f t="shared" si="94"/>
        <v>2.2407579034085057</v>
      </c>
      <c r="AP101" s="16">
        <f t="shared" si="95"/>
        <v>13.620378951704254</v>
      </c>
    </row>
    <row r="102" spans="1:42" ht="15" thickBot="1">
      <c r="N102">
        <v>41</v>
      </c>
      <c r="O102">
        <f t="shared" si="96"/>
        <v>12.64</v>
      </c>
      <c r="P102" s="14">
        <f t="shared" si="72"/>
        <v>0.23734177215189872</v>
      </c>
      <c r="Q102" s="15">
        <f t="shared" si="73"/>
        <v>0.76265822784810133</v>
      </c>
      <c r="R102" s="15">
        <f t="shared" si="74"/>
        <v>2.0419229661261076</v>
      </c>
      <c r="S102" s="16">
        <f t="shared" si="75"/>
        <v>13.520961483063054</v>
      </c>
      <c r="T102" s="14">
        <f t="shared" si="76"/>
        <v>0.26107594936708856</v>
      </c>
      <c r="U102" s="15">
        <f t="shared" si="77"/>
        <v>0.73892405063291144</v>
      </c>
      <c r="V102" s="15">
        <f t="shared" si="78"/>
        <v>2.1762154101638616</v>
      </c>
      <c r="W102" s="16">
        <f t="shared" si="79"/>
        <v>13.588107705081931</v>
      </c>
      <c r="X102" s="14">
        <f t="shared" si="80"/>
        <v>0.27689873417721517</v>
      </c>
      <c r="Y102" s="15">
        <f t="shared" si="81"/>
        <v>0.72310126582278489</v>
      </c>
      <c r="Z102" s="15">
        <f t="shared" si="82"/>
        <v>2.2586831150198541</v>
      </c>
      <c r="AA102" s="16">
        <f t="shared" si="83"/>
        <v>13.629341557509926</v>
      </c>
      <c r="AC102">
        <v>41</v>
      </c>
      <c r="AD102">
        <f t="shared" si="97"/>
        <v>3.41</v>
      </c>
      <c r="AE102" s="14">
        <f t="shared" si="84"/>
        <v>0.31</v>
      </c>
      <c r="AF102" s="15">
        <f t="shared" si="85"/>
        <v>0.69</v>
      </c>
      <c r="AG102" s="15">
        <f t="shared" si="86"/>
        <v>2.0998661311914324</v>
      </c>
      <c r="AH102" s="16">
        <f t="shared" si="87"/>
        <v>13.549933065595717</v>
      </c>
      <c r="AI102" s="14">
        <f t="shared" si="88"/>
        <v>0.28416666666666668</v>
      </c>
      <c r="AJ102" s="15">
        <f t="shared" si="89"/>
        <v>0.71583333333333332</v>
      </c>
      <c r="AK102" s="15">
        <f t="shared" si="90"/>
        <v>2.1784843076007734</v>
      </c>
      <c r="AL102" s="16">
        <f t="shared" si="91"/>
        <v>13.589242153800386</v>
      </c>
      <c r="AM102" s="14">
        <f t="shared" si="92"/>
        <v>0.2623076923076923</v>
      </c>
      <c r="AN102" s="15">
        <f t="shared" si="93"/>
        <v>0.73769230769230765</v>
      </c>
      <c r="AO102" s="15">
        <f t="shared" si="94"/>
        <v>2.2450073799471388</v>
      </c>
      <c r="AP102" s="16">
        <f t="shared" si="95"/>
        <v>13.62250368997357</v>
      </c>
    </row>
    <row r="103" spans="1:42">
      <c r="A103" s="252" t="s">
        <v>464</v>
      </c>
      <c r="B103" s="253"/>
      <c r="C103" s="254"/>
      <c r="N103">
        <v>42</v>
      </c>
      <c r="O103">
        <f t="shared" si="96"/>
        <v>12.68</v>
      </c>
      <c r="P103" s="14">
        <f t="shared" si="72"/>
        <v>0.23659305993690852</v>
      </c>
      <c r="Q103" s="15">
        <f t="shared" si="73"/>
        <v>0.76340694006309151</v>
      </c>
      <c r="R103" s="15">
        <f t="shared" si="74"/>
        <v>2.0439275503697227</v>
      </c>
      <c r="S103" s="16">
        <f t="shared" si="75"/>
        <v>13.521963775184862</v>
      </c>
      <c r="T103" s="14">
        <f t="shared" si="76"/>
        <v>0.26025236593059936</v>
      </c>
      <c r="U103" s="15">
        <f t="shared" si="77"/>
        <v>0.73974763406940069</v>
      </c>
      <c r="V103" s="15">
        <f t="shared" si="78"/>
        <v>2.178640957098636</v>
      </c>
      <c r="W103" s="16">
        <f t="shared" si="79"/>
        <v>13.589320478549318</v>
      </c>
      <c r="X103" s="14">
        <f t="shared" si="80"/>
        <v>0.27602523659305994</v>
      </c>
      <c r="Y103" s="15">
        <f t="shared" si="81"/>
        <v>0.72397476340694</v>
      </c>
      <c r="Z103" s="15">
        <f t="shared" si="82"/>
        <v>2.2614115769069971</v>
      </c>
      <c r="AA103" s="16">
        <f t="shared" si="83"/>
        <v>13.630705788453499</v>
      </c>
      <c r="AC103">
        <v>42</v>
      </c>
      <c r="AD103">
        <f t="shared" si="97"/>
        <v>3.42</v>
      </c>
      <c r="AE103" s="14">
        <f t="shared" si="84"/>
        <v>0.31090909090909091</v>
      </c>
      <c r="AF103" s="15">
        <f t="shared" si="85"/>
        <v>0.68909090909090909</v>
      </c>
      <c r="AG103" s="15">
        <f t="shared" si="86"/>
        <v>2.1032493610806862</v>
      </c>
      <c r="AH103" s="16">
        <f t="shared" si="87"/>
        <v>13.551624680540343</v>
      </c>
      <c r="AI103" s="14">
        <f t="shared" si="88"/>
        <v>0.28499999999999998</v>
      </c>
      <c r="AJ103" s="15">
        <f t="shared" si="89"/>
        <v>0.71500000000000008</v>
      </c>
      <c r="AK103" s="15">
        <f t="shared" si="90"/>
        <v>2.1823293172690756</v>
      </c>
      <c r="AL103" s="16">
        <f t="shared" si="91"/>
        <v>13.591164658634538</v>
      </c>
      <c r="AM103" s="14">
        <f t="shared" si="92"/>
        <v>0.2630769230769231</v>
      </c>
      <c r="AN103" s="15">
        <f t="shared" si="93"/>
        <v>0.7369230769230769</v>
      </c>
      <c r="AO103" s="15">
        <f t="shared" si="94"/>
        <v>2.2492431263515602</v>
      </c>
      <c r="AP103" s="16">
        <f t="shared" si="95"/>
        <v>13.624621563175779</v>
      </c>
    </row>
    <row r="104" spans="1:42">
      <c r="A104" s="68" t="s">
        <v>174</v>
      </c>
      <c r="B104" s="43">
        <f>Design_Converter!B82*(10^-3)</f>
        <v>5.0000000000000001E-3</v>
      </c>
      <c r="C104" s="40" t="s">
        <v>23</v>
      </c>
      <c r="N104">
        <v>43</v>
      </c>
      <c r="O104">
        <f t="shared" si="96"/>
        <v>12.72</v>
      </c>
      <c r="P104" s="14">
        <f t="shared" si="72"/>
        <v>0.23584905660377356</v>
      </c>
      <c r="Q104" s="15">
        <f t="shared" si="73"/>
        <v>0.76415094339622647</v>
      </c>
      <c r="R104" s="15">
        <f t="shared" si="74"/>
        <v>2.0459195271652648</v>
      </c>
      <c r="S104" s="16">
        <f t="shared" si="75"/>
        <v>13.522959763582632</v>
      </c>
      <c r="T104" s="14">
        <f t="shared" si="76"/>
        <v>0.25943396226415094</v>
      </c>
      <c r="U104" s="15">
        <f t="shared" si="77"/>
        <v>0.74056603773584906</v>
      </c>
      <c r="V104" s="15">
        <f t="shared" si="78"/>
        <v>2.1810512490212424</v>
      </c>
      <c r="W104" s="16">
        <f t="shared" si="79"/>
        <v>13.590525624510621</v>
      </c>
      <c r="X104" s="14">
        <f t="shared" si="80"/>
        <v>0.27515723270440251</v>
      </c>
      <c r="Y104" s="15">
        <f t="shared" si="81"/>
        <v>0.72484276729559749</v>
      </c>
      <c r="Z104" s="15">
        <f t="shared" si="82"/>
        <v>2.2641228786564849</v>
      </c>
      <c r="AA104" s="16">
        <f t="shared" si="83"/>
        <v>13.632061439328243</v>
      </c>
      <c r="AC104">
        <v>43</v>
      </c>
      <c r="AD104">
        <f t="shared" si="97"/>
        <v>3.43</v>
      </c>
      <c r="AE104" s="14">
        <f t="shared" si="84"/>
        <v>0.31181818181818183</v>
      </c>
      <c r="AF104" s="15">
        <f t="shared" si="85"/>
        <v>0.68818181818181823</v>
      </c>
      <c r="AG104" s="15">
        <f t="shared" si="86"/>
        <v>2.1066163644476896</v>
      </c>
      <c r="AH104" s="16">
        <f t="shared" si="87"/>
        <v>13.553308182223844</v>
      </c>
      <c r="AI104" s="14">
        <f t="shared" si="88"/>
        <v>0.28583333333333333</v>
      </c>
      <c r="AJ104" s="15">
        <f t="shared" si="89"/>
        <v>0.71416666666666662</v>
      </c>
      <c r="AK104" s="15">
        <f t="shared" si="90"/>
        <v>2.1861594526253159</v>
      </c>
      <c r="AL104" s="16">
        <f t="shared" si="91"/>
        <v>13.593079726312657</v>
      </c>
      <c r="AM104" s="14">
        <f t="shared" si="92"/>
        <v>0.26384615384615384</v>
      </c>
      <c r="AN104" s="15">
        <f t="shared" si="93"/>
        <v>0.73615384615384616</v>
      </c>
      <c r="AO104" s="15">
        <f t="shared" si="94"/>
        <v>2.2534651426217689</v>
      </c>
      <c r="AP104" s="16">
        <f t="shared" si="95"/>
        <v>13.626732571310885</v>
      </c>
    </row>
    <row r="105" spans="1:42">
      <c r="A105" s="68" t="s">
        <v>397</v>
      </c>
      <c r="B105" s="44">
        <f>(MAX(I_Channel_Design,B28)*Rcs*40+1)/2+1</f>
        <v>2.46</v>
      </c>
      <c r="C105" s="40" t="s">
        <v>1</v>
      </c>
      <c r="N105">
        <v>44</v>
      </c>
      <c r="O105">
        <f t="shared" si="96"/>
        <v>12.76</v>
      </c>
      <c r="P105" s="14">
        <f t="shared" si="72"/>
        <v>0.23510971786833856</v>
      </c>
      <c r="Q105" s="15">
        <f t="shared" si="73"/>
        <v>0.76489028213166144</v>
      </c>
      <c r="R105" s="15">
        <f t="shared" si="74"/>
        <v>2.0478990150780763</v>
      </c>
      <c r="S105" s="16">
        <f t="shared" si="75"/>
        <v>13.523949507539038</v>
      </c>
      <c r="T105" s="14">
        <f t="shared" si="76"/>
        <v>0.25862068965517243</v>
      </c>
      <c r="U105" s="15">
        <f t="shared" si="77"/>
        <v>0.74137931034482762</v>
      </c>
      <c r="V105" s="15">
        <f t="shared" si="78"/>
        <v>2.1834464293957443</v>
      </c>
      <c r="W105" s="16">
        <f t="shared" si="79"/>
        <v>13.591723214697872</v>
      </c>
      <c r="X105" s="14">
        <f t="shared" si="80"/>
        <v>0.27429467084639497</v>
      </c>
      <c r="Y105" s="15">
        <f t="shared" si="81"/>
        <v>0.72570532915360508</v>
      </c>
      <c r="Z105" s="15">
        <f t="shared" si="82"/>
        <v>2.2668171816489222</v>
      </c>
      <c r="AA105" s="16">
        <f t="shared" si="83"/>
        <v>13.633408590824461</v>
      </c>
      <c r="AC105">
        <v>44</v>
      </c>
      <c r="AD105">
        <f t="shared" si="97"/>
        <v>3.44</v>
      </c>
      <c r="AE105" s="14">
        <f t="shared" si="84"/>
        <v>0.31272727272727274</v>
      </c>
      <c r="AF105" s="15">
        <f t="shared" si="85"/>
        <v>0.68727272727272726</v>
      </c>
      <c r="AG105" s="15">
        <f t="shared" si="86"/>
        <v>2.1099671412924423</v>
      </c>
      <c r="AH105" s="16">
        <f t="shared" si="87"/>
        <v>13.554983570646222</v>
      </c>
      <c r="AI105" s="14">
        <f t="shared" si="88"/>
        <v>0.28666666666666668</v>
      </c>
      <c r="AJ105" s="15">
        <f t="shared" si="89"/>
        <v>0.71333333333333337</v>
      </c>
      <c r="AK105" s="15">
        <f t="shared" si="90"/>
        <v>2.1899747136694931</v>
      </c>
      <c r="AL105" s="16">
        <f t="shared" si="91"/>
        <v>13.594987356834746</v>
      </c>
      <c r="AM105" s="14">
        <f t="shared" si="92"/>
        <v>0.26461538461538459</v>
      </c>
      <c r="AN105" s="15">
        <f t="shared" si="93"/>
        <v>0.73538461538461541</v>
      </c>
      <c r="AO105" s="15">
        <f t="shared" si="94"/>
        <v>2.2576734287577658</v>
      </c>
      <c r="AP105" s="16">
        <f t="shared" si="95"/>
        <v>13.628836714378883</v>
      </c>
    </row>
    <row r="106" spans="1:42">
      <c r="A106" s="68" t="s">
        <v>104</v>
      </c>
      <c r="B106" s="44">
        <f>IF(B88=0,0.1,(Constants!C33*Calculations!B104/B105)*(10^9))</f>
        <v>101.6260162601626</v>
      </c>
      <c r="C106" s="40" t="s">
        <v>40</v>
      </c>
      <c r="N106">
        <v>45</v>
      </c>
      <c r="O106">
        <f t="shared" si="96"/>
        <v>12.8</v>
      </c>
      <c r="P106" s="14">
        <f t="shared" si="72"/>
        <v>0.234375</v>
      </c>
      <c r="Q106" s="15">
        <f t="shared" si="73"/>
        <v>0.765625</v>
      </c>
      <c r="R106" s="15">
        <f t="shared" si="74"/>
        <v>2.0498661311914326</v>
      </c>
      <c r="S106" s="16">
        <f t="shared" si="75"/>
        <v>13.524933065595716</v>
      </c>
      <c r="T106" s="14">
        <f t="shared" si="76"/>
        <v>0.25781249999999994</v>
      </c>
      <c r="U106" s="15">
        <f t="shared" si="77"/>
        <v>0.7421875</v>
      </c>
      <c r="V106" s="15">
        <f t="shared" si="78"/>
        <v>2.1858266398929045</v>
      </c>
      <c r="W106" s="16">
        <f t="shared" si="79"/>
        <v>13.592913319946453</v>
      </c>
      <c r="X106" s="14">
        <f t="shared" si="80"/>
        <v>0.2734375</v>
      </c>
      <c r="Y106" s="15">
        <f t="shared" si="81"/>
        <v>0.7265625</v>
      </c>
      <c r="Z106" s="15">
        <f t="shared" si="82"/>
        <v>2.2694946452476574</v>
      </c>
      <c r="AA106" s="16">
        <f t="shared" si="83"/>
        <v>13.634747322623829</v>
      </c>
      <c r="AC106">
        <v>45</v>
      </c>
      <c r="AD106">
        <f t="shared" si="97"/>
        <v>3.45</v>
      </c>
      <c r="AE106" s="14">
        <f t="shared" si="84"/>
        <v>0.31363636363636366</v>
      </c>
      <c r="AF106" s="15">
        <f t="shared" si="85"/>
        <v>0.68636363636363629</v>
      </c>
      <c r="AG106" s="15">
        <f t="shared" si="86"/>
        <v>2.1133016916149447</v>
      </c>
      <c r="AH106" s="16">
        <f t="shared" si="87"/>
        <v>13.556650845807471</v>
      </c>
      <c r="AI106" s="14">
        <f t="shared" si="88"/>
        <v>0.28750000000000003</v>
      </c>
      <c r="AJ106" s="15">
        <f t="shared" si="89"/>
        <v>0.71249999999999991</v>
      </c>
      <c r="AK106" s="15">
        <f t="shared" si="90"/>
        <v>2.1937751004016066</v>
      </c>
      <c r="AL106" s="16">
        <f t="shared" si="91"/>
        <v>13.596887550200803</v>
      </c>
      <c r="AM106" s="14">
        <f t="shared" si="92"/>
        <v>0.26538461538461539</v>
      </c>
      <c r="AN106" s="15">
        <f t="shared" si="93"/>
        <v>0.73461538461538467</v>
      </c>
      <c r="AO106" s="15">
        <f t="shared" si="94"/>
        <v>2.2618679847595509</v>
      </c>
      <c r="AP106" s="16">
        <f t="shared" si="95"/>
        <v>13.630933992379775</v>
      </c>
    </row>
    <row r="107" spans="1:42">
      <c r="A107" s="68" t="s">
        <v>155</v>
      </c>
      <c r="B107" s="43">
        <f>Design_Converter!B84</f>
        <v>100</v>
      </c>
      <c r="C107" s="40" t="s">
        <v>40</v>
      </c>
      <c r="N107">
        <v>46</v>
      </c>
      <c r="O107">
        <f t="shared" si="96"/>
        <v>12.84</v>
      </c>
      <c r="P107" s="14">
        <f t="shared" si="72"/>
        <v>0.23364485981308411</v>
      </c>
      <c r="Q107" s="15">
        <f t="shared" si="73"/>
        <v>0.76635514018691586</v>
      </c>
      <c r="R107" s="15">
        <f t="shared" si="74"/>
        <v>2.0518209911296275</v>
      </c>
      <c r="S107" s="16">
        <f t="shared" si="75"/>
        <v>13.525910495564814</v>
      </c>
      <c r="T107" s="14">
        <f t="shared" si="76"/>
        <v>0.2570093457943925</v>
      </c>
      <c r="U107" s="15">
        <f t="shared" si="77"/>
        <v>0.7429906542056075</v>
      </c>
      <c r="V107" s="15">
        <f t="shared" si="78"/>
        <v>2.1881920204181204</v>
      </c>
      <c r="W107" s="16">
        <f t="shared" si="79"/>
        <v>13.594096010209061</v>
      </c>
      <c r="X107" s="14">
        <f t="shared" si="80"/>
        <v>0.27258566978193149</v>
      </c>
      <c r="Y107" s="15">
        <f t="shared" si="81"/>
        <v>0.72741433021806845</v>
      </c>
      <c r="Z107" s="15">
        <f t="shared" si="82"/>
        <v>2.2721554268302007</v>
      </c>
      <c r="AA107" s="16">
        <f t="shared" si="83"/>
        <v>13.6360777134151</v>
      </c>
      <c r="AC107">
        <v>46</v>
      </c>
      <c r="AD107">
        <f t="shared" si="97"/>
        <v>3.46</v>
      </c>
      <c r="AE107" s="14">
        <f t="shared" si="84"/>
        <v>0.31454545454545452</v>
      </c>
      <c r="AF107" s="15">
        <f t="shared" si="85"/>
        <v>0.68545454545454554</v>
      </c>
      <c r="AG107" s="15">
        <f t="shared" si="86"/>
        <v>2.116620015415196</v>
      </c>
      <c r="AH107" s="16">
        <f t="shared" si="87"/>
        <v>13.558310007707599</v>
      </c>
      <c r="AI107" s="14">
        <f t="shared" si="88"/>
        <v>0.28833333333333333</v>
      </c>
      <c r="AJ107" s="15">
        <f t="shared" si="89"/>
        <v>0.71166666666666667</v>
      </c>
      <c r="AK107" s="15">
        <f t="shared" si="90"/>
        <v>2.1975606128216567</v>
      </c>
      <c r="AL107" s="16">
        <f t="shared" si="91"/>
        <v>13.598780306410829</v>
      </c>
      <c r="AM107" s="14">
        <f t="shared" si="92"/>
        <v>0.26615384615384613</v>
      </c>
      <c r="AN107" s="15">
        <f t="shared" si="93"/>
        <v>0.73384615384615381</v>
      </c>
      <c r="AO107" s="15">
        <f t="shared" si="94"/>
        <v>2.2660488106271233</v>
      </c>
      <c r="AP107" s="16">
        <f t="shared" si="95"/>
        <v>13.633024405313561</v>
      </c>
    </row>
    <row r="108" spans="1:42" ht="15" thickBot="1">
      <c r="A108" s="69" t="s">
        <v>156</v>
      </c>
      <c r="B108" s="180">
        <f>1000*(B105*(B107*10^-9)/(Constants!C33))</f>
        <v>4.9200000000000008</v>
      </c>
      <c r="C108" s="70" t="s">
        <v>103</v>
      </c>
      <c r="N108">
        <v>47</v>
      </c>
      <c r="O108">
        <f t="shared" si="96"/>
        <v>12.88</v>
      </c>
      <c r="P108" s="14">
        <f t="shared" si="72"/>
        <v>0.23291925465838509</v>
      </c>
      <c r="Q108" s="15">
        <f t="shared" si="73"/>
        <v>0.76708074534161486</v>
      </c>
      <c r="R108" s="15">
        <f t="shared" si="74"/>
        <v>2.0537637090806289</v>
      </c>
      <c r="S108" s="16">
        <f t="shared" si="75"/>
        <v>13.526881854540314</v>
      </c>
      <c r="T108" s="14">
        <f t="shared" si="76"/>
        <v>0.25621118012422356</v>
      </c>
      <c r="U108" s="15">
        <f t="shared" si="77"/>
        <v>0.7437888198757765</v>
      </c>
      <c r="V108" s="15">
        <f t="shared" si="78"/>
        <v>2.1905427091388328</v>
      </c>
      <c r="W108" s="16">
        <f t="shared" si="79"/>
        <v>13.595271354569416</v>
      </c>
      <c r="X108" s="14">
        <f t="shared" si="80"/>
        <v>0.27173913043478259</v>
      </c>
      <c r="Y108" s="15">
        <f t="shared" si="81"/>
        <v>0.72826086956521741</v>
      </c>
      <c r="Z108" s="15">
        <f t="shared" si="82"/>
        <v>2.2747996818190637</v>
      </c>
      <c r="AA108" s="16">
        <f t="shared" si="83"/>
        <v>13.637399840909533</v>
      </c>
      <c r="AC108">
        <v>47</v>
      </c>
      <c r="AD108">
        <f t="shared" si="97"/>
        <v>3.47</v>
      </c>
      <c r="AE108" s="14">
        <f t="shared" si="84"/>
        <v>0.31545454545454549</v>
      </c>
      <c r="AF108" s="15">
        <f t="shared" si="85"/>
        <v>0.68454545454545457</v>
      </c>
      <c r="AG108" s="15">
        <f t="shared" si="86"/>
        <v>2.1199221126931969</v>
      </c>
      <c r="AH108" s="16">
        <f t="shared" si="87"/>
        <v>13.559961056346598</v>
      </c>
      <c r="AI108" s="14">
        <f t="shared" si="88"/>
        <v>0.28916666666666668</v>
      </c>
      <c r="AJ108" s="15">
        <f t="shared" si="89"/>
        <v>0.71083333333333332</v>
      </c>
      <c r="AK108" s="15">
        <f t="shared" si="90"/>
        <v>2.2013312509296443</v>
      </c>
      <c r="AL108" s="16">
        <f t="shared" si="91"/>
        <v>13.600665625464822</v>
      </c>
      <c r="AM108" s="14">
        <f t="shared" si="92"/>
        <v>0.26692307692307693</v>
      </c>
      <c r="AN108" s="15">
        <f t="shared" si="93"/>
        <v>0.73307692307692307</v>
      </c>
      <c r="AO108" s="15">
        <f t="shared" si="94"/>
        <v>2.2702159063604848</v>
      </c>
      <c r="AP108" s="16">
        <f t="shared" si="95"/>
        <v>13.635107953180242</v>
      </c>
    </row>
    <row r="109" spans="1:42">
      <c r="A109"/>
      <c r="B109"/>
      <c r="C109"/>
      <c r="N109">
        <v>48</v>
      </c>
      <c r="O109">
        <f t="shared" si="96"/>
        <v>12.92</v>
      </c>
      <c r="P109" s="14">
        <f t="shared" si="72"/>
        <v>0.23219814241486067</v>
      </c>
      <c r="Q109" s="15">
        <f t="shared" si="73"/>
        <v>0.7678018575851393</v>
      </c>
      <c r="R109" s="15">
        <f t="shared" si="74"/>
        <v>2.0556943978183111</v>
      </c>
      <c r="S109" s="16">
        <f t="shared" si="75"/>
        <v>13.527847198909155</v>
      </c>
      <c r="T109" s="14">
        <f t="shared" si="76"/>
        <v>0.25541795665634676</v>
      </c>
      <c r="U109" s="15">
        <f t="shared" si="77"/>
        <v>0.74458204334365319</v>
      </c>
      <c r="V109" s="15">
        <f t="shared" si="78"/>
        <v>2.1928788425114285</v>
      </c>
      <c r="W109" s="16">
        <f t="shared" si="79"/>
        <v>13.596439421255715</v>
      </c>
      <c r="X109" s="14">
        <f t="shared" si="80"/>
        <v>0.27089783281733748</v>
      </c>
      <c r="Y109" s="15">
        <f t="shared" si="81"/>
        <v>0.72910216718266252</v>
      </c>
      <c r="Z109" s="15">
        <f t="shared" si="82"/>
        <v>2.2774275637120205</v>
      </c>
      <c r="AA109" s="16">
        <f t="shared" si="83"/>
        <v>13.63871378185601</v>
      </c>
      <c r="AC109">
        <v>48</v>
      </c>
      <c r="AD109">
        <f t="shared" si="97"/>
        <v>3.48</v>
      </c>
      <c r="AE109" s="14">
        <f t="shared" si="84"/>
        <v>0.31636363636363635</v>
      </c>
      <c r="AF109" s="15">
        <f t="shared" si="85"/>
        <v>0.6836363636363636</v>
      </c>
      <c r="AG109" s="15">
        <f t="shared" si="86"/>
        <v>2.123207983448947</v>
      </c>
      <c r="AH109" s="16">
        <f t="shared" si="87"/>
        <v>13.561603991724473</v>
      </c>
      <c r="AI109" s="14">
        <f t="shared" si="88"/>
        <v>0.28999999999999998</v>
      </c>
      <c r="AJ109" s="15">
        <f t="shared" si="89"/>
        <v>0.71</v>
      </c>
      <c r="AK109" s="15">
        <f t="shared" si="90"/>
        <v>2.2050870147255686</v>
      </c>
      <c r="AL109" s="16">
        <f t="shared" si="91"/>
        <v>13.602543507362784</v>
      </c>
      <c r="AM109" s="14">
        <f t="shared" si="92"/>
        <v>0.26769230769230767</v>
      </c>
      <c r="AN109" s="15">
        <f t="shared" si="93"/>
        <v>0.73230769230769233</v>
      </c>
      <c r="AO109" s="15">
        <f t="shared" si="94"/>
        <v>2.2743692719596331</v>
      </c>
      <c r="AP109" s="16">
        <f t="shared" si="95"/>
        <v>13.637184635979816</v>
      </c>
    </row>
    <row r="110" spans="1:42">
      <c r="A110"/>
      <c r="B110"/>
      <c r="C110"/>
      <c r="N110">
        <v>49</v>
      </c>
      <c r="O110">
        <f t="shared" si="96"/>
        <v>12.96</v>
      </c>
      <c r="P110" s="14">
        <f t="shared" si="72"/>
        <v>0.23148148148148145</v>
      </c>
      <c r="Q110" s="15">
        <f t="shared" si="73"/>
        <v>0.7685185185185186</v>
      </c>
      <c r="R110" s="15">
        <f t="shared" si="74"/>
        <v>2.0576131687242794</v>
      </c>
      <c r="S110" s="16">
        <f t="shared" si="75"/>
        <v>13.52880658436214</v>
      </c>
      <c r="T110" s="14">
        <f t="shared" si="76"/>
        <v>0.25462962962962959</v>
      </c>
      <c r="U110" s="15">
        <f t="shared" si="77"/>
        <v>0.74537037037037046</v>
      </c>
      <c r="V110" s="15">
        <f t="shared" si="78"/>
        <v>2.1952005553076499</v>
      </c>
      <c r="W110" s="16">
        <f t="shared" si="79"/>
        <v>13.597600277653825</v>
      </c>
      <c r="X110" s="14">
        <f t="shared" si="80"/>
        <v>0.27006172839506171</v>
      </c>
      <c r="Y110" s="15">
        <f t="shared" si="81"/>
        <v>0.72993827160493829</v>
      </c>
      <c r="Z110" s="15">
        <f t="shared" si="82"/>
        <v>2.2800392241118108</v>
      </c>
      <c r="AA110" s="16">
        <f t="shared" si="83"/>
        <v>13.640019612055905</v>
      </c>
      <c r="AC110">
        <v>49</v>
      </c>
      <c r="AD110">
        <f t="shared" si="97"/>
        <v>3.49</v>
      </c>
      <c r="AE110" s="14">
        <f t="shared" si="84"/>
        <v>0.31727272727272732</v>
      </c>
      <c r="AF110" s="15">
        <f t="shared" si="85"/>
        <v>0.68272727272727263</v>
      </c>
      <c r="AG110" s="15">
        <f t="shared" si="86"/>
        <v>2.1264776276824469</v>
      </c>
      <c r="AH110" s="16">
        <f t="shared" si="87"/>
        <v>13.563238813841224</v>
      </c>
      <c r="AI110" s="14">
        <f t="shared" si="88"/>
        <v>0.29083333333333333</v>
      </c>
      <c r="AJ110" s="15">
        <f t="shared" si="89"/>
        <v>0.70916666666666672</v>
      </c>
      <c r="AK110" s="15">
        <f t="shared" si="90"/>
        <v>2.2088279042094303</v>
      </c>
      <c r="AL110" s="16">
        <f t="shared" si="91"/>
        <v>13.604413952104714</v>
      </c>
      <c r="AM110" s="14">
        <f t="shared" si="92"/>
        <v>0.26846153846153847</v>
      </c>
      <c r="AN110" s="15">
        <f t="shared" si="93"/>
        <v>0.73153846153846147</v>
      </c>
      <c r="AO110" s="15">
        <f t="shared" si="94"/>
        <v>2.2785089074245701</v>
      </c>
      <c r="AP110" s="16">
        <f t="shared" si="95"/>
        <v>13.639254453712285</v>
      </c>
    </row>
    <row r="111" spans="1:42">
      <c r="A111"/>
      <c r="B111"/>
      <c r="C111"/>
      <c r="N111">
        <v>50</v>
      </c>
      <c r="O111">
        <f t="shared" si="96"/>
        <v>13</v>
      </c>
      <c r="P111" s="14">
        <f t="shared" si="72"/>
        <v>0.23076923076923078</v>
      </c>
      <c r="Q111" s="15">
        <f t="shared" si="73"/>
        <v>0.76923076923076916</v>
      </c>
      <c r="R111" s="15">
        <f t="shared" si="74"/>
        <v>2.0595201318092884</v>
      </c>
      <c r="S111" s="16">
        <f t="shared" si="75"/>
        <v>13.529760065904645</v>
      </c>
      <c r="T111" s="14">
        <f t="shared" si="76"/>
        <v>0.25384615384615383</v>
      </c>
      <c r="U111" s="15">
        <f t="shared" si="77"/>
        <v>0.74615384615384617</v>
      </c>
      <c r="V111" s="15">
        <f t="shared" si="78"/>
        <v>2.1975079806405104</v>
      </c>
      <c r="W111" s="16">
        <f t="shared" si="79"/>
        <v>13.598753990320255</v>
      </c>
      <c r="X111" s="14">
        <f t="shared" si="80"/>
        <v>0.26923076923076922</v>
      </c>
      <c r="Y111" s="15">
        <f t="shared" si="81"/>
        <v>0.73076923076923084</v>
      </c>
      <c r="Z111" s="15">
        <f t="shared" si="82"/>
        <v>2.2826348127552945</v>
      </c>
      <c r="AA111" s="16">
        <f t="shared" si="83"/>
        <v>13.641317406377647</v>
      </c>
      <c r="AC111">
        <v>50</v>
      </c>
      <c r="AD111">
        <f t="shared" si="97"/>
        <v>3.5</v>
      </c>
      <c r="AE111" s="14">
        <f t="shared" si="84"/>
        <v>0.31818181818181818</v>
      </c>
      <c r="AF111" s="15">
        <f t="shared" si="85"/>
        <v>0.68181818181818188</v>
      </c>
      <c r="AG111" s="15">
        <f t="shared" si="86"/>
        <v>2.1297310453936955</v>
      </c>
      <c r="AH111" s="16">
        <f t="shared" si="87"/>
        <v>13.564865522696849</v>
      </c>
      <c r="AI111" s="14">
        <f t="shared" si="88"/>
        <v>0.29166666666666669</v>
      </c>
      <c r="AJ111" s="15">
        <f t="shared" si="89"/>
        <v>0.70833333333333326</v>
      </c>
      <c r="AK111" s="15">
        <f t="shared" si="90"/>
        <v>2.2125539193812287</v>
      </c>
      <c r="AL111" s="16">
        <f t="shared" si="91"/>
        <v>13.606276959690614</v>
      </c>
      <c r="AM111" s="14">
        <f t="shared" si="92"/>
        <v>0.26923076923076922</v>
      </c>
      <c r="AN111" s="15">
        <f t="shared" si="93"/>
        <v>0.73076923076923084</v>
      </c>
      <c r="AO111" s="15">
        <f t="shared" si="94"/>
        <v>2.2826348127552945</v>
      </c>
      <c r="AP111" s="16">
        <f t="shared" si="95"/>
        <v>13.641317406377647</v>
      </c>
    </row>
    <row r="112" spans="1:42">
      <c r="A112"/>
      <c r="B112"/>
      <c r="C112"/>
    </row>
    <row r="113" spans="1:5" ht="15" thickBot="1">
      <c r="A113"/>
      <c r="B113"/>
      <c r="C113"/>
    </row>
    <row r="114" spans="1:5">
      <c r="A114" s="252" t="s">
        <v>143</v>
      </c>
      <c r="B114" s="253"/>
      <c r="C114" s="254"/>
    </row>
    <row r="115" spans="1:5">
      <c r="A115" s="68" t="s">
        <v>144</v>
      </c>
      <c r="B115" s="43">
        <f>IF(Design_Converter!B90=Lists!A2,0,1)</f>
        <v>0</v>
      </c>
      <c r="C115" s="40"/>
      <c r="E115" s="34" t="s">
        <v>184</v>
      </c>
    </row>
    <row r="116" spans="1:5">
      <c r="A116" s="68" t="s">
        <v>148</v>
      </c>
      <c r="B116" s="43">
        <f>Design_Converter!B91</f>
        <v>3</v>
      </c>
      <c r="C116" s="40" t="s">
        <v>1</v>
      </c>
    </row>
    <row r="117" spans="1:5">
      <c r="A117" s="68" t="s">
        <v>149</v>
      </c>
      <c r="B117" s="43">
        <f>Design_Converter!B92</f>
        <v>49.9</v>
      </c>
      <c r="C117" s="191" t="s">
        <v>95</v>
      </c>
    </row>
    <row r="118" spans="1:5">
      <c r="A118" s="68" t="s">
        <v>150</v>
      </c>
      <c r="B118" s="44">
        <f>((B116-Constants!C11)/(Constants!C11))*B117</f>
        <v>9.98</v>
      </c>
      <c r="C118" s="191" t="s">
        <v>95</v>
      </c>
    </row>
    <row r="119" spans="1:5">
      <c r="A119" s="68" t="s">
        <v>151</v>
      </c>
      <c r="B119" s="43">
        <f>Design_Converter!B94</f>
        <v>10</v>
      </c>
      <c r="C119" s="191" t="s">
        <v>95</v>
      </c>
    </row>
    <row r="120" spans="1:5">
      <c r="A120" s="68" t="s">
        <v>203</v>
      </c>
      <c r="B120" s="43">
        <f>IF(Design_Converter!B95=Lists!C2,0,1)</f>
        <v>1</v>
      </c>
      <c r="C120" s="40"/>
      <c r="E120" s="34" t="s">
        <v>202</v>
      </c>
    </row>
    <row r="121" spans="1:5">
      <c r="A121" s="68" t="s">
        <v>205</v>
      </c>
      <c r="B121" s="43">
        <f>Design_Converter!B96</f>
        <v>4</v>
      </c>
      <c r="C121" s="40" t="s">
        <v>1</v>
      </c>
    </row>
    <row r="122" spans="1:5">
      <c r="A122" s="68" t="s">
        <v>206</v>
      </c>
      <c r="B122" s="44">
        <f>((B121/Constants!C13)-(B119*1000))/(1+(B119/B117))/1000</f>
        <v>124.95826377295494</v>
      </c>
      <c r="C122" s="191" t="s">
        <v>95</v>
      </c>
    </row>
    <row r="123" spans="1:5">
      <c r="A123" s="68" t="s">
        <v>207</v>
      </c>
      <c r="B123" s="43">
        <f>Design_Converter!B98</f>
        <v>20</v>
      </c>
      <c r="C123" s="191" t="s">
        <v>95</v>
      </c>
    </row>
    <row r="124" spans="1:5">
      <c r="A124" s="5" t="s">
        <v>153</v>
      </c>
      <c r="B124" s="44">
        <f>IF(B120=0,Constants!C13*Calculations!B119*1000,((B119*1000)+(B123*1000)*(1+(B119/B117)))*Constants!C13)</f>
        <v>0.8502004008016032</v>
      </c>
      <c r="C124" s="191" t="s">
        <v>1</v>
      </c>
    </row>
    <row r="125" spans="1:5">
      <c r="A125" s="5" t="s">
        <v>208</v>
      </c>
      <c r="B125" s="44">
        <f>Constants!C11*((Calculations!B117+Calculations!B119)/Calculations!B117)</f>
        <v>3.0010020040080159</v>
      </c>
      <c r="C125" s="191" t="s">
        <v>1</v>
      </c>
    </row>
    <row r="126" spans="1:5">
      <c r="A126" s="5" t="s">
        <v>209</v>
      </c>
      <c r="B126" s="44">
        <f>B125-B124</f>
        <v>2.1508016032064128</v>
      </c>
      <c r="C126" s="192" t="s">
        <v>1</v>
      </c>
    </row>
    <row r="127" spans="1:5" ht="15" thickBot="1">
      <c r="A127" s="186" t="s">
        <v>152</v>
      </c>
      <c r="B127" s="180">
        <f>Constants!C12*(Calculations!B117+Calculations!B119)/Calculations!B117</f>
        <v>1.5005010020040082</v>
      </c>
      <c r="C127" s="193" t="s">
        <v>1</v>
      </c>
    </row>
    <row r="128" spans="1:5" ht="15" thickBot="1">
      <c r="A128"/>
      <c r="C128" s="194"/>
    </row>
    <row r="129" spans="1:42">
      <c r="A129" s="252" t="s">
        <v>484</v>
      </c>
      <c r="B129" s="253"/>
      <c r="C129" s="254"/>
    </row>
    <row r="130" spans="1:42">
      <c r="A130" s="68" t="s">
        <v>489</v>
      </c>
      <c r="B130" s="43">
        <f>Design_Converter!B107</f>
        <v>13</v>
      </c>
      <c r="C130" s="40" t="s">
        <v>1</v>
      </c>
    </row>
    <row r="131" spans="1:42">
      <c r="A131" s="68" t="s">
        <v>485</v>
      </c>
      <c r="B131" s="44">
        <f>Constants!C18/1</f>
        <v>1</v>
      </c>
      <c r="C131" s="40" t="s">
        <v>95</v>
      </c>
    </row>
    <row r="132" spans="1:42">
      <c r="A132" s="68" t="s">
        <v>486</v>
      </c>
      <c r="B132" s="43">
        <f>Design_Converter!B109</f>
        <v>10</v>
      </c>
      <c r="C132" s="40" t="s">
        <v>95</v>
      </c>
    </row>
    <row r="133" spans="1:42">
      <c r="A133" s="68" t="s">
        <v>487</v>
      </c>
      <c r="B133" s="44">
        <f>(B130-Constants!C18)/Constants!C18*B132</f>
        <v>120</v>
      </c>
      <c r="C133" s="40" t="s">
        <v>95</v>
      </c>
    </row>
    <row r="134" spans="1:42">
      <c r="A134" s="68" t="s">
        <v>488</v>
      </c>
      <c r="B134" s="43">
        <f>Design_Converter!B111</f>
        <v>120</v>
      </c>
      <c r="C134" s="40" t="s">
        <v>95</v>
      </c>
    </row>
    <row r="135" spans="1:42" ht="15" thickBot="1">
      <c r="A135" s="196" t="s">
        <v>490</v>
      </c>
      <c r="B135" s="180">
        <f>(B134+B132)/B132*Constants!C18</f>
        <v>13</v>
      </c>
      <c r="C135" s="70" t="s">
        <v>1</v>
      </c>
      <c r="N135" s="21"/>
      <c r="O135" s="21"/>
      <c r="P135" s="21"/>
      <c r="Q135" s="21"/>
      <c r="R135" s="21"/>
      <c r="S135" s="21"/>
      <c r="T135" s="21"/>
      <c r="U135" s="21"/>
      <c r="V135" s="21"/>
      <c r="W135" s="21"/>
      <c r="X135" s="21"/>
      <c r="Y135" s="21"/>
      <c r="Z135" s="21"/>
      <c r="AA135" s="21"/>
      <c r="AC135" s="21"/>
      <c r="AD135" s="21"/>
      <c r="AE135" s="21"/>
      <c r="AF135" s="21"/>
      <c r="AG135" s="21"/>
      <c r="AH135" s="21"/>
      <c r="AI135" s="21"/>
      <c r="AJ135" s="21"/>
      <c r="AK135" s="21"/>
      <c r="AL135" s="21"/>
      <c r="AM135" s="21"/>
      <c r="AN135" s="21"/>
      <c r="AO135" s="21"/>
      <c r="AP135" s="21"/>
    </row>
    <row r="137" spans="1:42" ht="15.75" customHeight="1" thickBot="1"/>
    <row r="138" spans="1:42">
      <c r="A138" s="252" t="s">
        <v>558</v>
      </c>
      <c r="B138" s="253"/>
      <c r="C138" s="254"/>
    </row>
    <row r="139" spans="1:42">
      <c r="A139" s="68" t="s">
        <v>175</v>
      </c>
      <c r="B139" s="43">
        <f>Design_Converter!B118</f>
        <v>3</v>
      </c>
      <c r="C139" s="40" t="s">
        <v>1</v>
      </c>
      <c r="D139" s="34">
        <f>IF(B139&gt;Constants!C48,1,0)</f>
        <v>0</v>
      </c>
      <c r="E139" s="34" t="s">
        <v>436</v>
      </c>
    </row>
    <row r="140" spans="1:42" s="21" customFormat="1">
      <c r="A140" s="68" t="s">
        <v>176</v>
      </c>
      <c r="B140" s="48">
        <f>(B139/((Constants!C6/Constants!C16)+(Constants!C15)))/1000</f>
        <v>19.999999999999996</v>
      </c>
      <c r="C140" s="191" t="s">
        <v>95</v>
      </c>
      <c r="D140" s="34"/>
      <c r="E140" s="34"/>
      <c r="F140"/>
      <c r="G140"/>
      <c r="H140"/>
      <c r="N140"/>
      <c r="O140"/>
      <c r="P140"/>
      <c r="Q140"/>
      <c r="R140"/>
      <c r="S140"/>
      <c r="T140"/>
      <c r="U140"/>
      <c r="V140"/>
      <c r="W140"/>
      <c r="X140"/>
      <c r="Y140"/>
      <c r="Z140"/>
      <c r="AA140"/>
      <c r="AB140"/>
      <c r="AC140"/>
      <c r="AD140"/>
      <c r="AE140"/>
      <c r="AF140"/>
      <c r="AG140"/>
      <c r="AH140"/>
      <c r="AI140"/>
      <c r="AJ140"/>
      <c r="AK140"/>
      <c r="AL140"/>
      <c r="AM140"/>
      <c r="AN140"/>
      <c r="AO140"/>
      <c r="AP140"/>
    </row>
    <row r="141" spans="1:42">
      <c r="A141" s="68" t="s">
        <v>158</v>
      </c>
      <c r="B141" s="53">
        <f>Design_Converter!B120</f>
        <v>10</v>
      </c>
      <c r="C141" s="191" t="s">
        <v>95</v>
      </c>
    </row>
    <row r="142" spans="1:42">
      <c r="A142" s="68" t="s">
        <v>177</v>
      </c>
      <c r="B142" s="44">
        <f>((Constants!C6/Constants!C16)+(Constants!C15))*B141*1000</f>
        <v>1.5</v>
      </c>
      <c r="C142" s="40" t="s">
        <v>1</v>
      </c>
      <c r="D142" s="34">
        <f>IF(B142&gt;Constants!C48,1,0)</f>
        <v>0</v>
      </c>
      <c r="E142" s="34" t="s">
        <v>436</v>
      </c>
    </row>
    <row r="143" spans="1:42">
      <c r="A143" s="68" t="s">
        <v>178</v>
      </c>
      <c r="B143" s="44">
        <f>(Constants!C15)*B141*1000</f>
        <v>0.5</v>
      </c>
      <c r="C143" s="40" t="s">
        <v>1</v>
      </c>
    </row>
    <row r="144" spans="1:42">
      <c r="A144" s="68" t="s">
        <v>179</v>
      </c>
      <c r="B144" s="48">
        <f>((100*10^-6)/(B141*1000))*(10^9)</f>
        <v>9.9999999999999982</v>
      </c>
      <c r="C144" s="40" t="s">
        <v>40</v>
      </c>
      <c r="E144" s="34" t="s">
        <v>181</v>
      </c>
    </row>
    <row r="145" spans="1:8">
      <c r="A145" s="68" t="s">
        <v>180</v>
      </c>
      <c r="B145" s="43">
        <f>Design_Converter!B124</f>
        <v>10</v>
      </c>
      <c r="C145" s="40" t="s">
        <v>40</v>
      </c>
    </row>
    <row r="146" spans="1:8">
      <c r="A146" s="68" t="s">
        <v>182</v>
      </c>
      <c r="B146" s="51">
        <f>(1/(2*PI()*B141*1000*(B145*10^-9)))*(1/1000)</f>
        <v>1.5915494309189535</v>
      </c>
      <c r="C146" s="40" t="s">
        <v>3</v>
      </c>
    </row>
    <row r="147" spans="1:8" ht="15" thickBot="1">
      <c r="A147" s="69" t="s">
        <v>183</v>
      </c>
      <c r="B147" s="201">
        <f>((B69*Rcs/(Constants!C16))*(B141*1000)*(10^(-(LOG10(Fsw/(B146*1000))))))*1000</f>
        <v>0.67420579778858014</v>
      </c>
      <c r="C147" s="70" t="s">
        <v>68</v>
      </c>
    </row>
    <row r="149" spans="1:8" ht="15" thickBot="1"/>
    <row r="150" spans="1:8">
      <c r="A150" s="252" t="s">
        <v>186</v>
      </c>
      <c r="B150" s="253"/>
      <c r="C150" s="254"/>
    </row>
    <row r="151" spans="1:8">
      <c r="A151" s="68" t="s">
        <v>190</v>
      </c>
      <c r="B151" s="43">
        <f>IF(Design_Converter!B131=Lists!G2,0,1)</f>
        <v>0</v>
      </c>
      <c r="C151" s="40"/>
      <c r="E151" s="34" t="s">
        <v>191</v>
      </c>
    </row>
    <row r="152" spans="1:8">
      <c r="A152" s="68" t="s">
        <v>192</v>
      </c>
      <c r="B152" s="43">
        <f>Design_Converter!B132*(10^-9)</f>
        <v>5.0000000000000004E-8</v>
      </c>
      <c r="C152" s="40" t="s">
        <v>23</v>
      </c>
      <c r="D152" s="34">
        <f>IF(B152&lt;Constants!C31,1,IF(B152&gt;Constants!C32,1,0))</f>
        <v>0</v>
      </c>
      <c r="E152" s="34" t="s">
        <v>210</v>
      </c>
    </row>
    <row r="153" spans="1:8">
      <c r="A153" s="68" t="s">
        <v>194</v>
      </c>
      <c r="B153" s="44">
        <f>(B152-Constants!C27)/(Constants!C26*1000)</f>
        <v>19.047619047619051</v>
      </c>
      <c r="C153" s="191" t="s">
        <v>95</v>
      </c>
    </row>
    <row r="154" spans="1:8">
      <c r="A154" s="68" t="s">
        <v>195</v>
      </c>
      <c r="B154" s="43">
        <f>Design_Converter!B134</f>
        <v>20</v>
      </c>
      <c r="C154" s="191" t="s">
        <v>95</v>
      </c>
    </row>
    <row r="155" spans="1:8">
      <c r="A155" s="68" t="s">
        <v>196</v>
      </c>
      <c r="B155" s="44">
        <f>IF(B151=1,(((B154*1000)*Constants!C26)+Constants!C27)*(10^9),(Constants!C29*(10^9)))</f>
        <v>40</v>
      </c>
      <c r="C155" s="40" t="s">
        <v>93</v>
      </c>
      <c r="D155" s="34">
        <f>IF(B155*0.000000001&lt;Constants!C31,1,IF(B155*0.000000001&gt;Constants!C32,1,0))</f>
        <v>0</v>
      </c>
    </row>
    <row r="156" spans="1:8" ht="15" thickBot="1">
      <c r="A156" s="69" t="s">
        <v>197</v>
      </c>
      <c r="B156" s="180">
        <f>IF(B151=1,(((B154*1000)*Constants!C26)+Constants!C27)*(10^9),(Constants!C30*(10^9)))</f>
        <v>40</v>
      </c>
      <c r="C156" s="70" t="s">
        <v>93</v>
      </c>
      <c r="D156" s="34">
        <f>IF(B156*0.000000001&lt;Constants!C31,1,IF(B156*0.000000001&gt;Constants!C32,1,0))</f>
        <v>0</v>
      </c>
      <c r="H156" s="21"/>
    </row>
    <row r="157" spans="1:8">
      <c r="H157" s="21"/>
    </row>
    <row r="158" spans="1:8" ht="15" thickBot="1">
      <c r="H158" s="21"/>
    </row>
    <row r="159" spans="1:8">
      <c r="A159" s="252" t="s">
        <v>494</v>
      </c>
      <c r="B159" s="253"/>
      <c r="C159" s="254"/>
      <c r="H159" s="21"/>
    </row>
    <row r="160" spans="1:8" ht="16.2">
      <c r="A160" s="68" t="s">
        <v>583</v>
      </c>
      <c r="B160" s="53" t="str">
        <f>Design_Converter!B141</f>
        <v>0x3</v>
      </c>
      <c r="C160" s="40"/>
      <c r="H160" s="21"/>
    </row>
    <row r="161" spans="1:8">
      <c r="A161" s="68" t="s">
        <v>584</v>
      </c>
      <c r="B161" s="53" t="str">
        <f>Design_Converter!B142</f>
        <v>I_LV</v>
      </c>
      <c r="C161" s="40"/>
      <c r="H161" s="21"/>
    </row>
    <row r="162" spans="1:8" ht="15" thickBot="1">
      <c r="A162" s="207" t="s">
        <v>194</v>
      </c>
      <c r="B162" s="208" t="str">
        <f>LOOKUP(2,1/(Lists!M2:M17=Calculations!B160)/(Lists!N2:N17=Calculations!B161),Lists!O2:O17)</f>
        <v>1.10 or 1.13</v>
      </c>
      <c r="C162" s="209" t="s">
        <v>95</v>
      </c>
      <c r="H162" s="21"/>
    </row>
    <row r="163" spans="1:8">
      <c r="A163" s="252" t="s">
        <v>521</v>
      </c>
      <c r="B163" s="253"/>
      <c r="C163" s="254"/>
      <c r="H163" s="21"/>
    </row>
    <row r="164" spans="1:8">
      <c r="A164" s="68" t="s">
        <v>585</v>
      </c>
      <c r="B164" s="44" t="str">
        <f>IF(MOD(np,3)=0,"240°","180°")</f>
        <v>180°</v>
      </c>
      <c r="C164" s="40"/>
      <c r="H164" s="21"/>
    </row>
    <row r="165" spans="1:8" ht="15" thickBot="1">
      <c r="A165" s="196" t="s">
        <v>531</v>
      </c>
      <c r="B165" s="180" t="str">
        <f>VLOOKUP(B164,Lists!Q2:R3,2)</f>
        <v>HIGH</v>
      </c>
      <c r="C165" s="206"/>
      <c r="H165" s="21"/>
    </row>
    <row r="167" spans="1:8">
      <c r="A167" s="266" t="s">
        <v>215</v>
      </c>
      <c r="B167" s="266"/>
      <c r="C167" s="266"/>
    </row>
    <row r="168" spans="1:8">
      <c r="A168" s="31" t="s">
        <v>213</v>
      </c>
      <c r="B168" s="43">
        <f>Design_Converter!B151</f>
        <v>10</v>
      </c>
      <c r="C168" s="31" t="s">
        <v>214</v>
      </c>
    </row>
    <row r="169" spans="1:8">
      <c r="A169" s="31" t="s">
        <v>217</v>
      </c>
      <c r="B169" s="56"/>
      <c r="C169" s="31" t="s">
        <v>218</v>
      </c>
    </row>
    <row r="170" spans="1:8">
      <c r="A170" s="31" t="s">
        <v>216</v>
      </c>
      <c r="B170" s="56">
        <f>(Rcs+Rs)/(2*PI()*Lm*1000)</f>
        <v>0.82524785306908688</v>
      </c>
      <c r="C170" s="31" t="s">
        <v>3</v>
      </c>
    </row>
    <row r="171" spans="1:8">
      <c r="A171" s="31" t="s">
        <v>219</v>
      </c>
      <c r="B171" s="54">
        <f>1/(Kff*(Rcs+Rs))</f>
        <v>2285.7142857142858</v>
      </c>
      <c r="C171" s="31" t="s">
        <v>42</v>
      </c>
      <c r="E171" s="34" t="s">
        <v>354</v>
      </c>
    </row>
    <row r="172" spans="1:8">
      <c r="A172" s="31" t="s">
        <v>220</v>
      </c>
      <c r="B172" s="47">
        <f>Fsw/6.28</f>
        <v>66082.802547770698</v>
      </c>
      <c r="C172" s="31" t="s">
        <v>83</v>
      </c>
    </row>
    <row r="173" spans="1:8">
      <c r="A173" s="31" t="s">
        <v>221</v>
      </c>
      <c r="B173" s="43">
        <f>Design_Converter!B153*1000</f>
        <v>66000</v>
      </c>
      <c r="C173" s="31" t="s">
        <v>83</v>
      </c>
      <c r="E173" s="34" t="s">
        <v>450</v>
      </c>
    </row>
    <row r="174" spans="1:8">
      <c r="A174" s="31" t="s">
        <v>228</v>
      </c>
      <c r="B174" s="54">
        <f>B170*1000</f>
        <v>825.24785306908689</v>
      </c>
      <c r="C174" s="31" t="s">
        <v>83</v>
      </c>
    </row>
    <row r="175" spans="1:8">
      <c r="A175" s="31" t="s">
        <v>355</v>
      </c>
      <c r="B175" s="47">
        <f>IF(B173*10&gt;=Fsw/2,Fsw/2,B173*10)</f>
        <v>207500</v>
      </c>
      <c r="C175" s="31" t="s">
        <v>83</v>
      </c>
    </row>
    <row r="176" spans="1:8">
      <c r="A176" s="31" t="s">
        <v>222</v>
      </c>
      <c r="B176" s="56">
        <f>((Kff/(Rcs*gm*Acs))*IMABS(COMPLEX(Rcs+Rs,2*PI()*B173*Lm)))/1000</f>
        <v>2.1870139543087186</v>
      </c>
      <c r="C176" s="58" t="s">
        <v>95</v>
      </c>
    </row>
    <row r="177" spans="1:7">
      <c r="A177" s="31" t="s">
        <v>223</v>
      </c>
      <c r="B177" s="43">
        <f>Design_Converter!B155</f>
        <v>2.2000000000000002</v>
      </c>
      <c r="C177" s="58" t="s">
        <v>95</v>
      </c>
    </row>
    <row r="178" spans="1:7">
      <c r="A178" s="31" t="s">
        <v>224</v>
      </c>
      <c r="B178" s="54">
        <f>1/(2*PI()*(B173)*0.2*B177*1000)*(10^9)</f>
        <v>5.4805421174895086</v>
      </c>
      <c r="C178" s="31" t="s">
        <v>40</v>
      </c>
      <c r="E178" s="34" t="s">
        <v>449</v>
      </c>
    </row>
    <row r="179" spans="1:7">
      <c r="A179" s="31" t="s">
        <v>225</v>
      </c>
      <c r="B179" s="43">
        <f>Design_Converter!B157</f>
        <v>6.8</v>
      </c>
      <c r="C179" s="31" t="s">
        <v>40</v>
      </c>
      <c r="D179" s="35"/>
      <c r="F179" s="21"/>
      <c r="G179" s="21"/>
    </row>
    <row r="180" spans="1:7">
      <c r="A180" s="31" t="s">
        <v>226</v>
      </c>
      <c r="B180" s="60">
        <f>1/(2*PI()*(B173)*3*B177*1000)*(10^9)</f>
        <v>0.36536947449930052</v>
      </c>
      <c r="C180" s="59" t="s">
        <v>40</v>
      </c>
      <c r="E180" s="34" t="s">
        <v>451</v>
      </c>
    </row>
    <row r="181" spans="1:7">
      <c r="A181" s="31" t="s">
        <v>227</v>
      </c>
      <c r="B181" s="43">
        <f>Design_Converter!B159</f>
        <v>0.39</v>
      </c>
      <c r="C181" s="31" t="s">
        <v>40</v>
      </c>
    </row>
    <row r="182" spans="1:7">
      <c r="A182" s="31" t="s">
        <v>229</v>
      </c>
      <c r="B182" s="56">
        <f>(1/(2*PI()*B177*1000*B179*(10^-9)))/1000</f>
        <v>10.638699404538457</v>
      </c>
      <c r="C182" s="31" t="s">
        <v>3</v>
      </c>
    </row>
    <row r="183" spans="1:7">
      <c r="A183" s="31" t="s">
        <v>230</v>
      </c>
      <c r="B183" s="54">
        <f>(1/(2*PI()*B177*1000*B181*(10^-9)))/1000</f>
        <v>185.49527166887566</v>
      </c>
      <c r="C183" s="31" t="s">
        <v>3</v>
      </c>
    </row>
    <row r="189" spans="1:7">
      <c r="A189" s="266" t="s">
        <v>423</v>
      </c>
      <c r="B189" s="266"/>
      <c r="C189" s="266"/>
    </row>
    <row r="190" spans="1:7">
      <c r="A190" s="154" t="s">
        <v>327</v>
      </c>
      <c r="B190" s="43">
        <f>Design_Converter!B174</f>
        <v>2</v>
      </c>
      <c r="C190" s="31" t="s">
        <v>1</v>
      </c>
    </row>
    <row r="191" spans="1:7">
      <c r="A191" s="154" t="s">
        <v>319</v>
      </c>
      <c r="B191" s="43">
        <f>Design_Converter!B175*1000</f>
        <v>4420</v>
      </c>
      <c r="C191" s="31" t="s">
        <v>53</v>
      </c>
    </row>
    <row r="192" spans="1:7">
      <c r="A192" s="154" t="s">
        <v>328</v>
      </c>
      <c r="B192" s="47">
        <f>(B191*V12_Nom/B190)-B191</f>
        <v>2873</v>
      </c>
      <c r="C192" s="31" t="s">
        <v>53</v>
      </c>
    </row>
    <row r="193" spans="1:5">
      <c r="A193" s="154" t="s">
        <v>318</v>
      </c>
      <c r="B193" s="43">
        <f>Design_Converter!B177*1000</f>
        <v>26700</v>
      </c>
      <c r="C193" s="31" t="s">
        <v>53</v>
      </c>
    </row>
    <row r="194" spans="1:5">
      <c r="A194" s="154" t="s">
        <v>311</v>
      </c>
      <c r="B194" s="56">
        <f>V12_Nom/(I_Channel_Design*np)</f>
        <v>0.27499999999999997</v>
      </c>
      <c r="C194" s="31" t="s">
        <v>53</v>
      </c>
    </row>
    <row r="195" spans="1:5">
      <c r="A195" s="154" t="s">
        <v>312</v>
      </c>
      <c r="B195" s="54">
        <f>1/(2*PI()*Zo_Buck_Cout*B194)</f>
        <v>1897.5254019898109</v>
      </c>
      <c r="C195" s="31" t="s">
        <v>83</v>
      </c>
      <c r="E195" s="34" t="s">
        <v>331</v>
      </c>
    </row>
    <row r="196" spans="1:5">
      <c r="A196" s="31" t="s">
        <v>332</v>
      </c>
      <c r="B196" s="93">
        <f>1/(2*PI()*Zo_Buck_Resr*Zo_Buck_Cout)</f>
        <v>52181.948554719776</v>
      </c>
      <c r="C196" s="31" t="s">
        <v>83</v>
      </c>
      <c r="E196" s="34" t="s">
        <v>335</v>
      </c>
    </row>
    <row r="197" spans="1:5">
      <c r="A197" s="153" t="s">
        <v>333</v>
      </c>
      <c r="B197" s="47">
        <f>B173/10</f>
        <v>6600</v>
      </c>
      <c r="C197" s="31" t="s">
        <v>83</v>
      </c>
      <c r="E197" s="34" t="s">
        <v>336</v>
      </c>
    </row>
    <row r="198" spans="1:5">
      <c r="A198" s="154" t="s">
        <v>334</v>
      </c>
      <c r="B198" s="47">
        <f>Design_Converter!B179*1000</f>
        <v>1500</v>
      </c>
      <c r="C198" s="31" t="s">
        <v>83</v>
      </c>
    </row>
    <row r="199" spans="1:5">
      <c r="A199" s="263" t="s">
        <v>305</v>
      </c>
      <c r="B199" s="264"/>
      <c r="C199" s="265"/>
      <c r="D199"/>
    </row>
    <row r="200" spans="1:5">
      <c r="A200" s="31" t="s">
        <v>309</v>
      </c>
      <c r="B200" s="56">
        <f>10^(Compensation!S134/20)</f>
        <v>1.3081461922073883</v>
      </c>
      <c r="C200" s="31" t="s">
        <v>42</v>
      </c>
      <c r="D200"/>
      <c r="E200"/>
    </row>
    <row r="201" spans="1:5">
      <c r="A201" s="31" t="s">
        <v>315</v>
      </c>
      <c r="B201" s="54">
        <f>B195</f>
        <v>1897.5254019898109</v>
      </c>
      <c r="C201" s="31" t="s">
        <v>83</v>
      </c>
      <c r="D201"/>
      <c r="E201"/>
    </row>
    <row r="202" spans="1:5">
      <c r="A202" s="31" t="s">
        <v>317</v>
      </c>
      <c r="B202" s="93">
        <f>IF(B196&gt;(Fsw/2),Fsw/2,B196)</f>
        <v>52181.948554719776</v>
      </c>
      <c r="C202" s="31" t="s">
        <v>83</v>
      </c>
      <c r="D202"/>
      <c r="E202"/>
    </row>
    <row r="203" spans="1:5">
      <c r="A203" s="31" t="s">
        <v>314</v>
      </c>
      <c r="B203" s="56">
        <f>((B193*B198)/(B201*B200))*SQRT(((1+((B198^2)/(B202^2)))/(1+((B198^2)/(B201^2)))))</f>
        <v>12662.670136572819</v>
      </c>
      <c r="C203" s="94" t="s">
        <v>53</v>
      </c>
      <c r="D203"/>
      <c r="E203"/>
    </row>
    <row r="204" spans="1:5">
      <c r="A204" s="154" t="s">
        <v>320</v>
      </c>
      <c r="B204" s="95">
        <f>Design_Converter!B181*1000</f>
        <v>6200</v>
      </c>
      <c r="C204" s="31" t="s">
        <v>53</v>
      </c>
      <c r="D204"/>
      <c r="E204"/>
    </row>
    <row r="205" spans="1:5">
      <c r="A205" s="31" t="s">
        <v>322</v>
      </c>
      <c r="B205" s="47">
        <f>1/(2*PI()*B201*B203)</f>
        <v>6.623800438246347E-9</v>
      </c>
      <c r="C205" s="31" t="s">
        <v>325</v>
      </c>
      <c r="D205"/>
      <c r="E205"/>
    </row>
    <row r="206" spans="1:5">
      <c r="A206" s="154" t="s">
        <v>321</v>
      </c>
      <c r="B206" s="43">
        <f>Design_Converter!B183*(10^-9)</f>
        <v>3.3000000000000004E-8</v>
      </c>
      <c r="C206" s="31" t="s">
        <v>325</v>
      </c>
      <c r="D206"/>
      <c r="E206"/>
    </row>
    <row r="207" spans="1:5">
      <c r="A207" s="31" t="s">
        <v>323</v>
      </c>
      <c r="B207" s="47">
        <f>1/(2*PI()*B202*B203)</f>
        <v>2.4086547048168547E-10</v>
      </c>
      <c r="C207" s="31"/>
      <c r="D207"/>
      <c r="E207"/>
    </row>
    <row r="208" spans="1:5">
      <c r="A208" s="154" t="s">
        <v>324</v>
      </c>
      <c r="B208" s="43">
        <f>Design_Converter!B185*(10^-12)</f>
        <v>3.2999999999999998E-9</v>
      </c>
      <c r="C208" s="31" t="s">
        <v>325</v>
      </c>
      <c r="D208"/>
      <c r="E208"/>
    </row>
    <row r="209" spans="1:5">
      <c r="A209" s="31" t="s">
        <v>329</v>
      </c>
      <c r="B209" s="56">
        <f>1/(2*PI()*B204*B206)/1000</f>
        <v>0.77788339732109146</v>
      </c>
      <c r="C209" s="31" t="s">
        <v>3</v>
      </c>
      <c r="D209"/>
      <c r="E209"/>
    </row>
    <row r="210" spans="1:5">
      <c r="A210" s="31" t="s">
        <v>330</v>
      </c>
      <c r="B210" s="56">
        <f>1/(2*PI()*B204*B208)/1000</f>
        <v>7.7788339732109169</v>
      </c>
      <c r="C210" s="31" t="s">
        <v>3</v>
      </c>
      <c r="D210"/>
      <c r="E210"/>
    </row>
    <row r="211" spans="1:5">
      <c r="B211" s="147"/>
      <c r="D211"/>
      <c r="E211"/>
    </row>
    <row r="212" spans="1:5">
      <c r="A212" s="266" t="s">
        <v>422</v>
      </c>
      <c r="B212" s="266"/>
      <c r="C212" s="266"/>
      <c r="D212"/>
      <c r="E212"/>
    </row>
    <row r="213" spans="1:5">
      <c r="A213" s="157" t="s">
        <v>392</v>
      </c>
      <c r="B213" s="53">
        <f>B78</f>
        <v>14</v>
      </c>
      <c r="C213" s="31" t="s">
        <v>4</v>
      </c>
      <c r="D213"/>
      <c r="E213"/>
    </row>
    <row r="214" spans="1:5">
      <c r="A214" s="31" t="s">
        <v>356</v>
      </c>
      <c r="B214" s="47">
        <f>B213*Rcs*Acs+1</f>
        <v>3.24</v>
      </c>
      <c r="C214" s="31" t="s">
        <v>1</v>
      </c>
      <c r="D214"/>
      <c r="E214"/>
    </row>
    <row r="215" spans="1:5">
      <c r="A215" s="148" t="s">
        <v>563</v>
      </c>
      <c r="B215" s="44">
        <f>B214/1</f>
        <v>3.24</v>
      </c>
      <c r="C215" s="31" t="s">
        <v>39</v>
      </c>
      <c r="D215"/>
      <c r="E215"/>
    </row>
    <row r="216" spans="1:5">
      <c r="A216" s="148" t="s">
        <v>564</v>
      </c>
      <c r="B216" s="43">
        <f>Design_Converter!B167</f>
        <v>4.0199999999999996</v>
      </c>
      <c r="C216" s="31" t="s">
        <v>39</v>
      </c>
      <c r="D216"/>
      <c r="E216"/>
    </row>
    <row r="217" spans="1:5">
      <c r="A217" s="148" t="s">
        <v>565</v>
      </c>
      <c r="B217" s="44">
        <f>(4-B214)/B214*B216</f>
        <v>0.94296296296296256</v>
      </c>
      <c r="C217" s="31" t="s">
        <v>39</v>
      </c>
      <c r="D217">
        <f>IF(B217&lt;0,1,0)</f>
        <v>0</v>
      </c>
      <c r="E217"/>
    </row>
    <row r="218" spans="1:5">
      <c r="A218" s="148" t="s">
        <v>566</v>
      </c>
      <c r="B218" s="43">
        <f>Design_Converter!B169</f>
        <v>1</v>
      </c>
      <c r="C218" s="31" t="s">
        <v>39</v>
      </c>
      <c r="D218"/>
      <c r="E218"/>
    </row>
    <row r="219" spans="1:5">
      <c r="A219" s="31" t="s">
        <v>357</v>
      </c>
      <c r="B219" s="149">
        <f>B190/V12_Nom</f>
        <v>0.60606060606060608</v>
      </c>
      <c r="C219" s="31"/>
      <c r="D219"/>
      <c r="E219"/>
    </row>
    <row r="220" spans="1:5">
      <c r="A220" s="31" t="s">
        <v>571</v>
      </c>
      <c r="B220" s="56">
        <f>V12_Nom/(I_Channel_Design*np)</f>
        <v>0.27499999999999997</v>
      </c>
      <c r="C220" s="31" t="s">
        <v>53</v>
      </c>
      <c r="D220"/>
      <c r="E220"/>
    </row>
    <row r="221" spans="1:5">
      <c r="A221" s="31" t="s">
        <v>360</v>
      </c>
      <c r="B221" s="56">
        <f>20*LOG(np*B220/Acs/Rcs)</f>
        <v>4.7042542234867559</v>
      </c>
      <c r="C221" s="31" t="s">
        <v>310</v>
      </c>
      <c r="D221"/>
      <c r="E221" t="s">
        <v>572</v>
      </c>
    </row>
    <row r="222" spans="1:5">
      <c r="A222" s="31" t="s">
        <v>358</v>
      </c>
      <c r="B222" s="149">
        <f>1/(2*PI()*Zo_Buck_Cout*(B220+Design_Converter!B61/1000))</f>
        <v>1830.9455633235016</v>
      </c>
      <c r="C222" s="31" t="s">
        <v>83</v>
      </c>
      <c r="D222"/>
      <c r="E222"/>
    </row>
    <row r="223" spans="1:5">
      <c r="A223" s="31" t="s">
        <v>359</v>
      </c>
      <c r="B223" s="149">
        <f>B221-20*LOG(B198/B222)</f>
        <v>6.4359376881049117</v>
      </c>
      <c r="C223" s="31" t="s">
        <v>310</v>
      </c>
      <c r="D223"/>
      <c r="E223"/>
    </row>
    <row r="224" spans="1:5">
      <c r="A224" s="31" t="s">
        <v>361</v>
      </c>
      <c r="B224" s="149">
        <f>10^(-B223/20)*B193/1000/(B216/(B216+B218))</f>
        <v>15.892493446681911</v>
      </c>
      <c r="C224" s="31" t="s">
        <v>39</v>
      </c>
      <c r="D224"/>
      <c r="E224"/>
    </row>
    <row r="225" spans="1:5">
      <c r="A225" s="31" t="s">
        <v>362</v>
      </c>
      <c r="B225" s="43">
        <f>Design_Converter!B181</f>
        <v>6.2</v>
      </c>
      <c r="C225" s="31" t="s">
        <v>39</v>
      </c>
      <c r="D225"/>
      <c r="E225"/>
    </row>
    <row r="226" spans="1:5">
      <c r="A226" s="31" t="s">
        <v>363</v>
      </c>
      <c r="B226" s="149">
        <f>1/(2*PI()*B225*1000*B222)*1000000000</f>
        <v>14.020161290322578</v>
      </c>
      <c r="C226" s="31" t="s">
        <v>40</v>
      </c>
      <c r="D226"/>
      <c r="E226"/>
    </row>
    <row r="227" spans="1:5">
      <c r="A227" s="31" t="s">
        <v>364</v>
      </c>
      <c r="B227" s="43">
        <f>Design_Converter!B183</f>
        <v>33</v>
      </c>
      <c r="C227" s="31" t="s">
        <v>40</v>
      </c>
      <c r="D227"/>
      <c r="E227"/>
    </row>
    <row r="228" spans="1:5">
      <c r="A228" s="31" t="s">
        <v>365</v>
      </c>
      <c r="B228" s="149">
        <f>MIN(1/(2*PI()*(B198)*5*B225*1000)*(10^12),B227*100)</f>
        <v>3300</v>
      </c>
      <c r="C228" s="31" t="s">
        <v>367</v>
      </c>
      <c r="D228"/>
      <c r="E228"/>
    </row>
    <row r="229" spans="1:5">
      <c r="A229" s="31" t="s">
        <v>366</v>
      </c>
      <c r="B229" s="43">
        <f>Design_Converter!B185</f>
        <v>3300</v>
      </c>
      <c r="C229" s="31" t="s">
        <v>367</v>
      </c>
      <c r="D229"/>
      <c r="E229"/>
    </row>
    <row r="230" spans="1:5">
      <c r="A230" s="31" t="s">
        <v>329</v>
      </c>
      <c r="B230" s="149">
        <f>1/(2*PI()*B225*1000*B227*10^-9)/1000</f>
        <v>0.77788339732109146</v>
      </c>
      <c r="C230" s="31" t="s">
        <v>3</v>
      </c>
      <c r="D230"/>
      <c r="E230"/>
    </row>
    <row r="231" spans="1:5">
      <c r="A231" s="31" t="s">
        <v>330</v>
      </c>
      <c r="B231" s="149">
        <f>1/(2*PI()*B225*1000*B229*10^-12)/1000</f>
        <v>7.7788339732109151</v>
      </c>
      <c r="C231" s="31" t="s">
        <v>3</v>
      </c>
      <c r="D231"/>
      <c r="E231"/>
    </row>
    <row r="232" spans="1:5">
      <c r="B232" s="150"/>
      <c r="E232"/>
    </row>
    <row r="233" spans="1:5">
      <c r="A233" s="266" t="s">
        <v>424</v>
      </c>
      <c r="B233" s="266"/>
      <c r="C233" s="266"/>
    </row>
    <row r="234" spans="1:5">
      <c r="A234" s="154" t="s">
        <v>327</v>
      </c>
      <c r="B234" s="43">
        <f>Design_Converter!B192</f>
        <v>3.5</v>
      </c>
      <c r="C234" s="31" t="s">
        <v>1</v>
      </c>
    </row>
    <row r="235" spans="1:5">
      <c r="A235" s="154" t="s">
        <v>319</v>
      </c>
      <c r="B235" s="43">
        <f>Design_Converter!B193*1000</f>
        <v>10000</v>
      </c>
      <c r="C235" s="31" t="s">
        <v>53</v>
      </c>
    </row>
    <row r="236" spans="1:5">
      <c r="A236" s="154" t="s">
        <v>328</v>
      </c>
      <c r="B236" s="47">
        <f>(B235*V48_Nom/B234)-B235</f>
        <v>24285.714285714283</v>
      </c>
      <c r="C236" s="31" t="s">
        <v>53</v>
      </c>
    </row>
    <row r="237" spans="1:5">
      <c r="A237" s="154" t="s">
        <v>318</v>
      </c>
      <c r="B237" s="43">
        <f>Design_Converter!B195*1000</f>
        <v>24000</v>
      </c>
      <c r="C237" s="31" t="s">
        <v>53</v>
      </c>
    </row>
    <row r="238" spans="1:5">
      <c r="A238" s="154" t="s">
        <v>311</v>
      </c>
      <c r="B238" s="56">
        <f>V48_Nom/Design_Converter!B27</f>
        <v>2.4</v>
      </c>
      <c r="C238" s="31" t="s">
        <v>53</v>
      </c>
      <c r="E238" s="34" t="s">
        <v>307</v>
      </c>
    </row>
    <row r="239" spans="1:5">
      <c r="A239" s="154" t="s">
        <v>302</v>
      </c>
      <c r="B239" s="93">
        <f>2/(((V48_Nom^2)/(V12_Min*B28*np))*(2*PI()*Zo_Boost_Cout))</f>
        <v>248.67959858108651</v>
      </c>
      <c r="C239" s="31" t="s">
        <v>83</v>
      </c>
      <c r="E239" s="34" t="s">
        <v>306</v>
      </c>
    </row>
    <row r="240" spans="1:5">
      <c r="A240" s="154" t="s">
        <v>301</v>
      </c>
      <c r="B240" s="93">
        <f>(((V12_Min/V48_Nom)^2)*B238)/(2*PI()*(Lm/np))</f>
        <v>8841.9412828830737</v>
      </c>
      <c r="C240" s="31" t="s">
        <v>83</v>
      </c>
      <c r="E240" s="34" t="s">
        <v>306</v>
      </c>
    </row>
    <row r="241" spans="1:5">
      <c r="A241" s="154" t="s">
        <v>304</v>
      </c>
      <c r="B241" s="56">
        <f>MIN(B240/5, B173/10)</f>
        <v>1768.3882565766148</v>
      </c>
      <c r="C241" s="31" t="s">
        <v>83</v>
      </c>
      <c r="E241" s="34" t="s">
        <v>313</v>
      </c>
    </row>
    <row r="242" spans="1:5">
      <c r="A242" s="154" t="s">
        <v>303</v>
      </c>
      <c r="B242" s="43">
        <f>Design_Converter!B197*1000</f>
        <v>1800</v>
      </c>
      <c r="C242" s="31" t="s">
        <v>83</v>
      </c>
    </row>
    <row r="243" spans="1:5">
      <c r="A243" s="263" t="s">
        <v>305</v>
      </c>
      <c r="B243" s="264"/>
      <c r="C243" s="265"/>
    </row>
    <row r="244" spans="1:5">
      <c r="A244" s="31" t="s">
        <v>309</v>
      </c>
      <c r="B244" s="56">
        <f>10^(Compensation!S224/20)</f>
        <v>0.4298859235663498</v>
      </c>
      <c r="C244" s="31" t="s">
        <v>310</v>
      </c>
      <c r="E244" s="34" t="s">
        <v>316</v>
      </c>
    </row>
    <row r="245" spans="1:5">
      <c r="A245" s="31" t="s">
        <v>315</v>
      </c>
      <c r="B245" s="56">
        <f>2/(2*PI()*B238*Zo_Boost_Cout)</f>
        <v>414.46599763514411</v>
      </c>
      <c r="C245" s="31" t="s">
        <v>83</v>
      </c>
    </row>
    <row r="246" spans="1:5">
      <c r="A246" s="31" t="s">
        <v>317</v>
      </c>
      <c r="B246" s="47">
        <f>Fsw/2</f>
        <v>207500</v>
      </c>
      <c r="C246" s="31" t="s">
        <v>83</v>
      </c>
    </row>
    <row r="247" spans="1:5">
      <c r="A247" s="31" t="s">
        <v>314</v>
      </c>
      <c r="B247" s="56">
        <f>((B237*B242)/(B244*B245))*SQRT((1+((B242/B246)^2))/(1+((B242/B245)^2)))</f>
        <v>54407.180605415037</v>
      </c>
      <c r="C247" s="31" t="s">
        <v>53</v>
      </c>
    </row>
    <row r="248" spans="1:5">
      <c r="A248" s="154" t="s">
        <v>320</v>
      </c>
      <c r="B248" s="43">
        <f>Design_Converter!B199*1000</f>
        <v>68000</v>
      </c>
      <c r="C248" s="31" t="s">
        <v>53</v>
      </c>
      <c r="D248"/>
      <c r="E248"/>
    </row>
    <row r="249" spans="1:5">
      <c r="A249" s="31" t="s">
        <v>322</v>
      </c>
      <c r="B249" s="47">
        <f>1/(2*PI()*B247*B245)</f>
        <v>7.0578919129248415E-9</v>
      </c>
      <c r="C249" s="31" t="s">
        <v>325</v>
      </c>
      <c r="D249"/>
      <c r="E249"/>
    </row>
    <row r="250" spans="1:5">
      <c r="A250" s="154" t="s">
        <v>321</v>
      </c>
      <c r="B250" s="43">
        <f>Design_Converter!B201*(10^-9)</f>
        <v>1E-8</v>
      </c>
      <c r="C250" s="31" t="s">
        <v>325</v>
      </c>
      <c r="D250"/>
      <c r="E250"/>
    </row>
    <row r="251" spans="1:5">
      <c r="A251" s="31" t="s">
        <v>323</v>
      </c>
      <c r="B251" s="47">
        <f>1/(2*PI()*B247*B246)</f>
        <v>1.4097620303091133E-11</v>
      </c>
      <c r="C251" s="31" t="s">
        <v>325</v>
      </c>
      <c r="D251"/>
      <c r="E251"/>
    </row>
    <row r="252" spans="1:5">
      <c r="A252" s="154" t="s">
        <v>324</v>
      </c>
      <c r="B252" s="43">
        <f>Design_Converter!B203*(10^-12)</f>
        <v>1E-10</v>
      </c>
      <c r="C252" s="31" t="s">
        <v>325</v>
      </c>
      <c r="D252"/>
      <c r="E252"/>
    </row>
    <row r="253" spans="1:5">
      <c r="A253" s="31" t="s">
        <v>329</v>
      </c>
      <c r="B253" s="54">
        <f>1/(2*PI()*B248*B250)</f>
        <v>234.05138689984611</v>
      </c>
      <c r="C253" s="31" t="s">
        <v>83</v>
      </c>
      <c r="D253"/>
      <c r="E253"/>
    </row>
    <row r="254" spans="1:5">
      <c r="A254" s="31" t="s">
        <v>330</v>
      </c>
      <c r="B254" s="93">
        <f>1/(2*PI()*B248*B252)</f>
        <v>23405.138689984607</v>
      </c>
      <c r="C254" s="31" t="s">
        <v>83</v>
      </c>
    </row>
    <row r="255" spans="1:5">
      <c r="D255"/>
      <c r="E255"/>
    </row>
    <row r="256" spans="1:5">
      <c r="A256" s="266" t="s">
        <v>425</v>
      </c>
      <c r="B256" s="266"/>
      <c r="C256" s="266"/>
      <c r="D256"/>
      <c r="E256"/>
    </row>
    <row r="257" spans="1:5">
      <c r="A257" s="148" t="s">
        <v>562</v>
      </c>
      <c r="B257" s="43">
        <f>Design_Converter!B169</f>
        <v>1</v>
      </c>
      <c r="C257" s="31" t="s">
        <v>39</v>
      </c>
      <c r="D257"/>
      <c r="E257"/>
    </row>
    <row r="258" spans="1:5">
      <c r="A258" s="148" t="s">
        <v>564</v>
      </c>
      <c r="B258" s="43">
        <f>Design_Converter!B167</f>
        <v>4.0199999999999996</v>
      </c>
      <c r="C258" s="31" t="s">
        <v>39</v>
      </c>
      <c r="D258"/>
      <c r="E258"/>
    </row>
    <row r="259" spans="1:5">
      <c r="A259" s="31" t="s">
        <v>357</v>
      </c>
      <c r="B259" s="149">
        <f>B234/V48_Nom</f>
        <v>0.29166666666666669</v>
      </c>
      <c r="C259" s="31"/>
      <c r="D259"/>
      <c r="E259"/>
    </row>
    <row r="260" spans="1:5">
      <c r="A260" s="31" t="s">
        <v>311</v>
      </c>
      <c r="B260" s="56">
        <f>V48_Nom/Design_Converter!B27</f>
        <v>2.4</v>
      </c>
      <c r="C260" s="31" t="s">
        <v>53</v>
      </c>
      <c r="D260"/>
      <c r="E260"/>
    </row>
    <row r="261" spans="1:5">
      <c r="A261" s="31" t="s">
        <v>360</v>
      </c>
      <c r="B261" s="56">
        <f>20*LOG(np*B260/Acs/Rcs*V12_Min/V48_Nom)</f>
        <v>11.480625354554377</v>
      </c>
      <c r="C261" s="31" t="s">
        <v>310</v>
      </c>
      <c r="D261"/>
      <c r="E261"/>
    </row>
    <row r="262" spans="1:5">
      <c r="A262" s="31" t="s">
        <v>358</v>
      </c>
      <c r="B262" s="149">
        <f>1/(2*PI()*Zo_Boost_Cout*(B260+Design_Converter!B64/1000))</f>
        <v>206.37311085567345</v>
      </c>
      <c r="C262" s="31" t="s">
        <v>83</v>
      </c>
      <c r="D262"/>
      <c r="E262"/>
    </row>
    <row r="263" spans="1:5">
      <c r="A263" s="31" t="s">
        <v>359</v>
      </c>
      <c r="B263" s="149">
        <f>B261-20*LOG(B242/B262)</f>
        <v>-7.331762532569531</v>
      </c>
      <c r="C263" s="31" t="s">
        <v>310</v>
      </c>
      <c r="D263"/>
      <c r="E263"/>
    </row>
    <row r="264" spans="1:5">
      <c r="A264" s="31" t="s">
        <v>361</v>
      </c>
      <c r="B264" s="149">
        <f>10^(-B263/20)*B237/1000/(B216/(B216+B218))</f>
        <v>69.707102742913207</v>
      </c>
      <c r="C264" s="31" t="s">
        <v>39</v>
      </c>
      <c r="D264"/>
      <c r="E264"/>
    </row>
    <row r="265" spans="1:5">
      <c r="A265" s="31" t="s">
        <v>362</v>
      </c>
      <c r="B265" s="43">
        <f>Design_Converter!B199</f>
        <v>68</v>
      </c>
      <c r="C265" s="31" t="s">
        <v>39</v>
      </c>
      <c r="D265"/>
      <c r="E265"/>
    </row>
    <row r="266" spans="1:5">
      <c r="A266" s="31" t="s">
        <v>363</v>
      </c>
      <c r="B266" s="149">
        <f>1/(2*PI()*B265*1000*B262)*1000000000</f>
        <v>11.341176470588232</v>
      </c>
      <c r="C266" s="31" t="s">
        <v>40</v>
      </c>
      <c r="D266"/>
      <c r="E266"/>
    </row>
    <row r="267" spans="1:5">
      <c r="A267" s="31" t="s">
        <v>364</v>
      </c>
      <c r="B267" s="43">
        <f>Design_Converter!B201</f>
        <v>10</v>
      </c>
      <c r="C267" s="31" t="s">
        <v>40</v>
      </c>
      <c r="D267"/>
      <c r="E267"/>
    </row>
    <row r="268" spans="1:5">
      <c r="A268" s="31" t="s">
        <v>365</v>
      </c>
      <c r="B268" s="149">
        <f>MIN(B267*10,1000000000000/(2*PI()*B265*1000*B240))</f>
        <v>100</v>
      </c>
      <c r="C268" s="31" t="s">
        <v>367</v>
      </c>
      <c r="D268"/>
      <c r="E268">
        <f>MAX(B267*20,1000000000000/(2*PI()*B265*1000*B240))</f>
        <v>264.70588235294116</v>
      </c>
    </row>
    <row r="269" spans="1:5">
      <c r="A269" s="31" t="s">
        <v>366</v>
      </c>
      <c r="B269" s="43">
        <f>Design_Converter!B203</f>
        <v>100</v>
      </c>
      <c r="C269" s="31" t="s">
        <v>367</v>
      </c>
      <c r="D269"/>
      <c r="E269"/>
    </row>
    <row r="270" spans="1:5">
      <c r="A270" s="31" t="s">
        <v>329</v>
      </c>
      <c r="B270" s="149">
        <f>1/(2*PI()*B265*1000*B267*10^-9)/1000</f>
        <v>0.23405138689984606</v>
      </c>
      <c r="C270" s="31" t="s">
        <v>3</v>
      </c>
      <c r="D270"/>
      <c r="E270"/>
    </row>
    <row r="271" spans="1:5">
      <c r="A271" s="31" t="s">
        <v>330</v>
      </c>
      <c r="B271" s="149">
        <f>1/(2*PI()*B265*1000*B269*10^-12)/1000</f>
        <v>23.405138689984604</v>
      </c>
      <c r="C271" s="31" t="s">
        <v>3</v>
      </c>
    </row>
    <row r="272" spans="1:5">
      <c r="D272"/>
      <c r="E272"/>
    </row>
    <row r="273" spans="4:5">
      <c r="D273"/>
      <c r="E273"/>
    </row>
    <row r="274" spans="4:5">
      <c r="D274"/>
      <c r="E274"/>
    </row>
  </sheetData>
  <mergeCells count="28">
    <mergeCell ref="A256:C256"/>
    <mergeCell ref="A212:C212"/>
    <mergeCell ref="A233:C233"/>
    <mergeCell ref="A189:C189"/>
    <mergeCell ref="A199:C199"/>
    <mergeCell ref="A243:C243"/>
    <mergeCell ref="A138:C138"/>
    <mergeCell ref="A150:C150"/>
    <mergeCell ref="A167:C167"/>
    <mergeCell ref="A129:C129"/>
    <mergeCell ref="A114:C114"/>
    <mergeCell ref="A159:C159"/>
    <mergeCell ref="A163:C163"/>
    <mergeCell ref="A103:C103"/>
    <mergeCell ref="A90:C90"/>
    <mergeCell ref="AD58:AO58"/>
    <mergeCell ref="A14:C14"/>
    <mergeCell ref="A6:C6"/>
    <mergeCell ref="A10:C10"/>
    <mergeCell ref="A68:C68"/>
    <mergeCell ref="A45:C45"/>
    <mergeCell ref="A21:C21"/>
    <mergeCell ref="AB4:AE4"/>
    <mergeCell ref="AF4:AI4"/>
    <mergeCell ref="AJ4:AM4"/>
    <mergeCell ref="P4:S4"/>
    <mergeCell ref="T4:W4"/>
    <mergeCell ref="X4:AA4"/>
  </mergeCells>
  <phoneticPr fontId="24"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T228"/>
  <sheetViews>
    <sheetView zoomScale="85" zoomScaleNormal="85" workbookViewId="0">
      <selection activeCell="AF223" sqref="AF223"/>
    </sheetView>
  </sheetViews>
  <sheetFormatPr defaultRowHeight="14.4"/>
  <cols>
    <col min="1" max="1" width="27.44140625" customWidth="1"/>
    <col min="2" max="2" width="11.6640625" customWidth="1"/>
    <col min="3" max="3" width="12" customWidth="1"/>
    <col min="4" max="4" width="11.88671875" customWidth="1"/>
    <col min="7" max="7" width="10.44140625" customWidth="1"/>
    <col min="8" max="8" width="9.44140625" customWidth="1"/>
    <col min="10" max="10" width="17.44140625" customWidth="1"/>
    <col min="13" max="13" width="16.33203125" customWidth="1"/>
    <col min="14" max="14" width="16" bestFit="1" customWidth="1"/>
    <col min="15" max="15" width="13.88671875" customWidth="1"/>
    <col min="18" max="18" width="17.44140625" customWidth="1"/>
    <col min="21" max="21" width="12" customWidth="1"/>
    <col min="24" max="24" width="11.88671875" customWidth="1"/>
    <col min="25" max="25" width="10.44140625" customWidth="1"/>
    <col min="33" max="33" width="13.44140625" bestFit="1" customWidth="1"/>
  </cols>
  <sheetData>
    <row r="3" spans="1:31">
      <c r="B3" t="s">
        <v>231</v>
      </c>
    </row>
    <row r="4" spans="1:31">
      <c r="B4" t="s">
        <v>232</v>
      </c>
    </row>
    <row r="5" spans="1:31">
      <c r="B5" s="267" t="s">
        <v>33</v>
      </c>
      <c r="C5" s="267"/>
      <c r="D5" s="258" t="s">
        <v>233</v>
      </c>
      <c r="E5" s="258"/>
      <c r="F5" s="258"/>
      <c r="G5" s="258" t="s">
        <v>237</v>
      </c>
      <c r="H5" s="258"/>
      <c r="I5" s="258"/>
      <c r="J5" s="258" t="s">
        <v>238</v>
      </c>
      <c r="K5" s="258"/>
      <c r="L5" s="258"/>
    </row>
    <row r="6" spans="1:31">
      <c r="B6" s="267"/>
      <c r="C6" s="267"/>
      <c r="D6" s="258"/>
      <c r="E6" s="258"/>
      <c r="F6" s="258"/>
      <c r="G6" s="258"/>
      <c r="H6" s="258"/>
      <c r="I6" s="258"/>
      <c r="J6" s="258"/>
      <c r="K6" s="258"/>
      <c r="L6" s="258"/>
    </row>
    <row r="7" spans="1:31" s="2" customFormat="1" ht="28.8">
      <c r="B7" s="61" t="s">
        <v>35</v>
      </c>
      <c r="C7" s="61" t="s">
        <v>34</v>
      </c>
      <c r="D7" s="62" t="s">
        <v>234</v>
      </c>
      <c r="E7" s="62" t="s">
        <v>235</v>
      </c>
      <c r="F7" s="62" t="s">
        <v>236</v>
      </c>
      <c r="G7" s="62" t="s">
        <v>234</v>
      </c>
      <c r="H7" s="62" t="s">
        <v>235</v>
      </c>
      <c r="I7" s="62" t="s">
        <v>236</v>
      </c>
      <c r="J7" s="62" t="s">
        <v>234</v>
      </c>
      <c r="K7" s="62" t="s">
        <v>235</v>
      </c>
      <c r="L7" s="62" t="s">
        <v>236</v>
      </c>
    </row>
    <row r="8" spans="1:31">
      <c r="A8">
        <v>0</v>
      </c>
      <c r="B8" s="1">
        <f>10^A8</f>
        <v>1</v>
      </c>
      <c r="C8" s="1">
        <f>2*PI()*B8</f>
        <v>6.2831853071795862</v>
      </c>
      <c r="D8" s="63" t="str">
        <f>IMPRODUCT(COMPLEX(1/(Kff*(Rcs+Rs)),0),IMDIV(COMPLEX(1,0),COMPLEX(1,(C8*Lm)/(Rcs+Rs))))</f>
        <v>2285,71092947823-2,76972659907893i</v>
      </c>
      <c r="E8" s="1">
        <f>20*LOG10(IMABS(D8))</f>
        <v>67.180432475851433</v>
      </c>
      <c r="F8" s="1">
        <f>IMARGUMENT(D8)*(180/PI())</f>
        <v>-6.9428537446661429E-2</v>
      </c>
      <c r="G8" s="1" t="str">
        <f>IMPRODUCT(COMPLEX(-(gm*Acs*Rcs)/(IL_Comp_Ccomp+IL_Comp_Chf),0),IMDIV(COMPLEX(1,C8*IL_Comp_Rcomp*IL_Comp_Ccomp),IMPRODUCT(COMPLEX(0,C8),COMPLEX(1,C8*IL_Comp_Rcomp*((IL_Comp_Ccomp*IL_Comp_Chf)/(IL_Comp_Ccomp+IL_Comp_Chf))))))</f>
        <v>-0,0314849282626287+354,169553633451i</v>
      </c>
      <c r="H8" s="1">
        <f>20*LOG(IMABS(G8))</f>
        <v>50.984224516556992</v>
      </c>
      <c r="I8" s="1">
        <f>IMARGUMENT(G8)*(180/PI())</f>
        <v>90.005093474253954</v>
      </c>
      <c r="J8" s="1" t="str">
        <f>IMPRODUCT(D8,G8)</f>
        <v>908,987388638752+809529,306833048i</v>
      </c>
      <c r="K8" s="1">
        <f>20*LOG(IMABS(J8))</f>
        <v>118.16465699240842</v>
      </c>
      <c r="L8" s="1">
        <f>IMARGUMENT(J8)*(180/PI())</f>
        <v>89.935664936807299</v>
      </c>
      <c r="AB8" t="s">
        <v>83</v>
      </c>
      <c r="AC8" t="s">
        <v>250</v>
      </c>
      <c r="AD8" t="s">
        <v>251</v>
      </c>
      <c r="AE8" t="s">
        <v>235</v>
      </c>
    </row>
    <row r="9" spans="1:31">
      <c r="A9" s="102">
        <f>1/9</f>
        <v>0.1111111111111111</v>
      </c>
      <c r="B9" s="1">
        <f t="shared" ref="B9:B62" si="0">10^A9</f>
        <v>1.2915496650148839</v>
      </c>
      <c r="C9" s="1">
        <f t="shared" ref="C9:C62" si="1">2*PI()*B9</f>
        <v>8.1150458787142341</v>
      </c>
      <c r="D9" s="63" t="str">
        <f t="shared" ref="D9:D39" si="2">IMPRODUCT(COMPLEX(1/(Kff*(Rcs+Rs)),0),IMDIV(COMPLEX(1,0),COMPLEX(1,(C9*Lm)/(Rcs+Rs))))</f>
        <v>2285,70868718061-3,57723595192753i</v>
      </c>
      <c r="E9" s="1">
        <f t="shared" ref="E9:E62" si="3">20*LOG10(IMABS(D9))</f>
        <v>67.180428215391601</v>
      </c>
      <c r="F9" s="1">
        <f t="shared" ref="F9:F62" si="4">IMARGUMENT(D9)*(180/PI())</f>
        <v>-8.9670374959271243E-2</v>
      </c>
      <c r="G9" s="1" t="str">
        <f t="shared" ref="G9:G39" si="5">IMPRODUCT(COMPLEX(-(gm*Acs*Rcs)/(IL_Comp_Ccomp+IL_Comp_Chf),0),IMDIV(COMPLEX(1,C9*IL_Comp_Rcomp*IL_Comp_Ccomp),IMPRODUCT(COMPLEX(0,C9),COMPLEX(1,C9*IL_Comp_Rcomp*((IL_Comp_Ccomp*IL_Comp_Chf)/(IL_Comp_Ccomp+IL_Comp_Chf))))))</f>
        <v>-0,031484928262082+274,220622972806i</v>
      </c>
      <c r="H9" s="1">
        <f t="shared" ref="H9:H62" si="6">20*LOG(IMABS(G9))</f>
        <v>48.762002319895288</v>
      </c>
      <c r="I9" s="1">
        <f t="shared" ref="I9:I62" si="7">IMARGUMENT(G9)*(180/PI())</f>
        <v>90.006578474952789</v>
      </c>
      <c r="J9" s="1" t="str">
        <f t="shared" ref="J9:J62" si="8">IMPRODUCT(D9,G9)</f>
        <v>908,986497214387+626788,572762039i</v>
      </c>
      <c r="K9" s="1">
        <f t="shared" ref="K9:K62" si="9">20*LOG(IMABS(J9))</f>
        <v>115.94243053528687</v>
      </c>
      <c r="L9" s="1">
        <f t="shared" ref="L9:L62" si="10">IMARGUMENT(J9)*(180/PI())</f>
        <v>89.91690809999352</v>
      </c>
      <c r="Z9" t="s">
        <v>247</v>
      </c>
      <c r="AB9">
        <f>Calculations!B170*1000</f>
        <v>825.24785306908689</v>
      </c>
      <c r="AC9">
        <f>2*PI()*AB9</f>
        <v>5185.1851851851843</v>
      </c>
      <c r="AD9" t="str">
        <f>IMPRODUCT(IMPRODUCT(COMPLEX(1/(Kff*(Rcs+(Calculations!$B$168/1000))),0),IMDIV(COMPLEX(1,0),COMPLEX(1,(AC9*Lm)/(Rcs+(Calculations!$B$168/1000))))),IMPRODUCT(COMPLEX(-(gm*Acs*Rcs)/(IL_Comp_Ccomp+IL_Comp_Chf),0),IMDIV(COMPLEX(1,AC9*IL_Comp_Rcomp*IL_Comp_Ccomp),IMPRODUCT(COMPLEX(0,AC9),COMPLEX(1,AC9*IL_Comp_Rcomp*((IL_Comp_Ccomp*IL_Comp_Chf)/(IL_Comp_Ccomp+IL_Comp_Chf)))))))</f>
        <v>454,646395915885+526,610672200954i</v>
      </c>
      <c r="AE9">
        <f>20*LOG10(IMABS(AD9))</f>
        <v>56.848652323116312</v>
      </c>
    </row>
    <row r="10" spans="1:31">
      <c r="A10" s="102">
        <f>2/9</f>
        <v>0.22222222222222221</v>
      </c>
      <c r="B10" s="1">
        <f t="shared" si="0"/>
        <v>1.6681005372000588</v>
      </c>
      <c r="C10" s="1">
        <f t="shared" si="1"/>
        <v>10.480984786233785</v>
      </c>
      <c r="D10" s="63" t="str">
        <f t="shared" si="2"/>
        <v>2285,70494681254-4,62017033486259i</v>
      </c>
      <c r="E10" s="1">
        <f t="shared" si="3"/>
        <v>67.180421108525564</v>
      </c>
      <c r="F10" s="1">
        <f t="shared" si="4"/>
        <v>-0.11581367956722648</v>
      </c>
      <c r="G10" s="1" t="str">
        <f t="shared" si="5"/>
        <v>-0,0314849282611698+212,319069517286i</v>
      </c>
      <c r="H10" s="1">
        <f t="shared" si="6"/>
        <v>46.53978014031054</v>
      </c>
      <c r="I10" s="1">
        <f t="shared" si="7"/>
        <v>90.008496427092084</v>
      </c>
      <c r="J10" s="1" t="str">
        <f t="shared" si="8"/>
        <v>908,985010232799+485298,892964028i</v>
      </c>
      <c r="K10" s="1">
        <f t="shared" si="9"/>
        <v>113.72020124883612</v>
      </c>
      <c r="L10" s="1">
        <f t="shared" si="10"/>
        <v>89.892682747524859</v>
      </c>
      <c r="Z10" t="s">
        <v>248</v>
      </c>
      <c r="AB10">
        <f>Calculations!B182*1000</f>
        <v>10638.699404538456</v>
      </c>
      <c r="AC10">
        <f>2*PI()*AB10</f>
        <v>66844.919786096245</v>
      </c>
      <c r="AD10" t="str">
        <f>IMPRODUCT(IMPRODUCT(COMPLEX(1/(Kff*(Rcs+(Calculations!$B$168/1000))),0),IMDIV(COMPLEX(1,0),COMPLEX(1,(AC10*Lm)/(Rcs+(Calculations!$B$168/1000))))),IMPRODUCT(COMPLEX(-(gm*Acs*Rcs)/(IL_Comp_Ccomp+IL_Comp_Chf),0),IMDIV(COMPLEX(1,AC10*IL_Comp_Rcomp*IL_Comp_Ccomp),IMPRODUCT(COMPLEX(0,AC10),COMPLEX(1,AC10*IL_Comp_Rcomp*((IL_Comp_Ccomp*IL_Comp_Chf)/(IL_Comp_Ccomp+IL_Comp_Chf)))))))</f>
        <v>5,73818740803205+6,0111314046263i</v>
      </c>
      <c r="AE10">
        <f>20*LOG10(IMABS(AD10))</f>
        <v>18.392296899889597</v>
      </c>
    </row>
    <row r="11" spans="1:31">
      <c r="A11" s="102">
        <f>3/9</f>
        <v>0.33333333333333331</v>
      </c>
      <c r="B11" s="1">
        <f t="shared" si="0"/>
        <v>2.1544346900318838</v>
      </c>
      <c r="C11" s="1">
        <f t="shared" si="1"/>
        <v>13.536712389686338</v>
      </c>
      <c r="D11" s="63" t="str">
        <f t="shared" si="2"/>
        <v>2285,69870752979-5,9671631597095i</v>
      </c>
      <c r="E11" s="1">
        <f t="shared" si="3"/>
        <v>67.180409253584401</v>
      </c>
      <c r="F11" s="1">
        <f t="shared" si="4"/>
        <v>-0.14957898294706062</v>
      </c>
      <c r="G11" s="1" t="str">
        <f t="shared" si="5"/>
        <v>-0,0314849282596486+164,390944806402i</v>
      </c>
      <c r="H11" s="1">
        <f t="shared" si="6"/>
        <v>44.317557989211984</v>
      </c>
      <c r="I11" s="1">
        <f t="shared" si="7"/>
        <v>90.010973557501089</v>
      </c>
      <c r="J11" s="1" t="str">
        <f t="shared" si="8"/>
        <v>908,982529808853+375748,357949298i</v>
      </c>
      <c r="K11" s="1">
        <f t="shared" si="9"/>
        <v>111.49796724279639</v>
      </c>
      <c r="L11" s="1">
        <f t="shared" si="10"/>
        <v>89.861394574554041</v>
      </c>
      <c r="Z11" t="s">
        <v>249</v>
      </c>
      <c r="AB11">
        <f>Calculations!B183*1000</f>
        <v>185495.27166887565</v>
      </c>
      <c r="AC11">
        <f>2*PI()*AB11</f>
        <v>1165501.1655011652</v>
      </c>
      <c r="AD11" t="str">
        <f>IMPRODUCT(IMPRODUCT(COMPLEX(1/(Kff*(Rcs+(Calculations!$B$168/1000))),0),IMDIV(COMPLEX(1,0),COMPLEX(1,(AC11*Lm)/(Rcs+(Calculations!$B$168/1000))))),IMPRODUCT(COMPLEX(-(gm*Acs*Rcs)/(IL_Comp_Ccomp+IL_Comp_Chf),0),IMDIV(COMPLEX(1,AC11*IL_Comp_Rcomp*IL_Comp_Ccomp),IMPRODUCT(COMPLEX(0,AC11),COMPLEX(1,AC11*IL_Comp_Rcomp*((IL_Comp_Ccomp*IL_Comp_Chf)/(IL_Comp_Ccomp+IL_Comp_Chf)))))))</f>
        <v>0,178494995358835+0,169795848010132i</v>
      </c>
      <c r="AE11">
        <f>20*LOG10(IMABS(AD11))</f>
        <v>-12.168750384838303</v>
      </c>
    </row>
    <row r="12" spans="1:31">
      <c r="A12" s="102">
        <f>4/9</f>
        <v>0.44444444444444442</v>
      </c>
      <c r="B12" s="1">
        <f t="shared" si="0"/>
        <v>2.7825594022071245</v>
      </c>
      <c r="C12" s="1">
        <f t="shared" si="1"/>
        <v>17.483336352302217</v>
      </c>
      <c r="D12" s="63" t="str">
        <f t="shared" si="2"/>
        <v>2285,68829985468-7,70685248755567i</v>
      </c>
      <c r="E12" s="1">
        <f t="shared" si="3"/>
        <v>67.180389478422669</v>
      </c>
      <c r="F12" s="1">
        <f t="shared" si="4"/>
        <v>-0.19318839209667193</v>
      </c>
      <c r="G12" s="1" t="str">
        <f t="shared" si="5"/>
        <v>-0,0314849282571104+127,281938504136i</v>
      </c>
      <c r="H12" s="1">
        <f t="shared" si="6"/>
        <v>42.095335885631087</v>
      </c>
      <c r="I12" s="1">
        <f t="shared" si="7"/>
        <v>90.014172894377722</v>
      </c>
      <c r="J12" s="1" t="str">
        <f t="shared" si="8"/>
        <v>908,978392242467+290927,080271424i</v>
      </c>
      <c r="K12" s="1">
        <f t="shared" si="9"/>
        <v>109.27572536405376</v>
      </c>
      <c r="L12" s="1">
        <f t="shared" si="10"/>
        <v>89.82098450228105</v>
      </c>
    </row>
    <row r="13" spans="1:31">
      <c r="A13" s="102">
        <f>5/9</f>
        <v>0.55555555555555558</v>
      </c>
      <c r="B13" s="1">
        <f t="shared" si="0"/>
        <v>3.5938136638046281</v>
      </c>
      <c r="C13" s="1">
        <f t="shared" si="1"/>
        <v>22.580597209158476</v>
      </c>
      <c r="D13" s="63" t="str">
        <f t="shared" si="2"/>
        <v>2285,67093901716-9,95370714513492i</v>
      </c>
      <c r="E13" s="1">
        <f t="shared" si="3"/>
        <v>67.180356491665165</v>
      </c>
      <c r="F13" s="1">
        <f t="shared" si="4"/>
        <v>-0.24951177137445249</v>
      </c>
      <c r="G13" s="1" t="str">
        <f t="shared" si="5"/>
        <v>-0,0314849282528765+98,5497826760646i</v>
      </c>
      <c r="H13" s="1">
        <f t="shared" si="6"/>
        <v>39.873113861314486</v>
      </c>
      <c r="I13" s="1">
        <f t="shared" si="7"/>
        <v>90.018304996691015</v>
      </c>
      <c r="J13" s="1" t="str">
        <f t="shared" si="8"/>
        <v>908,971490449598+225252,687700893i</v>
      </c>
      <c r="K13" s="1">
        <f t="shared" si="9"/>
        <v>107.05347035297964</v>
      </c>
      <c r="L13" s="1">
        <f t="shared" si="10"/>
        <v>89.768793225316571</v>
      </c>
    </row>
    <row r="14" spans="1:31">
      <c r="A14" s="102">
        <f>6/9</f>
        <v>0.66666666666666663</v>
      </c>
      <c r="B14" s="1">
        <f t="shared" si="0"/>
        <v>4.6415888336127793</v>
      </c>
      <c r="C14" s="1">
        <f t="shared" si="1"/>
        <v>29.163962761324647</v>
      </c>
      <c r="D14" s="63" t="str">
        <f t="shared" si="2"/>
        <v>2285,64197998163-12,8555442494816i</v>
      </c>
      <c r="E14" s="1">
        <f t="shared" si="3"/>
        <v>67.180301466994763</v>
      </c>
      <c r="F14" s="1">
        <f t="shared" si="4"/>
        <v>-0.32225548374704777</v>
      </c>
      <c r="G14" s="1" t="str">
        <f t="shared" si="5"/>
        <v>-0,0314849282458143+76,3035179606205i</v>
      </c>
      <c r="H14" s="1">
        <f t="shared" si="6"/>
        <v>37.65089196921884</v>
      </c>
      <c r="I14" s="1">
        <f t="shared" si="7"/>
        <v>90.023641811709211</v>
      </c>
      <c r="J14" s="1" t="str">
        <f t="shared" si="8"/>
        <v>908,959977798528+174402,928626965i</v>
      </c>
      <c r="K14" s="1">
        <f t="shared" si="9"/>
        <v>104.83119343621361</v>
      </c>
      <c r="L14" s="1">
        <f t="shared" si="10"/>
        <v>89.701386327962169</v>
      </c>
    </row>
    <row r="15" spans="1:31">
      <c r="A15" s="102">
        <f>7/9</f>
        <v>0.77777777777777779</v>
      </c>
      <c r="B15" s="1">
        <f t="shared" si="0"/>
        <v>5.9948425031894104</v>
      </c>
      <c r="C15" s="1">
        <f t="shared" si="1"/>
        <v>37.666706334895395</v>
      </c>
      <c r="D15" s="63" t="str">
        <f t="shared" si="2"/>
        <v>2285,59367503186-16,6032229676758i</v>
      </c>
      <c r="E15" s="1">
        <f t="shared" si="3"/>
        <v>67.180209681863928</v>
      </c>
      <c r="F15" s="1">
        <f t="shared" si="4"/>
        <v>-0.41620602998048628</v>
      </c>
      <c r="G15" s="1" t="str">
        <f t="shared" si="5"/>
        <v>-0,0314849282340335+59,079043203147i</v>
      </c>
      <c r="H15" s="1">
        <f t="shared" si="6"/>
        <v>35.428670297680803</v>
      </c>
      <c r="I15" s="1">
        <f t="shared" si="7"/>
        <v>90.030534572624958</v>
      </c>
      <c r="J15" s="1" t="str">
        <f t="shared" si="8"/>
        <v>908,940774188262+135031,21022333i</v>
      </c>
      <c r="K15" s="1">
        <f t="shared" si="9"/>
        <v>102.60887997954471</v>
      </c>
      <c r="L15" s="1">
        <f t="shared" si="10"/>
        <v>89.614328542644486</v>
      </c>
    </row>
    <row r="16" spans="1:31">
      <c r="A16" s="102">
        <f>8/9</f>
        <v>0.88888888888888884</v>
      </c>
      <c r="B16" s="1">
        <f t="shared" si="0"/>
        <v>7.7426368268112711</v>
      </c>
      <c r="C16" s="1">
        <f t="shared" si="1"/>
        <v>48.648421949048156</v>
      </c>
      <c r="D16" s="63" t="str">
        <f t="shared" si="2"/>
        <v>2285,51310206261-21,4431311107067i</v>
      </c>
      <c r="E16" s="1">
        <f t="shared" si="3"/>
        <v>67.180056579354414</v>
      </c>
      <c r="F16" s="1">
        <f t="shared" si="4"/>
        <v>-0.53754444178945449</v>
      </c>
      <c r="G16" s="1" t="str">
        <f t="shared" si="5"/>
        <v>-0,0314849282143819+45,7427580575499i</v>
      </c>
      <c r="H16" s="1">
        <f t="shared" si="6"/>
        <v>33.206448994055016</v>
      </c>
      <c r="I16" s="1">
        <f t="shared" si="7"/>
        <v>90.039436914096981</v>
      </c>
      <c r="J16" s="1" t="str">
        <f t="shared" si="8"/>
        <v>908,908742441907+104546,348000454i</v>
      </c>
      <c r="K16" s="1">
        <f t="shared" si="9"/>
        <v>100.38650557340944</v>
      </c>
      <c r="L16" s="1">
        <f t="shared" si="10"/>
        <v>89.501892472307532</v>
      </c>
    </row>
    <row r="17" spans="1:12">
      <c r="A17" s="102">
        <f>1+A8</f>
        <v>1</v>
      </c>
      <c r="B17" s="1">
        <f t="shared" si="0"/>
        <v>10</v>
      </c>
      <c r="C17" s="1">
        <f t="shared" si="1"/>
        <v>62.831853071795862</v>
      </c>
      <c r="D17" s="63" t="str">
        <f t="shared" si="2"/>
        <v>2285,37871089025-27,6932403082412i</v>
      </c>
      <c r="E17" s="1">
        <f t="shared" si="3"/>
        <v>67.179801200986361</v>
      </c>
      <c r="F17" s="1">
        <f t="shared" si="4"/>
        <v>-0.69425173533929163</v>
      </c>
      <c r="G17" s="1" t="str">
        <f t="shared" si="5"/>
        <v>-0,0314849281816013+35,416956952569i</v>
      </c>
      <c r="H17" s="1">
        <f t="shared" si="6"/>
        <v>30.984228304143606</v>
      </c>
      <c r="I17" s="1">
        <f t="shared" si="7"/>
        <v>90.050934726839543</v>
      </c>
      <c r="J17" s="1" t="str">
        <f t="shared" si="8"/>
        <v>908,855315293987+80942,0313435999i</v>
      </c>
      <c r="K17" s="1">
        <f t="shared" si="9"/>
        <v>98.16402950512996</v>
      </c>
      <c r="L17" s="1">
        <f t="shared" si="10"/>
        <v>89.35668299150025</v>
      </c>
    </row>
    <row r="18" spans="1:12">
      <c r="A18" s="102">
        <f t="shared" ref="A18:A62" si="11">1+A9</f>
        <v>1.1111111111111112</v>
      </c>
      <c r="B18" s="1">
        <f t="shared" si="0"/>
        <v>12.915496650148844</v>
      </c>
      <c r="C18" s="1">
        <f t="shared" si="1"/>
        <v>81.150458787142384</v>
      </c>
      <c r="D18" s="63" t="str">
        <f t="shared" si="2"/>
        <v>2285,15456807079-35,763687308278i</v>
      </c>
      <c r="E18" s="1">
        <f t="shared" si="3"/>
        <v>67.179375237608411</v>
      </c>
      <c r="F18" s="1">
        <f t="shared" si="4"/>
        <v>-0.89663128059752384</v>
      </c>
      <c r="G18" s="1" t="str">
        <f t="shared" si="5"/>
        <v>-0,03148492812692+27,4220643498421i</v>
      </c>
      <c r="H18" s="1">
        <f t="shared" si="6"/>
        <v>28.762008637968641</v>
      </c>
      <c r="I18" s="1">
        <f t="shared" si="7"/>
        <v>90.065784715703046</v>
      </c>
      <c r="J18" s="1" t="str">
        <f t="shared" si="8"/>
        <v>908,766207420619+62664,7816320973i</v>
      </c>
      <c r="K18" s="1">
        <f t="shared" si="9"/>
        <v>95.94138387557706</v>
      </c>
      <c r="L18" s="1">
        <f t="shared" si="10"/>
        <v>89.169153435105542</v>
      </c>
    </row>
    <row r="19" spans="1:12">
      <c r="A19" s="102">
        <f t="shared" si="11"/>
        <v>1.2222222222222223</v>
      </c>
      <c r="B19" s="1">
        <f t="shared" si="0"/>
        <v>16.681005372000598</v>
      </c>
      <c r="C19" s="1">
        <f t="shared" si="1"/>
        <v>104.8098478623379</v>
      </c>
      <c r="D19" s="63" t="str">
        <f t="shared" si="2"/>
        <v>2284,7807731371-46,1830227231781i</v>
      </c>
      <c r="E19" s="1">
        <f t="shared" si="3"/>
        <v>67.178664780828143</v>
      </c>
      <c r="F19" s="1">
        <f t="shared" si="4"/>
        <v>-1.1579806814331015</v>
      </c>
      <c r="G19" s="1" t="str">
        <f t="shared" si="5"/>
        <v>-0,0314849280357062+21,2319096027138i</v>
      </c>
      <c r="H19" s="1">
        <f t="shared" si="6"/>
        <v>26.539790679486881</v>
      </c>
      <c r="I19" s="1">
        <f t="shared" si="7"/>
        <v>90.084964198047743</v>
      </c>
      <c r="J19" s="1" t="str">
        <f t="shared" si="8"/>
        <v>908,617605419008+48511,7129064124i</v>
      </c>
      <c r="K19" s="1">
        <f t="shared" si="9"/>
        <v>93.718455460315027</v>
      </c>
      <c r="L19" s="1">
        <f t="shared" si="10"/>
        <v>88.926983516614641</v>
      </c>
    </row>
    <row r="20" spans="1:12">
      <c r="A20" s="102">
        <f t="shared" si="11"/>
        <v>1.3333333333333333</v>
      </c>
      <c r="B20" s="1">
        <f t="shared" si="0"/>
        <v>21.544346900318843</v>
      </c>
      <c r="C20" s="1">
        <f t="shared" si="1"/>
        <v>135.3671238968634</v>
      </c>
      <c r="D20" s="63" t="str">
        <f t="shared" si="2"/>
        <v>2284,1575176627-59,6313964980124i</v>
      </c>
      <c r="E20" s="1">
        <f t="shared" si="3"/>
        <v>67.17747992606408</v>
      </c>
      <c r="F20" s="1">
        <f t="shared" si="4"/>
        <v>-1.4954535471459003</v>
      </c>
      <c r="G20" s="1" t="str">
        <f t="shared" si="5"/>
        <v>-0,0314849278835522+16,4390979045192i</v>
      </c>
      <c r="H20" s="1">
        <f t="shared" si="6"/>
        <v>24.317575569603065</v>
      </c>
      <c r="I20" s="1">
        <f t="shared" si="7"/>
        <v>90.109735418010629</v>
      </c>
      <c r="J20" s="1" t="str">
        <f t="shared" si="8"/>
        <v>908,369830495746+37551,366552419i</v>
      </c>
      <c r="K20" s="1">
        <f t="shared" si="9"/>
        <v>91.495055495667145</v>
      </c>
      <c r="L20" s="1">
        <f t="shared" si="10"/>
        <v>88.614281870864744</v>
      </c>
    </row>
    <row r="21" spans="1:12">
      <c r="A21" s="102">
        <f t="shared" si="11"/>
        <v>1.4444444444444444</v>
      </c>
      <c r="B21" s="1">
        <f t="shared" si="0"/>
        <v>27.825594022071257</v>
      </c>
      <c r="C21" s="1">
        <f t="shared" si="1"/>
        <v>174.83336352302226</v>
      </c>
      <c r="D21" s="63" t="str">
        <f t="shared" si="2"/>
        <v>2283,11862120657-76,9818808030353i</v>
      </c>
      <c r="E21" s="1">
        <f t="shared" si="3"/>
        <v>67.175504188262238</v>
      </c>
      <c r="F21" s="1">
        <f t="shared" si="4"/>
        <v>-1.9311596224007557</v>
      </c>
      <c r="G21" s="1" t="str">
        <f t="shared" si="5"/>
        <v>-0,0314849276297439+12,7281982725233i</v>
      </c>
      <c r="H21" s="1">
        <f t="shared" si="6"/>
        <v>22.095365211450165</v>
      </c>
      <c r="I21" s="1">
        <f t="shared" si="7"/>
        <v>90.141728605530815</v>
      </c>
      <c r="J21" s="1" t="str">
        <f t="shared" si="8"/>
        <v>907,956817693979+29062,4102593531i</v>
      </c>
      <c r="K21" s="1">
        <f t="shared" si="9"/>
        <v>89.270869399712396</v>
      </c>
      <c r="L21" s="1">
        <f t="shared" si="10"/>
        <v>88.210568983130059</v>
      </c>
    </row>
    <row r="22" spans="1:12">
      <c r="A22" s="102">
        <f t="shared" si="11"/>
        <v>1.5555555555555556</v>
      </c>
      <c r="B22" s="1">
        <f t="shared" si="0"/>
        <v>35.938136638046281</v>
      </c>
      <c r="C22" s="1">
        <f t="shared" si="1"/>
        <v>225.80597209158475</v>
      </c>
      <c r="D22" s="63" t="str">
        <f t="shared" si="2"/>
        <v>2281,3877388932-99,3505453904448i</v>
      </c>
      <c r="E22" s="1">
        <f t="shared" si="3"/>
        <v>67.172210457837764</v>
      </c>
      <c r="F22" s="1">
        <f t="shared" si="4"/>
        <v>-2.4935579769944933</v>
      </c>
      <c r="G22" s="1" t="str">
        <f t="shared" si="5"/>
        <v>-0,0314849272063666+9,85498397898075i</v>
      </c>
      <c r="H22" s="1">
        <f t="shared" si="6"/>
        <v>19.873162779615857</v>
      </c>
      <c r="I22" s="1">
        <f t="shared" si="7"/>
        <v>90.183049238182448</v>
      </c>
      <c r="J22" s="1" t="str">
        <f t="shared" si="8"/>
        <v>907,268706237284+22486,1676613251i</v>
      </c>
      <c r="K22" s="1">
        <f t="shared" si="9"/>
        <v>87.045373237453617</v>
      </c>
      <c r="L22" s="1">
        <f t="shared" si="10"/>
        <v>87.689491261187953</v>
      </c>
    </row>
    <row r="23" spans="1:12">
      <c r="A23" s="102">
        <f t="shared" si="11"/>
        <v>1.6666666666666665</v>
      </c>
      <c r="B23" s="1">
        <f t="shared" si="0"/>
        <v>46.415888336127786</v>
      </c>
      <c r="C23" s="1">
        <f t="shared" si="1"/>
        <v>291.63962761324643</v>
      </c>
      <c r="D23" s="63" t="str">
        <f t="shared" si="2"/>
        <v>2278,50628604439-128,154096921168i</v>
      </c>
      <c r="E23" s="1">
        <f t="shared" si="3"/>
        <v>67.166721737127048</v>
      </c>
      <c r="F23" s="1">
        <f t="shared" si="4"/>
        <v>-3.219197060293518</v>
      </c>
      <c r="G23" s="1" t="str">
        <f t="shared" si="5"/>
        <v>-0,0314849265001304+7,63035917258543i</v>
      </c>
      <c r="H23" s="1">
        <f t="shared" si="6"/>
        <v>17.650973569548547</v>
      </c>
      <c r="I23" s="1">
        <f t="shared" si="7"/>
        <v>90.236416547103119</v>
      </c>
      <c r="J23" s="1" t="str">
        <f t="shared" si="8"/>
        <v>906,123186000644+17389,8562618346i</v>
      </c>
      <c r="K23" s="1">
        <f t="shared" si="9"/>
        <v>84.817695306675574</v>
      </c>
      <c r="L23" s="1">
        <f t="shared" si="10"/>
        <v>87.017219486809608</v>
      </c>
    </row>
    <row r="24" spans="1:12">
      <c r="A24" s="102">
        <f t="shared" si="11"/>
        <v>1.7777777777777777</v>
      </c>
      <c r="B24" s="1">
        <f t="shared" si="0"/>
        <v>59.948425031894104</v>
      </c>
      <c r="C24" s="1">
        <f t="shared" si="1"/>
        <v>376.66706334895395</v>
      </c>
      <c r="D24" s="63" t="str">
        <f t="shared" si="2"/>
        <v>2273,71589645855-165,169392995998i</v>
      </c>
      <c r="E24" s="1">
        <f t="shared" si="3"/>
        <v>67.157581407644727</v>
      </c>
      <c r="F24" s="1">
        <f t="shared" si="4"/>
        <v>-4.1548354156370468</v>
      </c>
      <c r="G24" s="1" t="str">
        <f t="shared" si="5"/>
        <v>-0,0314849253220575+5,90791384746064i</v>
      </c>
      <c r="H24" s="1">
        <f t="shared" si="6"/>
        <v>15.428806414357892</v>
      </c>
      <c r="I24" s="1">
        <f t="shared" si="7"/>
        <v>90.305342343836827</v>
      </c>
      <c r="J24" s="1" t="str">
        <f t="shared" si="8"/>
        <v>904,218768854153+13438,1179758828i</v>
      </c>
      <c r="K24" s="1">
        <f t="shared" si="9"/>
        <v>82.586387822002592</v>
      </c>
      <c r="L24" s="1">
        <f t="shared" si="10"/>
        <v>86.150506928199775</v>
      </c>
    </row>
    <row r="25" spans="1:12">
      <c r="A25" s="102">
        <f t="shared" si="11"/>
        <v>1.8888888888888888</v>
      </c>
      <c r="B25" s="1">
        <f t="shared" si="0"/>
        <v>77.426368268112768</v>
      </c>
      <c r="C25" s="1">
        <f t="shared" si="1"/>
        <v>486.48421949048191</v>
      </c>
      <c r="D25" s="63" t="str">
        <f t="shared" si="2"/>
        <v>2265,76971290513-212,578947706081i</v>
      </c>
      <c r="E25" s="1">
        <f t="shared" si="3"/>
        <v>67.142377098209053</v>
      </c>
      <c r="F25" s="1">
        <f t="shared" si="4"/>
        <v>-5.3599119059890681</v>
      </c>
      <c r="G25" s="1" t="str">
        <f t="shared" si="5"/>
        <v>-0,0314849233569137+4,57428811053636i</v>
      </c>
      <c r="H25" s="1">
        <f t="shared" si="6"/>
        <v>13.206676047917673</v>
      </c>
      <c r="I25" s="1">
        <f t="shared" si="7"/>
        <v>90.394361853875893</v>
      </c>
      <c r="J25" s="1" t="str">
        <f t="shared" si="8"/>
        <v>901,059767287023+10370,9764908311i</v>
      </c>
      <c r="K25" s="1">
        <f t="shared" si="9"/>
        <v>80.349053146126707</v>
      </c>
      <c r="L25" s="1">
        <f t="shared" si="10"/>
        <v>85.034449947886813</v>
      </c>
    </row>
    <row r="26" spans="1:12">
      <c r="A26" s="102">
        <f t="shared" si="11"/>
        <v>2</v>
      </c>
      <c r="B26" s="1">
        <f t="shared" si="0"/>
        <v>100</v>
      </c>
      <c r="C26" s="1">
        <f t="shared" si="1"/>
        <v>628.31853071795865</v>
      </c>
      <c r="D26" s="63" t="str">
        <f t="shared" si="2"/>
        <v>2252,63755978062-272,964970633136i</v>
      </c>
      <c r="E26" s="1">
        <f t="shared" si="3"/>
        <v>67.117132637709176</v>
      </c>
      <c r="F26" s="1">
        <f t="shared" si="4"/>
        <v>-6.9091714837010372</v>
      </c>
      <c r="G26" s="1" t="str">
        <f t="shared" si="5"/>
        <v>-0,0314849200788568+3,54171158749149i</v>
      </c>
      <c r="H26" s="1">
        <f t="shared" si="6"/>
        <v>10.984607046026051</v>
      </c>
      <c r="I26" s="1">
        <f t="shared" si="7"/>
        <v>90.509331569164146</v>
      </c>
      <c r="J26" s="1" t="str">
        <f t="shared" si="8"/>
        <v>895,839085934328+7986,78682817829i</v>
      </c>
      <c r="K26" s="1">
        <f t="shared" si="9"/>
        <v>78.101739683735218</v>
      </c>
      <c r="L26" s="1">
        <f t="shared" si="10"/>
        <v>83.600160085463116</v>
      </c>
    </row>
    <row r="27" spans="1:12">
      <c r="A27" s="102">
        <f t="shared" si="11"/>
        <v>2.1111111111111112</v>
      </c>
      <c r="B27" s="1">
        <f t="shared" si="0"/>
        <v>129.15496650148842</v>
      </c>
      <c r="C27" s="1">
        <f t="shared" si="1"/>
        <v>811.50458787142372</v>
      </c>
      <c r="D27" s="63" t="str">
        <f t="shared" si="2"/>
        <v>2231,06731532198-349,171977002227i</v>
      </c>
      <c r="E27" s="1">
        <f t="shared" si="3"/>
        <v>67.075346165704403</v>
      </c>
      <c r="F27" s="1">
        <f t="shared" si="4"/>
        <v>-8.8948904097351473</v>
      </c>
      <c r="G27" s="1" t="str">
        <f t="shared" si="5"/>
        <v>-0,03148491461073+2,74222696059088i</v>
      </c>
      <c r="H27" s="1">
        <f t="shared" si="6"/>
        <v>8.7626403986198564</v>
      </c>
      <c r="I27" s="1">
        <f t="shared" si="7"/>
        <v>90.657813335272039</v>
      </c>
      <c r="J27" s="1" t="str">
        <f t="shared" si="8"/>
        <v>887,263845304622+6129,08659284942i</v>
      </c>
      <c r="K27" s="1">
        <f t="shared" si="9"/>
        <v>75.83798656432424</v>
      </c>
      <c r="L27" s="1">
        <f t="shared" si="10"/>
        <v>81.762922925536898</v>
      </c>
    </row>
    <row r="28" spans="1:12">
      <c r="A28" s="102">
        <f t="shared" si="11"/>
        <v>2.2222222222222223</v>
      </c>
      <c r="B28" s="1">
        <f t="shared" si="0"/>
        <v>166.81005372000601</v>
      </c>
      <c r="C28" s="1">
        <f t="shared" si="1"/>
        <v>1048.0984786233792</v>
      </c>
      <c r="D28" s="63" t="str">
        <f t="shared" si="2"/>
        <v>2195,9907966104-443,882818221103i</v>
      </c>
      <c r="E28" s="1">
        <f t="shared" si="3"/>
        <v>67.006524582969121</v>
      </c>
      <c r="F28" s="1">
        <f t="shared" si="4"/>
        <v>-11.42741087112139</v>
      </c>
      <c r="G28" s="1" t="str">
        <f t="shared" si="5"/>
        <v>-0,0314849054893487+2,12321747010403i</v>
      </c>
      <c r="H28" s="1">
        <f t="shared" si="6"/>
        <v>6.5408444672215404</v>
      </c>
      <c r="I28" s="1">
        <f t="shared" si="7"/>
        <v>90.849569118055413</v>
      </c>
      <c r="J28" s="1" t="str">
        <f t="shared" si="8"/>
        <v>873,319191639299+4676,5416321309i</v>
      </c>
      <c r="K28" s="1">
        <f t="shared" si="9"/>
        <v>73.547369050190639</v>
      </c>
      <c r="L28" s="1">
        <f t="shared" si="10"/>
        <v>79.422158246934032</v>
      </c>
    </row>
    <row r="29" spans="1:12">
      <c r="A29" s="102">
        <f t="shared" si="11"/>
        <v>2.333333333333333</v>
      </c>
      <c r="B29" s="1">
        <f t="shared" si="0"/>
        <v>215.44346900318828</v>
      </c>
      <c r="C29" s="1">
        <f t="shared" si="1"/>
        <v>1353.6712389686331</v>
      </c>
      <c r="D29" s="63" t="str">
        <f t="shared" si="2"/>
        <v>2139,87131015708-558,645862047512i</v>
      </c>
      <c r="E29" s="1">
        <f t="shared" si="3"/>
        <v>66.894095987155382</v>
      </c>
      <c r="F29" s="1">
        <f t="shared" si="4"/>
        <v>-14.631366587167337</v>
      </c>
      <c r="G29" s="1" t="str">
        <f t="shared" si="5"/>
        <v>-0,0314848902739798+1,64394402920069i</v>
      </c>
      <c r="H29" s="1">
        <f t="shared" si="6"/>
        <v>4.3193332472999195</v>
      </c>
      <c r="I29" s="1">
        <f t="shared" si="7"/>
        <v>91.097197218399401</v>
      </c>
      <c r="J29" s="1" t="str">
        <f t="shared" si="8"/>
        <v>851,008915949947+3535,41756725917i</v>
      </c>
      <c r="K29" s="1">
        <f t="shared" si="9"/>
        <v>71.213429234455305</v>
      </c>
      <c r="L29" s="1">
        <f t="shared" si="10"/>
        <v>76.465830631232052</v>
      </c>
    </row>
    <row r="30" spans="1:12">
      <c r="A30" s="102">
        <f t="shared" si="11"/>
        <v>2.4444444444444446</v>
      </c>
      <c r="B30" s="1">
        <f t="shared" si="0"/>
        <v>278.25594022071277</v>
      </c>
      <c r="C30" s="1">
        <f t="shared" si="1"/>
        <v>1748.3336352302238</v>
      </c>
      <c r="D30" s="63" t="str">
        <f t="shared" si="2"/>
        <v>2052,38033840034-692,018790025597i</v>
      </c>
      <c r="E30" s="1">
        <f t="shared" si="3"/>
        <v>66.712797881469712</v>
      </c>
      <c r="F30" s="1">
        <f t="shared" si="4"/>
        <v>-18.633006880561652</v>
      </c>
      <c r="G30" s="1" t="str">
        <f t="shared" si="5"/>
        <v>-0,031484864893247+1,27286404826083i</v>
      </c>
      <c r="H30" s="1">
        <f t="shared" si="6"/>
        <v>2.0982967878985108</v>
      </c>
      <c r="I30" s="1">
        <f t="shared" si="7"/>
        <v>91.416947947688243</v>
      </c>
      <c r="J30" s="1" t="str">
        <f t="shared" si="8"/>
        <v>816,226920880452+2634,18926421473i</v>
      </c>
      <c r="K30" s="1">
        <f t="shared" si="9"/>
        <v>68.811094669368217</v>
      </c>
      <c r="L30" s="1">
        <f t="shared" si="10"/>
        <v>72.783941067126563</v>
      </c>
    </row>
    <row r="31" spans="1:12">
      <c r="A31" s="102">
        <f t="shared" si="11"/>
        <v>2.5555555555555554</v>
      </c>
      <c r="B31" s="1">
        <f t="shared" si="0"/>
        <v>359.38136638046274</v>
      </c>
      <c r="C31" s="1">
        <f t="shared" si="1"/>
        <v>2258.0597209158473</v>
      </c>
      <c r="D31" s="63" t="str">
        <f t="shared" si="2"/>
        <v>1921,34084039715-836,711169785629i</v>
      </c>
      <c r="E31" s="1">
        <f t="shared" si="3"/>
        <v>66.426263569428727</v>
      </c>
      <c r="F31" s="1">
        <f t="shared" si="4"/>
        <v>-23.532304021065872</v>
      </c>
      <c r="G31" s="1" t="str">
        <f t="shared" si="5"/>
        <v>-0,0314848225557242+0,985555511449223i</v>
      </c>
      <c r="H31" s="1">
        <f t="shared" si="6"/>
        <v>-0.12194818714598024</v>
      </c>
      <c r="I31" s="1">
        <f t="shared" si="7"/>
        <v>91.829764152642497</v>
      </c>
      <c r="J31" s="1" t="str">
        <f t="shared" si="8"/>
        <v>764,132229444383+1919,93175733699i</v>
      </c>
      <c r="K31" s="1">
        <f t="shared" si="9"/>
        <v>66.304315382282766</v>
      </c>
      <c r="L31" s="1">
        <f t="shared" si="10"/>
        <v>68.297460131576671</v>
      </c>
    </row>
    <row r="32" spans="1:12">
      <c r="A32" s="102">
        <f t="shared" si="11"/>
        <v>2.6666666666666665</v>
      </c>
      <c r="B32" s="1">
        <f t="shared" si="0"/>
        <v>464.15888336127819</v>
      </c>
      <c r="C32" s="1">
        <f t="shared" si="1"/>
        <v>2916.3962761324665</v>
      </c>
      <c r="D32" s="63" t="str">
        <f t="shared" si="2"/>
        <v>1736,40633157484-976,638013571129i</v>
      </c>
      <c r="E32" s="1">
        <f t="shared" si="3"/>
        <v>65.986733034083088</v>
      </c>
      <c r="F32" s="1">
        <f t="shared" si="4"/>
        <v>-29.355483836893871</v>
      </c>
      <c r="G32" s="1" t="str">
        <f t="shared" si="5"/>
        <v>-0,0314847519327332+0,763109682079278i</v>
      </c>
      <c r="H32" s="1">
        <f t="shared" si="6"/>
        <v>-2.3408741760288487</v>
      </c>
      <c r="I32" s="1">
        <f t="shared" si="7"/>
        <v>92.362597272713884</v>
      </c>
      <c r="J32" s="1" t="str">
        <f t="shared" si="8"/>
        <v>690,611601438741+1355,81768923389i</v>
      </c>
      <c r="K32" s="1">
        <f t="shared" si="9"/>
        <v>63.645858858054261</v>
      </c>
      <c r="L32" s="1">
        <f t="shared" si="10"/>
        <v>63.007113435820081</v>
      </c>
    </row>
    <row r="33" spans="1:30">
      <c r="A33" s="102">
        <f t="shared" si="11"/>
        <v>2.7777777777777777</v>
      </c>
      <c r="B33" s="1">
        <f t="shared" si="0"/>
        <v>599.48425031894124</v>
      </c>
      <c r="C33" s="1">
        <f t="shared" si="1"/>
        <v>3766.6706334895407</v>
      </c>
      <c r="D33" s="63" t="str">
        <f t="shared" si="2"/>
        <v>1496,1804757555-1086,86939022552i</v>
      </c>
      <c r="E33" s="1">
        <f t="shared" si="3"/>
        <v>65.34005925807341</v>
      </c>
      <c r="F33" s="1">
        <f t="shared" si="4"/>
        <v>-35.99575502348501</v>
      </c>
      <c r="G33" s="1" t="str">
        <f t="shared" si="5"/>
        <v>-0,0314846341271891+0,59088665531554i</v>
      </c>
      <c r="H33" s="1">
        <f t="shared" si="6"/>
        <v>-4.5576035437171729</v>
      </c>
      <c r="I33" s="1">
        <f t="shared" si="7"/>
        <v>93.050047455284556</v>
      </c>
      <c r="J33" s="1" t="str">
        <f t="shared" si="8"/>
        <v>595,109923887792+918,292762162872i</v>
      </c>
      <c r="K33" s="1">
        <f t="shared" si="9"/>
        <v>60.782455714356239</v>
      </c>
      <c r="L33" s="1">
        <f t="shared" si="10"/>
        <v>57.054292431799546</v>
      </c>
    </row>
    <row r="34" spans="1:30">
      <c r="A34" s="102">
        <f t="shared" si="11"/>
        <v>2.8888888888888888</v>
      </c>
      <c r="B34" s="1">
        <f t="shared" si="0"/>
        <v>774.26368268112776</v>
      </c>
      <c r="C34" s="1">
        <f t="shared" si="1"/>
        <v>4864.8421949048197</v>
      </c>
      <c r="D34" s="63" t="str">
        <f t="shared" si="2"/>
        <v>1215,63996670538-1140,53720216934i</v>
      </c>
      <c r="E34" s="1">
        <f t="shared" si="3"/>
        <v>64.438269126233422</v>
      </c>
      <c r="F34" s="1">
        <f t="shared" si="4"/>
        <v>-43.174324465993188</v>
      </c>
      <c r="G34" s="1" t="str">
        <f t="shared" si="5"/>
        <v>-0,0314844376176592+0,457551856950061i</v>
      </c>
      <c r="H34" s="1">
        <f t="shared" si="6"/>
        <v>-6.7706786552430103</v>
      </c>
      <c r="I34" s="1">
        <f t="shared" si="7"/>
        <v>93.936354517069987</v>
      </c>
      <c r="J34" s="1" t="str">
        <f t="shared" si="8"/>
        <v>483,58117407594+592,127496541077i</v>
      </c>
      <c r="K34" s="1">
        <f t="shared" si="9"/>
        <v>57.667590470990419</v>
      </c>
      <c r="L34" s="1">
        <f t="shared" si="10"/>
        <v>50.762030051076792</v>
      </c>
    </row>
    <row r="35" spans="1:30">
      <c r="A35" s="102">
        <f t="shared" si="11"/>
        <v>3</v>
      </c>
      <c r="B35" s="1">
        <f t="shared" si="0"/>
        <v>1000</v>
      </c>
      <c r="C35" s="1">
        <f t="shared" si="1"/>
        <v>6283.1853071795858</v>
      </c>
      <c r="D35" s="63" t="str">
        <f t="shared" si="2"/>
        <v>926,006950891522-1122,09555886478i</v>
      </c>
      <c r="E35" s="1">
        <f t="shared" si="3"/>
        <v>63.25636189283108</v>
      </c>
      <c r="F35" s="1">
        <f t="shared" si="4"/>
        <v>-50.468919962981637</v>
      </c>
      <c r="G35" s="1" t="str">
        <f t="shared" si="5"/>
        <v>-0,0314841098254656+0,354330076964357i</v>
      </c>
      <c r="H35" s="1">
        <f t="shared" si="6"/>
        <v>-8.9776855724729714</v>
      </c>
      <c r="I35" s="1">
        <f t="shared" si="7"/>
        <v>95.077699167539706</v>
      </c>
      <c r="J35" s="1" t="str">
        <f t="shared" si="8"/>
        <v>368,437701192907+363,440293988888i</v>
      </c>
      <c r="K35" s="1">
        <f t="shared" si="9"/>
        <v>54.278676320358095</v>
      </c>
      <c r="L35" s="1">
        <f t="shared" si="10"/>
        <v>44.608779204558083</v>
      </c>
    </row>
    <row r="36" spans="1:30">
      <c r="A36" s="102">
        <f t="shared" si="11"/>
        <v>3.1111111111111112</v>
      </c>
      <c r="B36" s="1">
        <f t="shared" si="0"/>
        <v>1291.5496650148843</v>
      </c>
      <c r="C36" s="1">
        <f t="shared" si="1"/>
        <v>8115.0458787142379</v>
      </c>
      <c r="D36" s="63" t="str">
        <f t="shared" si="2"/>
        <v>662,647945035489-1037,07356311261i</v>
      </c>
      <c r="E36" s="1">
        <f t="shared" si="3"/>
        <v>61.803047981402912</v>
      </c>
      <c r="F36" s="1">
        <f t="shared" si="4"/>
        <v>-57.423072309189429</v>
      </c>
      <c r="G36" s="1" t="str">
        <f t="shared" si="5"/>
        <v>-0,0314835630503201+0,27442794322653i</v>
      </c>
      <c r="H36" s="1">
        <f t="shared" si="6"/>
        <v>-11.174645862300419</v>
      </c>
      <c r="I36" s="1">
        <f t="shared" si="7"/>
        <v>96.544607577421885</v>
      </c>
      <c r="J36" s="1" t="str">
        <f t="shared" si="8"/>
        <v>263,739446541913+214,499883551452i</v>
      </c>
      <c r="K36" s="1">
        <f t="shared" si="9"/>
        <v>50.628402119102496</v>
      </c>
      <c r="L36" s="1">
        <f t="shared" si="10"/>
        <v>39.121535268232442</v>
      </c>
    </row>
    <row r="37" spans="1:30">
      <c r="A37" s="102">
        <f t="shared" si="11"/>
        <v>3.2222222222222223</v>
      </c>
      <c r="B37" s="1">
        <f t="shared" si="0"/>
        <v>1668.1005372000604</v>
      </c>
      <c r="C37" s="1">
        <f t="shared" si="1"/>
        <v>10480.984786233794</v>
      </c>
      <c r="D37" s="63" t="str">
        <f t="shared" si="2"/>
        <v>449,431846343635-908,451323481202i</v>
      </c>
      <c r="E37" s="1">
        <f t="shared" si="3"/>
        <v>60.116857855384922</v>
      </c>
      <c r="F37" s="1">
        <f t="shared" si="4"/>
        <v>-63.677334712823971</v>
      </c>
      <c r="G37" s="1" t="str">
        <f t="shared" si="5"/>
        <v>-0,0314826510166669+0,212586826164775i</v>
      </c>
      <c r="H37" s="1">
        <f t="shared" si="6"/>
        <v>-13.355054842373432</v>
      </c>
      <c r="I37" s="1">
        <f t="shared" si="7"/>
        <v>98.423885057841247</v>
      </c>
      <c r="J37" s="1" t="str">
        <f t="shared" si="8"/>
        <v>178,975477609845+124,143745774356i</v>
      </c>
      <c r="K37" s="1">
        <f t="shared" si="9"/>
        <v>46.76180301301148</v>
      </c>
      <c r="L37" s="1">
        <f t="shared" si="10"/>
        <v>34.746550345017305</v>
      </c>
    </row>
    <row r="38" spans="1:30">
      <c r="A38" s="102">
        <f t="shared" si="11"/>
        <v>3.333333333333333</v>
      </c>
      <c r="B38" s="1">
        <f t="shared" si="0"/>
        <v>2154.4346900318833</v>
      </c>
      <c r="C38" s="1">
        <f t="shared" si="1"/>
        <v>13536.712389686336</v>
      </c>
      <c r="D38" s="63" t="str">
        <f t="shared" si="2"/>
        <v>292,459043103514-763,508690792063i</v>
      </c>
      <c r="E38" s="1">
        <f t="shared" si="3"/>
        <v>58.250869973348067</v>
      </c>
      <c r="F38" s="1">
        <f t="shared" si="4"/>
        <v>-69.04085564160863</v>
      </c>
      <c r="G38" s="1" t="str">
        <f t="shared" si="5"/>
        <v>-0,031481129770422+0,164736749104634i</v>
      </c>
      <c r="H38" s="1">
        <f t="shared" si="6"/>
        <v>-15.508417230287517</v>
      </c>
      <c r="I38" s="1">
        <f t="shared" si="7"/>
        <v>100.8187630792131</v>
      </c>
      <c r="J38" s="1" t="str">
        <f t="shared" si="8"/>
        <v>116,570998545745+72,2148681827949i</v>
      </c>
      <c r="K38" s="1">
        <f t="shared" si="9"/>
        <v>42.742452743060575</v>
      </c>
      <c r="L38" s="1">
        <f t="shared" si="10"/>
        <v>31.777907437604384</v>
      </c>
    </row>
    <row r="39" spans="1:30">
      <c r="A39" s="102">
        <f t="shared" si="11"/>
        <v>3.4444444444444446</v>
      </c>
      <c r="B39" s="1">
        <f t="shared" si="0"/>
        <v>2782.5594022071282</v>
      </c>
      <c r="C39" s="1">
        <f t="shared" si="1"/>
        <v>17483.336352302242</v>
      </c>
      <c r="D39" s="63" t="str">
        <f t="shared" si="2"/>
        <v>184,794635826678-623,088020749953i</v>
      </c>
      <c r="E39" s="1">
        <f t="shared" si="3"/>
        <v>56.257113031151221</v>
      </c>
      <c r="F39" s="1">
        <f t="shared" si="4"/>
        <v>-73.480765037234903</v>
      </c>
      <c r="G39" s="1" t="str">
        <f t="shared" si="5"/>
        <v>-0,0314785925058712+0,127728525933419i</v>
      </c>
      <c r="H39" s="1">
        <f t="shared" si="6"/>
        <v>-17.618163973272985</v>
      </c>
      <c r="I39" s="1">
        <f t="shared" si="7"/>
        <v>103.84460539807615</v>
      </c>
      <c r="J39" s="1" t="str">
        <f t="shared" si="8"/>
        <v>73,7690393787042+43,2174803350221i</v>
      </c>
      <c r="K39" s="1">
        <f t="shared" si="9"/>
        <v>38.638949057878229</v>
      </c>
      <c r="L39" s="1">
        <f t="shared" si="10"/>
        <v>30.36384036084123</v>
      </c>
    </row>
    <row r="40" spans="1:30">
      <c r="A40" s="102">
        <f t="shared" si="11"/>
        <v>3.5555555555555554</v>
      </c>
      <c r="B40" s="1">
        <f t="shared" si="0"/>
        <v>3593.813663804628</v>
      </c>
      <c r="C40" s="1">
        <f t="shared" si="1"/>
        <v>22580.597209158477</v>
      </c>
      <c r="D40" s="63" t="str">
        <f t="shared" ref="D40:D62" si="12">IMPRODUCT(COMPLEX(1/(Kff*(Rcs+Rs)),0),IMDIV(COMPLEX(1,0),COMPLEX(1,(C40*Lm)/(Rcs+Rs))))</f>
        <v>114,488704814035-498,578784763624i</v>
      </c>
      <c r="E40" s="1">
        <f t="shared" si="3"/>
        <v>54.17784584960301</v>
      </c>
      <c r="F40" s="1">
        <f t="shared" si="4"/>
        <v>-77.067365062943622</v>
      </c>
      <c r="G40" s="1" t="str">
        <f t="shared" ref="G40:G62" si="13">IMPRODUCT(COMPLEX(-(gm*Acs*Rcs)/(IL_Comp_Ccomp+IL_Comp_Chf),0),IMDIV(COMPLEX(1,C40*IL_Comp_Rcomp*IL_Comp_Ccomp),IMPRODUCT(COMPLEX(0,C40),COMPLEX(1,C40*IL_Comp_Rcomp*((IL_Comp_Ccomp*IL_Comp_Chf)/(IL_Comp_Ccomp+IL_Comp_Chf))))))</f>
        <v>-0,0314743610035233+0,0991264949858393i</v>
      </c>
      <c r="H40" s="1">
        <f t="shared" si="6"/>
        <v>-19.65905319274966</v>
      </c>
      <c r="I40" s="1">
        <f t="shared" si="7"/>
        <v>107.61553531825295</v>
      </c>
      <c r="J40" s="1" t="str">
        <f t="shared" si="8"/>
        <v>45,8189085817745+27,0413126840319i</v>
      </c>
      <c r="K40" s="1">
        <f t="shared" si="9"/>
        <v>34.518792656853357</v>
      </c>
      <c r="L40" s="1">
        <f t="shared" si="10"/>
        <v>30.548170255309294</v>
      </c>
    </row>
    <row r="41" spans="1:30">
      <c r="A41" s="102">
        <f t="shared" si="11"/>
        <v>3.6666666666666665</v>
      </c>
      <c r="B41" s="1">
        <f t="shared" si="0"/>
        <v>4641.5888336127782</v>
      </c>
      <c r="C41" s="1">
        <f t="shared" si="1"/>
        <v>29163.962761324641</v>
      </c>
      <c r="D41" s="63" t="str">
        <f t="shared" si="12"/>
        <v>70,0392579063455-393,934302529356i</v>
      </c>
      <c r="E41" s="1">
        <f t="shared" si="3"/>
        <v>52.04363478555554</v>
      </c>
      <c r="F41" s="1">
        <f t="shared" si="4"/>
        <v>-79.918486571354379</v>
      </c>
      <c r="G41" s="1" t="str">
        <f t="shared" si="13"/>
        <v>-0,0314673049632349+0,0770482035671056i</v>
      </c>
      <c r="H41" s="1">
        <f t="shared" si="6"/>
        <v>-21.594788284043574</v>
      </c>
      <c r="I41" s="1">
        <f t="shared" si="7"/>
        <v>112.21562619639209</v>
      </c>
      <c r="J41" s="1" t="str">
        <f t="shared" si="8"/>
        <v>28,1479836454099+17,7924498340276i</v>
      </c>
      <c r="K41" s="1">
        <f t="shared" si="9"/>
        <v>30.448846501511952</v>
      </c>
      <c r="L41" s="1">
        <f t="shared" si="10"/>
        <v>32.297139625037758</v>
      </c>
    </row>
    <row r="42" spans="1:30">
      <c r="A42" s="102">
        <f t="shared" si="11"/>
        <v>3.7777777777777777</v>
      </c>
      <c r="B42" s="1">
        <f t="shared" si="0"/>
        <v>5994.8425031894185</v>
      </c>
      <c r="C42" s="1">
        <f t="shared" si="1"/>
        <v>37666.706334895447</v>
      </c>
      <c r="D42" s="63" t="str">
        <f t="shared" si="12"/>
        <v>42,5091327396099-308,798810894695i</v>
      </c>
      <c r="E42" s="1">
        <f t="shared" si="3"/>
        <v>49.87504187334882</v>
      </c>
      <c r="F42" s="1">
        <f t="shared" si="4"/>
        <v>-82.161946779080722</v>
      </c>
      <c r="G42" s="1" t="str">
        <f t="shared" si="13"/>
        <v>-0,0314555418162819+0,0600404821076973i</v>
      </c>
      <c r="H42" s="1">
        <f t="shared" si="6"/>
        <v>-23.377796472623785</v>
      </c>
      <c r="I42" s="1">
        <f t="shared" si="7"/>
        <v>117.65029252849551</v>
      </c>
      <c r="J42" s="1" t="str">
        <f t="shared" si="8"/>
        <v>17,2032816779365+12,2657027325825i</v>
      </c>
      <c r="K42" s="1">
        <f t="shared" si="9"/>
        <v>26.497245400725049</v>
      </c>
      <c r="L42" s="1">
        <f t="shared" si="10"/>
        <v>35.488345749414755</v>
      </c>
    </row>
    <row r="43" spans="1:30">
      <c r="A43" s="102">
        <f t="shared" si="11"/>
        <v>3.8888888888888888</v>
      </c>
      <c r="B43" s="1">
        <f t="shared" si="0"/>
        <v>7742.6368268112792</v>
      </c>
      <c r="C43" s="1">
        <f t="shared" si="1"/>
        <v>48648.421949048206</v>
      </c>
      <c r="D43" s="63" t="str">
        <f t="shared" si="12"/>
        <v>25,6747991923866-240,885989595315i</v>
      </c>
      <c r="E43" s="1">
        <f t="shared" si="3"/>
        <v>47.685289982223964</v>
      </c>
      <c r="F43" s="1">
        <f t="shared" si="4"/>
        <v>-83.916106399739121</v>
      </c>
      <c r="G43" s="1" t="str">
        <f t="shared" si="13"/>
        <v>-0,0314359392632843+0,0469837303170563i</v>
      </c>
      <c r="H43" s="1">
        <f t="shared" si="6"/>
        <v>-24.954354661600895</v>
      </c>
      <c r="I43" s="1">
        <f t="shared" si="7"/>
        <v>123.78574369489975</v>
      </c>
      <c r="J43" s="1" t="str">
        <f t="shared" si="8"/>
        <v>10,5106109442946+8,77877517949412i</v>
      </c>
      <c r="K43" s="1">
        <f t="shared" si="9"/>
        <v>22.730935320623061</v>
      </c>
      <c r="L43" s="1">
        <f t="shared" si="10"/>
        <v>39.869637295160693</v>
      </c>
    </row>
    <row r="44" spans="1:30">
      <c r="A44" s="102">
        <f t="shared" si="11"/>
        <v>4</v>
      </c>
      <c r="B44" s="1">
        <f t="shared" si="0"/>
        <v>10000</v>
      </c>
      <c r="C44" s="1">
        <f t="shared" si="1"/>
        <v>62831.853071795864</v>
      </c>
      <c r="D44" s="63" t="str">
        <f t="shared" si="12"/>
        <v>15,4611958592015-187,352148832638i</v>
      </c>
      <c r="E44" s="1">
        <f t="shared" si="3"/>
        <v>45.482650243951817</v>
      </c>
      <c r="F44" s="1">
        <f t="shared" si="4"/>
        <v>-85.282368275216939</v>
      </c>
      <c r="G44" s="1" t="str">
        <f t="shared" si="13"/>
        <v>-0,0314032945467852+0,0370180698495339i</v>
      </c>
      <c r="H44" s="1">
        <f t="shared" si="6"/>
        <v>-26.277317443048055</v>
      </c>
      <c r="I44" s="1">
        <f t="shared" si="7"/>
        <v>130.30872111476</v>
      </c>
      <c r="J44" s="1" t="str">
        <f t="shared" si="8"/>
        <v>6,44988244433482+6,45581834203771i</v>
      </c>
      <c r="K44" s="1">
        <f t="shared" si="9"/>
        <v>19.205332800903754</v>
      </c>
      <c r="L44" s="1">
        <f t="shared" si="10"/>
        <v>45.02635283954308</v>
      </c>
      <c r="AC44" t="s">
        <v>573</v>
      </c>
    </row>
    <row r="45" spans="1:30">
      <c r="A45" s="102">
        <f t="shared" si="11"/>
        <v>4.1111111111111107</v>
      </c>
      <c r="B45" s="1">
        <f t="shared" si="0"/>
        <v>12915.496650148847</v>
      </c>
      <c r="C45" s="1">
        <f t="shared" si="1"/>
        <v>81150.458787142401</v>
      </c>
      <c r="D45" s="63" t="str">
        <f t="shared" si="12"/>
        <v>9,2939224844029-145,454028468705i</v>
      </c>
      <c r="E45" s="1">
        <f t="shared" si="3"/>
        <v>43.272209885834769</v>
      </c>
      <c r="F45" s="1">
        <f t="shared" si="4"/>
        <v>-86.344002102352022</v>
      </c>
      <c r="G45" s="1" t="str">
        <f t="shared" si="13"/>
        <v>-0,0313489904940074+0,0294864052330227i</v>
      </c>
      <c r="H45" s="1">
        <f t="shared" si="6"/>
        <v>-27.323104088083639</v>
      </c>
      <c r="I45" s="1">
        <f t="shared" si="7"/>
        <v>136.75366571398536</v>
      </c>
      <c r="J45" s="1" t="str">
        <f t="shared" si="8"/>
        <v>3,99756133858827+4,83388132035992i</v>
      </c>
      <c r="K45" s="1">
        <f t="shared" si="9"/>
        <v>15.949105797751134</v>
      </c>
      <c r="L45" s="1">
        <f t="shared" si="10"/>
        <v>50.409663611633313</v>
      </c>
      <c r="Y45" t="s">
        <v>574</v>
      </c>
      <c r="Z45">
        <f t="array" ref="Z45">INDEX(K8:K62,(MATCH(TRUE,K8:K62&lt;0,)-1))</f>
        <v>0.14898857516602415</v>
      </c>
      <c r="AA45">
        <f t="array" ref="AA45">INDEX(K8:K62,(MATCH(TRUE,K8:K62&lt;0,)-0))</f>
        <v>-2.3674286405259277</v>
      </c>
    </row>
    <row r="46" spans="1:30">
      <c r="A46" s="102">
        <f t="shared" si="11"/>
        <v>4.2222222222222223</v>
      </c>
      <c r="B46" s="1">
        <f t="shared" si="0"/>
        <v>16681.005372000593</v>
      </c>
      <c r="C46" s="1">
        <f t="shared" si="1"/>
        <v>104809.84786233788</v>
      </c>
      <c r="D46" s="63" t="str">
        <f t="shared" si="12"/>
        <v>5,58064842610961-112,803475984793i</v>
      </c>
      <c r="E46" s="1">
        <f t="shared" si="3"/>
        <v>41.057066060094265</v>
      </c>
      <c r="F46" s="1">
        <f t="shared" si="4"/>
        <v>-87.167754631388405</v>
      </c>
      <c r="G46" s="1" t="str">
        <f t="shared" si="13"/>
        <v>-0,0312588226120489+0,023890439687329i</v>
      </c>
      <c r="H46" s="1">
        <f t="shared" si="6"/>
        <v>-28.102663307408697</v>
      </c>
      <c r="I46" s="1">
        <f t="shared" si="7"/>
        <v>142.61010545970737</v>
      </c>
      <c r="J46" s="1" t="str">
        <f t="shared" si="8"/>
        <v>2,52048014032379+3,65942799047132i</v>
      </c>
      <c r="K46" s="1">
        <f t="shared" si="9"/>
        <v>12.954402752685558</v>
      </c>
      <c r="L46" s="1">
        <f t="shared" si="10"/>
        <v>55.442350828318965</v>
      </c>
      <c r="Y46" t="s">
        <v>575</v>
      </c>
      <c r="Z46">
        <f t="array" ref="Z46">INDEX(B8:B62,(MATCH(TRUE,K8:K62&lt;0,)-1))</f>
        <v>59948.425031894149</v>
      </c>
      <c r="AA46">
        <f t="array" ref="AA46">INDEX(B8:B62,(MATCH(TRUE,K8:K62&lt;0,)-0))</f>
        <v>77426.368268112885</v>
      </c>
      <c r="AC46">
        <f>(Z45*AA46-Z46*AA45)/(Z45-AA45)/1000</f>
        <v>60.983235095725647</v>
      </c>
      <c r="AD46" s="203" t="str">
        <f>"Crossover Frequency = "&amp;ROUND(AC46,1)&amp;" kHz"</f>
        <v>Crossover Frequency = 61 kHz</v>
      </c>
    </row>
    <row r="47" spans="1:30">
      <c r="A47" s="102">
        <f t="shared" si="11"/>
        <v>4.333333333333333</v>
      </c>
      <c r="B47" s="1">
        <f t="shared" si="0"/>
        <v>21544.346900318837</v>
      </c>
      <c r="C47" s="1">
        <f t="shared" si="1"/>
        <v>135367.12389686337</v>
      </c>
      <c r="D47" s="63" t="str">
        <f t="shared" si="12"/>
        <v>3,34878552394449-87,4251253781643i</v>
      </c>
      <c r="E47" s="1">
        <f t="shared" si="3"/>
        <v>38.83909276281819</v>
      </c>
      <c r="F47" s="1">
        <f t="shared" si="4"/>
        <v>-87.806379823918078</v>
      </c>
      <c r="G47" s="1" t="str">
        <f t="shared" si="13"/>
        <v>-0,0311095622706392+0,0198563260342787i</v>
      </c>
      <c r="H47" s="1">
        <f t="shared" si="6"/>
        <v>-28.657978468372889</v>
      </c>
      <c r="I47" s="1">
        <f t="shared" si="7"/>
        <v>147.45109753329339</v>
      </c>
      <c r="J47" s="1" t="str">
        <f t="shared" si="8"/>
        <v>1,63176254130836+2,78625195915276i</v>
      </c>
      <c r="K47" s="1">
        <f t="shared" si="9"/>
        <v>10.181114294445319</v>
      </c>
      <c r="L47" s="1">
        <f t="shared" si="10"/>
        <v>59.644717709375314</v>
      </c>
      <c r="Y47" t="s">
        <v>576</v>
      </c>
      <c r="Z47">
        <f t="array" ref="Z47">INDEX(L8:L62,(MATCH(TRUE,K8:K62&lt;0,)-1))</f>
        <v>63.729708041396748</v>
      </c>
      <c r="AA47">
        <f t="array" ref="AA47">INDEX(L8:L62,(MATCH(TRUE,K8:K62&lt;0,)-0))</f>
        <v>61.24472438400938</v>
      </c>
      <c r="AC47">
        <f>(Z45*AA47-Z47*AA45)/(Z45-AA45)</f>
        <v>63.582580541188804</v>
      </c>
      <c r="AD47" t="str">
        <f>"Phase Margin = "&amp;ROUND(AC47,0)&amp;"°"</f>
        <v>Phase Margin = 64°</v>
      </c>
    </row>
    <row r="48" spans="1:30">
      <c r="A48" s="102">
        <f t="shared" si="11"/>
        <v>4.4444444444444446</v>
      </c>
      <c r="B48" s="1">
        <f t="shared" si="0"/>
        <v>27825.594022071291</v>
      </c>
      <c r="C48" s="1">
        <f t="shared" si="1"/>
        <v>174833.36352302248</v>
      </c>
      <c r="D48" s="63" t="str">
        <f t="shared" si="12"/>
        <v>2,00872288400538-67,729842937863i</v>
      </c>
      <c r="E48" s="1">
        <f t="shared" si="3"/>
        <v>36.619419698585872</v>
      </c>
      <c r="F48" s="1">
        <f t="shared" si="4"/>
        <v>-88.301227171040409</v>
      </c>
      <c r="G48" s="1" t="str">
        <f t="shared" si="13"/>
        <v>-0,0308637280033386+0,0171068415266298i</v>
      </c>
      <c r="H48" s="1">
        <f t="shared" si="6"/>
        <v>-29.047560981923862</v>
      </c>
      <c r="I48" s="1">
        <f t="shared" si="7"/>
        <v>151.00170734362857</v>
      </c>
      <c r="J48" s="1" t="str">
        <f t="shared" si="8"/>
        <v>1,09664701303553+2,12475835419064i</v>
      </c>
      <c r="K48" s="1">
        <f t="shared" si="9"/>
        <v>7.5718587166620113</v>
      </c>
      <c r="L48" s="1">
        <f t="shared" si="10"/>
        <v>62.700480172588023</v>
      </c>
    </row>
    <row r="49" spans="1:12">
      <c r="A49" s="102">
        <f t="shared" si="11"/>
        <v>4.5555555555555554</v>
      </c>
      <c r="B49" s="1">
        <f t="shared" si="0"/>
        <v>35938.136638046322</v>
      </c>
      <c r="C49" s="1">
        <f t="shared" si="1"/>
        <v>225805.97209158502</v>
      </c>
      <c r="D49" s="63" t="str">
        <f t="shared" si="12"/>
        <v>1,20462173467819-52,4592222046058i</v>
      </c>
      <c r="E49" s="1">
        <f t="shared" si="3"/>
        <v>34.39872637409858</v>
      </c>
      <c r="F49" s="1">
        <f t="shared" si="4"/>
        <v>-88.684547523282404</v>
      </c>
      <c r="G49" s="1" t="str">
        <f t="shared" si="13"/>
        <v>-0,0304621852463199+0,0154366434853614i</v>
      </c>
      <c r="H49" s="1">
        <f t="shared" si="6"/>
        <v>-29.332140437306528</v>
      </c>
      <c r="I49" s="1">
        <f t="shared" si="7"/>
        <v>153.12649081574637</v>
      </c>
      <c r="J49" s="1" t="str">
        <f t="shared" si="8"/>
        <v>0,773098900258344+1,61661786092751i</v>
      </c>
      <c r="K49" s="1">
        <f t="shared" si="9"/>
        <v>5.0665859367920731</v>
      </c>
      <c r="L49" s="1">
        <f t="shared" si="10"/>
        <v>64.441943292464003</v>
      </c>
    </row>
    <row r="50" spans="1:12">
      <c r="A50" s="102">
        <f t="shared" si="11"/>
        <v>4.6666666666666661</v>
      </c>
      <c r="B50" s="1">
        <f t="shared" si="0"/>
        <v>46415.888336127755</v>
      </c>
      <c r="C50" s="1">
        <f t="shared" si="1"/>
        <v>291639.62761324627</v>
      </c>
      <c r="D50" s="63" t="str">
        <f t="shared" si="12"/>
        <v>0,722304221950845-40,6258459032639i</v>
      </c>
      <c r="E50" s="1">
        <f t="shared" si="3"/>
        <v>32.177420960103312</v>
      </c>
      <c r="F50" s="1">
        <f t="shared" si="4"/>
        <v>-88.981421244502599</v>
      </c>
      <c r="G50" s="1" t="str">
        <f t="shared" si="13"/>
        <v>-0,0298151285704567+0,0146862210892076i</v>
      </c>
      <c r="H50" s="1">
        <f t="shared" si="6"/>
        <v>-29.567843529312068</v>
      </c>
      <c r="I50" s="1">
        <f t="shared" si="7"/>
        <v>153.7762427394718</v>
      </c>
      <c r="J50" s="1" t="str">
        <f t="shared" si="8"/>
        <v>0,575104561626964+1,22187273838661i</v>
      </c>
      <c r="K50" s="1">
        <f t="shared" si="9"/>
        <v>2.6095774307912247</v>
      </c>
      <c r="L50" s="1">
        <f t="shared" si="10"/>
        <v>64.794821494969156</v>
      </c>
    </row>
    <row r="51" spans="1:12">
      <c r="A51" s="102">
        <f t="shared" si="11"/>
        <v>4.7777777777777777</v>
      </c>
      <c r="B51" s="1">
        <f t="shared" si="0"/>
        <v>59948.425031894149</v>
      </c>
      <c r="C51" s="1">
        <f t="shared" si="1"/>
        <v>376667.06334895425</v>
      </c>
      <c r="D51" s="63" t="str">
        <f t="shared" si="12"/>
        <v>0,433064816375196-31,4590987203041i</v>
      </c>
      <c r="E51" s="1">
        <f t="shared" si="3"/>
        <v>29.95574844277791</v>
      </c>
      <c r="F51" s="1">
        <f t="shared" si="4"/>
        <v>-89.211318185650541</v>
      </c>
      <c r="G51" s="1" t="str">
        <f t="shared" si="13"/>
        <v>-0,0287948510318304+0,0147090617132143i</v>
      </c>
      <c r="H51" s="1">
        <f t="shared" si="6"/>
        <v>-29.806759867611895</v>
      </c>
      <c r="I51" s="1">
        <f t="shared" si="7"/>
        <v>152.94102622704727</v>
      </c>
      <c r="J51" s="1" t="str">
        <f t="shared" si="8"/>
        <v>0,450263787644403+0,912230038356688i</v>
      </c>
      <c r="K51" s="1">
        <f t="shared" si="9"/>
        <v>0.14898857516602415</v>
      </c>
      <c r="L51" s="1">
        <f t="shared" si="10"/>
        <v>63.729708041396748</v>
      </c>
    </row>
    <row r="52" spans="1:12">
      <c r="A52" s="102">
        <f t="shared" si="11"/>
        <v>4.8888888888888893</v>
      </c>
      <c r="B52" s="1">
        <f t="shared" si="0"/>
        <v>77426.368268112885</v>
      </c>
      <c r="C52" s="1">
        <f t="shared" si="1"/>
        <v>486484.21949048265</v>
      </c>
      <c r="D52" s="63" t="str">
        <f t="shared" si="12"/>
        <v>0,259635238960197-24,3594861257141i</v>
      </c>
      <c r="E52" s="1">
        <f t="shared" si="3"/>
        <v>27.733855793344929</v>
      </c>
      <c r="F52" s="1">
        <f t="shared" si="4"/>
        <v>-89.389336866722743</v>
      </c>
      <c r="G52" s="1" t="str">
        <f t="shared" si="13"/>
        <v>-0,0272399248826374+0,0153275809045017i</v>
      </c>
      <c r="H52" s="1">
        <f t="shared" si="6"/>
        <v>-30.101284433870855</v>
      </c>
      <c r="I52" s="1">
        <f t="shared" si="7"/>
        <v>150.63406125073212</v>
      </c>
      <c r="J52" s="1" t="str">
        <f t="shared" si="8"/>
        <v>0,366299549977808+0,667530152374922i</v>
      </c>
      <c r="K52" s="1">
        <f t="shared" si="9"/>
        <v>-2.3674286405259277</v>
      </c>
      <c r="L52" s="1">
        <f t="shared" si="10"/>
        <v>61.24472438400938</v>
      </c>
    </row>
    <row r="53" spans="1:12">
      <c r="A53" s="102">
        <f t="shared" si="11"/>
        <v>5</v>
      </c>
      <c r="B53" s="1">
        <f t="shared" si="0"/>
        <v>100000</v>
      </c>
      <c r="C53" s="1">
        <f t="shared" si="1"/>
        <v>628318.53071795858</v>
      </c>
      <c r="D53" s="63" t="str">
        <f t="shared" si="12"/>
        <v>0,155654318038883-18,8615235362328i</v>
      </c>
      <c r="E53" s="1">
        <f t="shared" si="3"/>
        <v>25.511831156810658</v>
      </c>
      <c r="F53" s="1">
        <f t="shared" si="4"/>
        <v>-89.527178543057403</v>
      </c>
      <c r="G53" s="1" t="str">
        <f t="shared" si="13"/>
        <v>-0,0249889760921217+0,0162824644873796i</v>
      </c>
      <c r="H53" s="1">
        <f t="shared" si="6"/>
        <v>-30.508210551883309</v>
      </c>
      <c r="I53" s="1">
        <f t="shared" si="7"/>
        <v>146.91230146805617</v>
      </c>
      <c r="J53" s="1" t="str">
        <f t="shared" si="8"/>
        <v>0,303222445124476+0,473864596613688i</v>
      </c>
      <c r="K53" s="1">
        <f t="shared" si="9"/>
        <v>-4.9963793950726458</v>
      </c>
      <c r="L53" s="1">
        <f t="shared" si="10"/>
        <v>57.38512292499879</v>
      </c>
    </row>
    <row r="54" spans="1:12">
      <c r="A54" s="102">
        <f t="shared" si="11"/>
        <v>5.1111111111111107</v>
      </c>
      <c r="B54" s="1">
        <f t="shared" si="0"/>
        <v>129154.96650148838</v>
      </c>
      <c r="C54" s="1">
        <f t="shared" si="1"/>
        <v>811504.58787142346</v>
      </c>
      <c r="D54" s="63" t="str">
        <f t="shared" si="12"/>
        <v>0,0933148572864244-14,6041909980108i</v>
      </c>
      <c r="E54" s="1">
        <f t="shared" si="3"/>
        <v>23.28972738840632</v>
      </c>
      <c r="F54" s="1">
        <f t="shared" si="4"/>
        <v>-89.633908189103281</v>
      </c>
      <c r="G54" s="1" t="str">
        <f t="shared" si="13"/>
        <v>-0,0219617253921215+0,0172040859918321i</v>
      </c>
      <c r="H54" s="1">
        <f t="shared" si="6"/>
        <v>-31.088541095473893</v>
      </c>
      <c r="I54" s="1">
        <f t="shared" si="7"/>
        <v>141.92603070857905</v>
      </c>
      <c r="J54" s="1" t="str">
        <f t="shared" si="8"/>
        <v>0,249202402500189+0,322338629101477i</v>
      </c>
      <c r="K54" s="1">
        <f t="shared" si="9"/>
        <v>-7.7988137070675698</v>
      </c>
      <c r="L54" s="1">
        <f t="shared" si="10"/>
        <v>52.292122519475697</v>
      </c>
    </row>
    <row r="55" spans="1:12">
      <c r="A55" s="102">
        <f t="shared" si="11"/>
        <v>5.2222222222222223</v>
      </c>
      <c r="B55" s="1">
        <f t="shared" si="0"/>
        <v>166810.05372000611</v>
      </c>
      <c r="C55" s="1">
        <f t="shared" si="1"/>
        <v>1048098.4786233798</v>
      </c>
      <c r="D55" s="63" t="str">
        <f t="shared" si="12"/>
        <v>0,0559417019754465-11,3076795983274i</v>
      </c>
      <c r="E55" s="1">
        <f t="shared" si="3"/>
        <v>21.067576178931333</v>
      </c>
      <c r="F55" s="1">
        <f t="shared" si="4"/>
        <v>-89.716546861351759</v>
      </c>
      <c r="G55" s="1" t="str">
        <f t="shared" si="13"/>
        <v>-0,0182697785999256+0,0176614614623531i</v>
      </c>
      <c r="H55" s="1">
        <f t="shared" si="6"/>
        <v>-31.899611216297025</v>
      </c>
      <c r="I55" s="1">
        <f t="shared" si="7"/>
        <v>135.96992686805143</v>
      </c>
      <c r="J55" s="1" t="str">
        <f t="shared" si="8"/>
        <v>0,198688104944901+0,207576814953915i</v>
      </c>
      <c r="K55" s="1">
        <f t="shared" si="9"/>
        <v>-10.832035037365701</v>
      </c>
      <c r="L55" s="1">
        <f t="shared" si="10"/>
        <v>46.253380006699714</v>
      </c>
    </row>
    <row r="56" spans="1:12">
      <c r="A56" s="102">
        <f t="shared" si="11"/>
        <v>5.333333333333333</v>
      </c>
      <c r="B56" s="1">
        <f t="shared" si="0"/>
        <v>215443.46900318863</v>
      </c>
      <c r="C56" s="1">
        <f t="shared" si="1"/>
        <v>1353671.2389686354</v>
      </c>
      <c r="D56" s="63" t="str">
        <f t="shared" si="12"/>
        <v>0,0335364980091735-8,75521147064411i</v>
      </c>
      <c r="E56" s="1">
        <f t="shared" si="3"/>
        <v>18.845396528289314</v>
      </c>
      <c r="F56" s="1">
        <f t="shared" si="4"/>
        <v>-89.780531811891976</v>
      </c>
      <c r="G56" s="1" t="str">
        <f t="shared" si="13"/>
        <v>-0,0142685667233399+0,0173172244535041i</v>
      </c>
      <c r="H56" s="1">
        <f t="shared" si="6"/>
        <v>-32.980192781427114</v>
      </c>
      <c r="I56" s="1">
        <f t="shared" si="7"/>
        <v>129.48689437904153</v>
      </c>
      <c r="J56" s="1" t="str">
        <f t="shared" si="8"/>
        <v>0,151137444415527+0,125505078109246i</v>
      </c>
      <c r="K56" s="1">
        <f t="shared" si="9"/>
        <v>-14.134796253137779</v>
      </c>
      <c r="L56" s="1">
        <f t="shared" si="10"/>
        <v>39.706362567149569</v>
      </c>
    </row>
    <row r="57" spans="1:12">
      <c r="A57" s="102">
        <f t="shared" si="11"/>
        <v>5.4444444444444446</v>
      </c>
      <c r="B57" s="1">
        <f t="shared" si="0"/>
        <v>278255.94022071268</v>
      </c>
      <c r="C57" s="1">
        <f t="shared" si="1"/>
        <v>1748333.6352302232</v>
      </c>
      <c r="D57" s="63" t="str">
        <f t="shared" si="12"/>
        <v>0,0201047205118243-6,77888211170419i</v>
      </c>
      <c r="E57" s="1">
        <f t="shared" si="3"/>
        <v>16.623199827259036</v>
      </c>
      <c r="F57" s="1">
        <f t="shared" si="4"/>
        <v>-89.830073419587691</v>
      </c>
      <c r="G57" s="1" t="str">
        <f t="shared" si="13"/>
        <v>-0,0104506671345946+0,0160992168351075i</v>
      </c>
      <c r="H57" s="1">
        <f t="shared" si="6"/>
        <v>-34.336789328783041</v>
      </c>
      <c r="I57" s="1">
        <f t="shared" si="7"/>
        <v>122.98926854454253</v>
      </c>
      <c r="J57" s="1" t="str">
        <f t="shared" si="8"/>
        <v>0,108924585274054+0,0711675107490073i</v>
      </c>
      <c r="K57" s="1">
        <f t="shared" si="9"/>
        <v>-17.713589501524012</v>
      </c>
      <c r="L57" s="1">
        <f t="shared" si="10"/>
        <v>33.159195124954856</v>
      </c>
    </row>
    <row r="58" spans="1:12">
      <c r="A58" s="102">
        <f t="shared" si="11"/>
        <v>5.5555555555555554</v>
      </c>
      <c r="B58" s="1">
        <f t="shared" si="0"/>
        <v>359381.36638046295</v>
      </c>
      <c r="C58" s="1">
        <f t="shared" si="1"/>
        <v>2258059.7209158484</v>
      </c>
      <c r="D58" s="63" t="str">
        <f t="shared" si="12"/>
        <v>0,0120525057632238-5,24866071857948i</v>
      </c>
      <c r="E58" s="1">
        <f t="shared" si="3"/>
        <v>14.40099290466134</v>
      </c>
      <c r="F58" s="1">
        <f t="shared" si="4"/>
        <v>-89.868431865565412</v>
      </c>
      <c r="G58" s="1" t="str">
        <f t="shared" si="13"/>
        <v>-0,00722559214275455+0,0142251378637616i</v>
      </c>
      <c r="H58" s="1">
        <f t="shared" si="6"/>
        <v>-35.942034757522492</v>
      </c>
      <c r="I58" s="1">
        <f t="shared" si="7"/>
        <v>116.92807899949355</v>
      </c>
      <c r="J58" s="1" t="str">
        <f t="shared" si="8"/>
        <v>0,0745758358309599+0,038096130204238i</v>
      </c>
      <c r="K58" s="1">
        <f t="shared" si="9"/>
        <v>-21.541041852861152</v>
      </c>
      <c r="L58" s="1">
        <f t="shared" si="10"/>
        <v>27.059647133928138</v>
      </c>
    </row>
    <row r="59" spans="1:12">
      <c r="A59" s="102">
        <f t="shared" si="11"/>
        <v>5.6666666666666661</v>
      </c>
      <c r="B59" s="1">
        <f t="shared" si="0"/>
        <v>464158.88336127804</v>
      </c>
      <c r="C59" s="1">
        <f t="shared" si="1"/>
        <v>2916396.2761324653</v>
      </c>
      <c r="D59" s="63" t="str">
        <f t="shared" si="12"/>
        <v>0,00722530264110568-4,0638559596012i</v>
      </c>
      <c r="E59" s="1">
        <f t="shared" si="3"/>
        <v>12.178779854348889</v>
      </c>
      <c r="F59" s="1">
        <f t="shared" si="4"/>
        <v>-89.898131499996808</v>
      </c>
      <c r="G59" s="1" t="str">
        <f t="shared" si="13"/>
        <v>-0,00477007402302615+0,0120516060401244i</v>
      </c>
      <c r="H59" s="1">
        <f t="shared" si="6"/>
        <v>-37.747041238810901</v>
      </c>
      <c r="I59" s="1">
        <f t="shared" si="7"/>
        <v>111.59385802178893</v>
      </c>
      <c r="J59" s="1" t="str">
        <f t="shared" si="8"/>
        <v>0,0489415258004885+0,019471970247165i</v>
      </c>
      <c r="K59" s="1">
        <f t="shared" si="9"/>
        <v>-25.568261384462012</v>
      </c>
      <c r="L59" s="1">
        <f t="shared" si="10"/>
        <v>21.695726521792178</v>
      </c>
    </row>
    <row r="60" spans="1:12">
      <c r="A60" s="102">
        <f t="shared" si="11"/>
        <v>5.7777777777777777</v>
      </c>
      <c r="B60" s="1">
        <f t="shared" si="0"/>
        <v>599484.25031894213</v>
      </c>
      <c r="C60" s="1">
        <f t="shared" si="1"/>
        <v>3766670.6334895464</v>
      </c>
      <c r="D60" s="63" t="str">
        <f t="shared" si="12"/>
        <v>0,00433146062101228-3,14650006481893i</v>
      </c>
      <c r="E60" s="1">
        <f t="shared" si="3"/>
        <v>9.9565631305513804</v>
      </c>
      <c r="F60" s="1">
        <f t="shared" si="4"/>
        <v>-89.921126886752319</v>
      </c>
      <c r="G60" s="1" t="str">
        <f t="shared" si="13"/>
        <v>-0,00304431155959276+0,00989574062074293i</v>
      </c>
      <c r="H60" s="1">
        <f t="shared" si="6"/>
        <v>-39.698314865880803</v>
      </c>
      <c r="I60" s="1">
        <f t="shared" si="7"/>
        <v>107.09991661932065</v>
      </c>
      <c r="J60" s="1" t="str">
        <f t="shared" si="8"/>
        <v>0,0311237621889605+0,00962178953040214i</v>
      </c>
      <c r="K60" s="1">
        <f t="shared" si="9"/>
        <v>-29.741751735329419</v>
      </c>
      <c r="L60" s="1">
        <f t="shared" si="10"/>
        <v>17.17878973256834</v>
      </c>
    </row>
    <row r="61" spans="1:12">
      <c r="A61" s="102">
        <f t="shared" si="11"/>
        <v>5.8888888888888893</v>
      </c>
      <c r="B61" s="1">
        <f t="shared" si="0"/>
        <v>774263.68268112827</v>
      </c>
      <c r="C61" s="1">
        <f t="shared" si="1"/>
        <v>4864842.1949048229</v>
      </c>
      <c r="D61" s="63" t="str">
        <f t="shared" si="12"/>
        <v>0,0025966443939824-2,43622257679454i</v>
      </c>
      <c r="E61" s="1">
        <f t="shared" si="3"/>
        <v>7.7343442045515438</v>
      </c>
      <c r="F61" s="1">
        <f t="shared" si="4"/>
        <v>-89.938931397422309</v>
      </c>
      <c r="G61" s="1" t="str">
        <f t="shared" si="13"/>
        <v>-0,00189854027003253+0,00795215565196007i</v>
      </c>
      <c r="H61" s="1">
        <f t="shared" si="6"/>
        <v>-41.749555365556112</v>
      </c>
      <c r="I61" s="1">
        <f t="shared" si="7"/>
        <v>103.42774351951151</v>
      </c>
      <c r="J61" s="1" t="str">
        <f t="shared" si="8"/>
        <v>0,0193682912995405+0,00464591558920059i</v>
      </c>
      <c r="K61" s="1">
        <f t="shared" si="9"/>
        <v>-34.015211161004572</v>
      </c>
      <c r="L61" s="1">
        <f t="shared" si="10"/>
        <v>13.488812122089211</v>
      </c>
    </row>
    <row r="62" spans="1:12">
      <c r="A62" s="102">
        <f t="shared" si="11"/>
        <v>6</v>
      </c>
      <c r="B62" s="1">
        <f t="shared" si="0"/>
        <v>1000000</v>
      </c>
      <c r="C62" s="1">
        <f t="shared" si="1"/>
        <v>6283185.307179586</v>
      </c>
      <c r="D62" s="63" t="str">
        <f t="shared" si="12"/>
        <v>0,00155664812614428-1,88627952239454i</v>
      </c>
      <c r="E62" s="1">
        <f t="shared" si="3"/>
        <v>5.5121239583639534</v>
      </c>
      <c r="F62" s="1">
        <f t="shared" si="4"/>
        <v>-89.952716791700738</v>
      </c>
      <c r="G62" s="1" t="str">
        <f t="shared" si="13"/>
        <v>-0,00116631271165202+0,00630068001909471i</v>
      </c>
      <c r="H62" s="1">
        <f t="shared" si="6"/>
        <v>-43.865931759870342</v>
      </c>
      <c r="I62" s="1">
        <f t="shared" si="7"/>
        <v>100.48725777443188</v>
      </c>
      <c r="J62" s="1" t="str">
        <f t="shared" si="8"/>
        <v>0,0118830281586817+0,00220979972644281i</v>
      </c>
      <c r="K62" s="1">
        <f t="shared" si="9"/>
        <v>-38.353807801506392</v>
      </c>
      <c r="L62" s="1">
        <f t="shared" si="10"/>
        <v>10.534540982731134</v>
      </c>
    </row>
    <row r="74" spans="2:98" ht="31.2">
      <c r="B74" s="30" t="s">
        <v>161</v>
      </c>
      <c r="C74" s="29"/>
      <c r="D74" s="29"/>
      <c r="E74" s="29"/>
    </row>
    <row r="75" spans="2:98" ht="31.2">
      <c r="B75" s="29"/>
      <c r="C75" s="29"/>
      <c r="D75" s="29"/>
      <c r="E75" s="29"/>
    </row>
    <row r="76" spans="2:98" ht="15" thickBot="1">
      <c r="B76" s="267" t="s">
        <v>33</v>
      </c>
      <c r="C76" s="267"/>
      <c r="D76" s="277" t="s">
        <v>31</v>
      </c>
      <c r="E76" s="258"/>
      <c r="F76" s="258"/>
      <c r="G76" s="258"/>
      <c r="H76" s="258"/>
      <c r="I76" s="258"/>
      <c r="J76" s="258"/>
      <c r="K76" s="258"/>
      <c r="L76" s="258"/>
      <c r="M76" s="258"/>
      <c r="N76" s="258"/>
      <c r="O76" s="258"/>
      <c r="P76" s="258"/>
      <c r="Q76" s="258"/>
      <c r="R76" s="258"/>
      <c r="S76" s="258"/>
      <c r="T76" s="258"/>
    </row>
    <row r="77" spans="2:98" ht="15" thickBot="1">
      <c r="B77" s="267"/>
      <c r="C77" s="267"/>
      <c r="D77" s="249" t="s">
        <v>0</v>
      </c>
      <c r="E77" s="250"/>
      <c r="F77" s="251"/>
      <c r="G77" s="249" t="s">
        <v>291</v>
      </c>
      <c r="H77" s="250"/>
      <c r="I77" s="251"/>
      <c r="J77" s="249" t="s">
        <v>292</v>
      </c>
      <c r="K77" s="250"/>
      <c r="L77" s="251"/>
      <c r="M77" s="249" t="s">
        <v>295</v>
      </c>
      <c r="N77" s="251"/>
      <c r="O77" s="268" t="s">
        <v>338</v>
      </c>
      <c r="P77" s="278"/>
      <c r="Q77" s="269"/>
      <c r="R77" s="279" t="s">
        <v>339</v>
      </c>
      <c r="S77" s="280"/>
      <c r="T77" s="280"/>
      <c r="U77" s="258" t="s">
        <v>298</v>
      </c>
      <c r="V77" s="258"/>
      <c r="W77" s="258"/>
      <c r="X77" s="145" t="s">
        <v>295</v>
      </c>
      <c r="Y77" t="s">
        <v>292</v>
      </c>
    </row>
    <row r="78" spans="2:98" ht="28.8">
      <c r="B78" s="61" t="s">
        <v>35</v>
      </c>
      <c r="C78" s="74" t="s">
        <v>34</v>
      </c>
      <c r="D78" s="75" t="s">
        <v>38</v>
      </c>
      <c r="E78" s="61" t="s">
        <v>36</v>
      </c>
      <c r="F78" s="76" t="s">
        <v>37</v>
      </c>
      <c r="G78" s="75" t="s">
        <v>38</v>
      </c>
      <c r="H78" s="61" t="s">
        <v>36</v>
      </c>
      <c r="I78" s="76" t="s">
        <v>37</v>
      </c>
      <c r="J78" s="75" t="s">
        <v>38</v>
      </c>
      <c r="K78" s="61" t="s">
        <v>36</v>
      </c>
      <c r="L78" s="76" t="s">
        <v>37</v>
      </c>
      <c r="M78" s="75" t="s">
        <v>293</v>
      </c>
      <c r="N78" s="76" t="s">
        <v>294</v>
      </c>
      <c r="O78" s="75" t="s">
        <v>38</v>
      </c>
      <c r="P78" s="61" t="s">
        <v>36</v>
      </c>
      <c r="Q78" s="76" t="s">
        <v>37</v>
      </c>
      <c r="R78" s="79" t="s">
        <v>38</v>
      </c>
      <c r="S78" s="80" t="s">
        <v>36</v>
      </c>
      <c r="T78" s="81" t="s">
        <v>37</v>
      </c>
      <c r="U78" s="79" t="s">
        <v>38</v>
      </c>
      <c r="V78" s="80" t="s">
        <v>36</v>
      </c>
      <c r="W78" s="81" t="s">
        <v>37</v>
      </c>
      <c r="X78" s="155" t="s">
        <v>370</v>
      </c>
      <c r="Y78" s="79" t="s">
        <v>38</v>
      </c>
      <c r="Z78" s="80" t="s">
        <v>36</v>
      </c>
      <c r="AA78" s="81" t="s">
        <v>37</v>
      </c>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row>
    <row r="79" spans="2:98">
      <c r="B79" s="1">
        <v>1</v>
      </c>
      <c r="C79" s="22">
        <f t="shared" ref="C79:C110" si="14">2*PI()*B79</f>
        <v>6.2831853071795862</v>
      </c>
      <c r="D79" s="26" t="str">
        <f>IMDIV(COMPLEX((V12_Nom/(I_Channel_Design*np)),((Zo_Buck_Cout*Zo_Buck_Resr*V12_Nom)/(I_Channel_Design*np))*C79),COMPLEX(1,((Zo_Buck_Cout*Zo_Buck_Resr)+((Zo_Buck_Cout*V12_Nom)/(I_Channel_Design*np)))*C79))</f>
        <v>0,274999920846607-0,000144925552870031i</v>
      </c>
      <c r="E79" s="1">
        <f t="shared" ref="E79:E137" si="15">20*LOG(IMABS(D79))</f>
        <v>-11.213347417287785</v>
      </c>
      <c r="F79" s="6">
        <f>IMARGUMENT(D79)*(180/PI())</f>
        <v>-3.0194996888597087E-2</v>
      </c>
      <c r="G79" s="5" t="str">
        <f t="shared" ref="G79:G110" si="16">IMDIV(COMPLEX(V48_Max,0),IMSUM(COMPLEX(Rcs/np,(Lm*C79)/np),D79))</f>
        <v>46,5949854966846+0,0213703957681458i</v>
      </c>
      <c r="H79" s="1">
        <f>20*LOG10(IMABS(G79))</f>
        <v>33.366784531338766</v>
      </c>
      <c r="I79" s="6">
        <f>IMARGUMENT(G79)*(180/PI())</f>
        <v>2.6278222541180701E-2</v>
      </c>
      <c r="J79" s="26" t="str">
        <f t="shared" ref="J79:J110" si="17">IMDIV(IMPRODUCT(COMPLEX(V48_Max,0),D79),IMSUM(COMPLEX(Rcs/np,(Lm*C79)/np),D79))</f>
        <v>12,8136204205535-0,000875946889377318i</v>
      </c>
      <c r="K79" s="1">
        <f>20*LOG10(IMABS(J79))</f>
        <v>22.15343711405098</v>
      </c>
      <c r="L79" s="6">
        <f>IMARGUMENT(J79)*(180/PI())</f>
        <v>-3.9167743474163279E-3</v>
      </c>
      <c r="M79" s="26">
        <f t="shared" ref="M79:M110" si="18">1/(Kff*V48_Max)</f>
        <v>2.4615384615384617</v>
      </c>
      <c r="N79" s="6">
        <f>(Rcs*Acs)/np</f>
        <v>0.16</v>
      </c>
      <c r="O79" s="5" t="str">
        <f t="shared" ref="O79:O110" si="19">IMPRODUCT(COMPLEX(gm/(IL_Comp_Ccomp+IL_Comp_Chf),0),IMDIV(COMPLEX(1,C79*IL_Comp_Rcomp*IL_Comp_Ccomp),IMPRODUCT(COMPLEX(0,C79),COMPLEX(1,C79*IL_Comp_Rcomp*IL_Comp_Chf))))</f>
        <v>0,196133518770378-2213,55971026314i</v>
      </c>
      <c r="P79" s="1">
        <f t="shared" ref="P79:P137" si="20">20*LOG(IMABS(O79))</f>
        <v>66.901824863425247</v>
      </c>
      <c r="Q79" s="6">
        <f>IMARGUMENT(O79)*(180/PI())</f>
        <v>-89.994923280015854</v>
      </c>
      <c r="R79" s="5" t="str">
        <f>IMDIV(IMPRODUCT(J79,O79,COMPLEX(M79,0)),IMSUM(COMPLEX(1,0),IMPRODUCT(G79,O79,COMPLEX(N79,0),COMPLEX(M79,0))))</f>
        <v>1,71874945879692-0,000948095901270589i</v>
      </c>
      <c r="S79" s="1">
        <f>20*LOG10(IMABS(R79))</f>
        <v>4.7042528099470813</v>
      </c>
      <c r="T79" s="6">
        <f>IMARGUMENT(R79)*(180/PI())</f>
        <v>-3.1605472181336511E-2</v>
      </c>
      <c r="U79" t="str">
        <f>IMPRODUCT(COMPLEX(-1,0),IMDIV(COMPLEX(1,C79*Calculations!$B$204*Calculations!$B$206),IMPRODUCT(COMPLEX(0,C79*Calculations!$B$193),COMPLEX((Calculations!$B$206+Calculations!$B$208),C79*Calculations!$B$204*Calculations!$B$206*Calculations!$B$208))))</f>
        <v>-0,191908871616698+164,211022202828i</v>
      </c>
      <c r="V79">
        <f>20*LOG10(IMABS(U79))</f>
        <v>44.308052022706548</v>
      </c>
      <c r="W79">
        <f>IMARGUMENT(U79)*(180/PI())</f>
        <v>90.066959959455588</v>
      </c>
      <c r="X79">
        <f>Calculations!$B$216/(Calculations!$B$216+Calculations!$B$218)</f>
        <v>0.80079681274900394</v>
      </c>
      <c r="Y79" t="str">
        <f>IMPRODUCT(IMPRODUCT(U79,R79), COMPLEX(X79,0))</f>
        <v>-0,139463147008964+226,015120657412i</v>
      </c>
      <c r="Z79">
        <f>20*LOG10(IMABS(Y79))</f>
        <v>47.082751551442634</v>
      </c>
      <c r="AA79">
        <f>IMARGUMENT(Y79)*(180/PI())</f>
        <v>90.035354487274248</v>
      </c>
    </row>
    <row r="80" spans="2:98">
      <c r="B80" s="1">
        <v>1.2915496650148839</v>
      </c>
      <c r="C80" s="22">
        <f t="shared" si="14"/>
        <v>8.1150458787142341</v>
      </c>
      <c r="D80" s="26" t="str">
        <f t="shared" ref="D80:D110" si="21">IMDIV(COMPLEX((V12_Nom/(I_Channel_Design*np)),((Zo_Buck_Cout*Zo_Buck_Resr*V12_Nom)/(I_Channel_Design*np))*C80),COMPLEX(1,((Zo_Buck_Cout*Zo_Buck_Resr)+((Zo_Buck_Cout*V12_Nom)/(I_Channel_Design*np)))*C80))</f>
        <v>0,27499986796421-0,000187178511958124i</v>
      </c>
      <c r="E80" s="1">
        <f t="shared" si="15"/>
        <v>-11.213348281738174</v>
      </c>
      <c r="F80" s="6">
        <f t="shared" ref="F80:F133" si="22">IMARGUMENT(D80)*(180/PI())</f>
        <v>-3.8998335431811075E-2</v>
      </c>
      <c r="G80" s="5" t="str">
        <f t="shared" si="16"/>
        <v>46,5949877801397+0,02760092784985i</v>
      </c>
      <c r="H80" s="1">
        <f t="shared" ref="H80:H137" si="23">20*LOG10(IMABS(G80))</f>
        <v>33.366785567344635</v>
      </c>
      <c r="I80" s="6">
        <f t="shared" ref="I80:I133" si="24">IMARGUMENT(G80)*(180/PI())</f>
        <v>3.3939626702696311E-2</v>
      </c>
      <c r="J80" s="26" t="str">
        <f t="shared" si="17"/>
        <v>12,813620653633-0,00113132896299507i</v>
      </c>
      <c r="K80" s="1">
        <f t="shared" ref="K80:K137" si="25">20*LOG10(IMABS(J80))</f>
        <v>22.153437285606465</v>
      </c>
      <c r="L80" s="6">
        <f t="shared" ref="L80:L133" si="26">IMARGUMENT(J80)*(180/PI())</f>
        <v>-5.0587087291147029E-3</v>
      </c>
      <c r="M80" s="26">
        <f t="shared" si="18"/>
        <v>2.4615384615384617</v>
      </c>
      <c r="N80" s="6">
        <f t="shared" ref="N80:N110" si="27">(Rcs*Acs)/np</f>
        <v>0.16</v>
      </c>
      <c r="O80" s="5" t="str">
        <f t="shared" si="19"/>
        <v>0,196133518766571-1713,87889364985i</v>
      </c>
      <c r="P80" s="1">
        <f t="shared" si="20"/>
        <v>64.679602666754576</v>
      </c>
      <c r="Q80" s="6">
        <f t="shared" ref="Q80:Q133" si="28">IMARGUMENT(O80)*(180/PI())</f>
        <v>-89.993443164018785</v>
      </c>
      <c r="R80" s="5" t="str">
        <f t="shared" ref="R80:R133" si="29">IMDIV(IMPRODUCT(J80,O80,COMPLEX(M80,0)),IMSUM(COMPLEX(1,0),IMPRODUCT(G80,O80,COMPLEX(N80,0),COMPLEX(M80,0))))</f>
        <v>1,71874909721906-0,00122451267587943i</v>
      </c>
      <c r="S80" s="1">
        <f t="shared" ref="S80:S137" si="30">20*LOG10(IMABS(R80))</f>
        <v>4.7042518655607797</v>
      </c>
      <c r="T80" s="6">
        <f t="shared" ref="T80:T133" si="31">IMARGUMENT(R80)*(180/PI())</f>
        <v>-4.0820033902132069E-2</v>
      </c>
      <c r="U80" t="str">
        <f>IMPRODUCT(COMPLEX(-1,0),IMDIV(COMPLEX(1,C80*Calculations!$B$204*Calculations!$B$206),IMPRODUCT(COMPLEX(0,C80*Calculations!$B$193),COMPLEX((Calculations!$B$206+Calculations!$B$208),C80*Calculations!$B$204*Calculations!$B$206*Calculations!$B$208))))</f>
        <v>-0,191908869865552+127,142642389212i</v>
      </c>
      <c r="V80">
        <f t="shared" ref="V80:V137" si="32">20*LOG10(IMABS(U80))</f>
        <v>42.085834555938902</v>
      </c>
      <c r="W80">
        <f t="shared" ref="W80:W134" si="33">IMARGUMENT(U80)*(180/PI())</f>
        <v>90.086482078219149</v>
      </c>
      <c r="X80">
        <f>Calculations!$B$216/(Calculations!$B$216+Calculations!$B$218)</f>
        <v>0.80079681274900394</v>
      </c>
      <c r="Y80" t="str">
        <f t="shared" ref="Y80:Y137" si="34">IMPRODUCT(IMPRODUCT(U80,R80), COMPLEX(X80,0))</f>
        <v>-0,139463104922111+174,995354186012i</v>
      </c>
      <c r="Z80">
        <f t="shared" ref="Z80:Z137" si="35">20*LOG10(IMABS(Y80))</f>
        <v>44.860533140288723</v>
      </c>
      <c r="AA80">
        <f t="shared" ref="AA80:AA134" si="36">IMARGUMENT(Y80)*(180/PI())</f>
        <v>90.045662044317027</v>
      </c>
    </row>
    <row r="81" spans="2:27">
      <c r="B81" s="1">
        <v>1.6681005372000588</v>
      </c>
      <c r="C81" s="22">
        <f t="shared" si="14"/>
        <v>10.480984786233785</v>
      </c>
      <c r="D81" s="26" t="str">
        <f t="shared" si="21"/>
        <v>0,274999779751101-0,000241750264050099i</v>
      </c>
      <c r="E81" s="1">
        <f t="shared" si="15"/>
        <v>-11.213349723727974</v>
      </c>
      <c r="F81" s="6">
        <f t="shared" si="22"/>
        <v>-5.0368281278907717E-2</v>
      </c>
      <c r="G81" s="5" t="str">
        <f t="shared" si="16"/>
        <v>46,5949915891728+0,0356479698818158i</v>
      </c>
      <c r="H81" s="1">
        <f t="shared" si="23"/>
        <v>33.366787295506242</v>
      </c>
      <c r="I81" s="6">
        <f t="shared" si="24"/>
        <v>4.3834707428366565E-2</v>
      </c>
      <c r="J81" s="26" t="str">
        <f t="shared" si="17"/>
        <v>12,813621042433-0,00146116765402146i</v>
      </c>
      <c r="K81" s="1">
        <f t="shared" si="25"/>
        <v>22.15343757177823</v>
      </c>
      <c r="L81" s="6">
        <f t="shared" si="26"/>
        <v>-6.533573850541278E-3</v>
      </c>
      <c r="M81" s="26">
        <f t="shared" si="18"/>
        <v>2.4615384615384617</v>
      </c>
      <c r="N81" s="6">
        <f t="shared" si="27"/>
        <v>0.16</v>
      </c>
      <c r="O81" s="5" t="str">
        <f t="shared" si="19"/>
        <v>0,196133518760216-1326,99418457321i</v>
      </c>
      <c r="P81" s="1">
        <f t="shared" si="20"/>
        <v>62.457380487155028</v>
      </c>
      <c r="Q81" s="6">
        <f t="shared" si="28"/>
        <v>-89.991531520714389</v>
      </c>
      <c r="R81" s="5" t="str">
        <f t="shared" si="29"/>
        <v>1,71874849407116-0,00158151835936278i</v>
      </c>
      <c r="S81" s="1">
        <f t="shared" si="30"/>
        <v>4.7042502902297869</v>
      </c>
      <c r="T81" s="6">
        <f t="shared" si="31"/>
        <v>-5.2721094419855015E-2</v>
      </c>
      <c r="U81" t="str">
        <f>IMPRODUCT(COMPLEX(-1,0),IMDIV(COMPLEX(1,C81*Calculations!$B$204*Calculations!$B$206),IMPRODUCT(COMPLEX(0,C81*Calculations!$B$193),COMPLEX((Calculations!$B$206+Calculations!$B$208),C81*Calculations!$B$204*Calculations!$B$206*Calculations!$B$208))))</f>
        <v>-0,191908866944465+98,4419455061469i</v>
      </c>
      <c r="V81">
        <f t="shared" si="32"/>
        <v>39.863620266281281</v>
      </c>
      <c r="W81">
        <f t="shared" si="33"/>
        <v>90.111695823780749</v>
      </c>
      <c r="X81">
        <f>Calculations!$B$216/(Calculations!$B$216+Calculations!$B$218)</f>
        <v>0.80079681274900394</v>
      </c>
      <c r="Y81" t="str">
        <f t="shared" si="34"/>
        <v>-0,139463034717045+135,492617804797i</v>
      </c>
      <c r="Z81">
        <f t="shared" si="35"/>
        <v>42.638317275300139</v>
      </c>
      <c r="AA81">
        <f t="shared" si="36"/>
        <v>90.058974729360898</v>
      </c>
    </row>
    <row r="82" spans="2:27">
      <c r="B82" s="1">
        <v>2.1544346900318838</v>
      </c>
      <c r="C82" s="22">
        <f t="shared" si="14"/>
        <v>13.536712389686338</v>
      </c>
      <c r="D82" s="26" t="str">
        <f t="shared" si="21"/>
        <v>0,274999632602896-0,000312232299405002i</v>
      </c>
      <c r="E82" s="1">
        <f t="shared" si="15"/>
        <v>-11.213352129110902</v>
      </c>
      <c r="F82" s="6">
        <f t="shared" si="22"/>
        <v>-6.5053124351504482E-2</v>
      </c>
      <c r="G82" s="5" t="str">
        <f t="shared" si="16"/>
        <v>46,594997943024+0,0460411252036752i</v>
      </c>
      <c r="H82" s="1">
        <f t="shared" si="23"/>
        <v>33.366790178252522</v>
      </c>
      <c r="I82" s="6">
        <f t="shared" si="24"/>
        <v>5.6614688617222422E-2</v>
      </c>
      <c r="J82" s="26" t="str">
        <f t="shared" si="17"/>
        <v>12,8136216909907-0,00188717083288711i</v>
      </c>
      <c r="K82" s="1">
        <f t="shared" si="25"/>
        <v>22.153438049141631</v>
      </c>
      <c r="L82" s="6">
        <f t="shared" si="26"/>
        <v>-8.4384357342820702E-3</v>
      </c>
      <c r="M82" s="26">
        <f t="shared" si="18"/>
        <v>2.4615384615384617</v>
      </c>
      <c r="N82" s="6">
        <f t="shared" si="27"/>
        <v>0.16</v>
      </c>
      <c r="O82" s="5" t="str">
        <f t="shared" si="19"/>
        <v>0,196133518749622-1027,44340515647i</v>
      </c>
      <c r="P82" s="1">
        <f t="shared" si="20"/>
        <v>60.235158336031702</v>
      </c>
      <c r="Q82" s="6">
        <f t="shared" si="28"/>
        <v>-89.989062538479004</v>
      </c>
      <c r="R82" s="5" t="str">
        <f t="shared" si="29"/>
        <v>1,71874748796085-0,00204260826419449i</v>
      </c>
      <c r="S82" s="1">
        <f t="shared" si="30"/>
        <v>4.7042476624208271</v>
      </c>
      <c r="T82" s="6">
        <f t="shared" si="31"/>
        <v>-6.8091897418979988E-2</v>
      </c>
      <c r="U82" t="str">
        <f>IMPRODUCT(COMPLEX(-1,0),IMDIV(COMPLEX(1,C82*Calculations!$B$204*Calculations!$B$206),IMPRODUCT(COMPLEX(0,C82*Calculations!$B$193),COMPLEX((Calculations!$B$206+Calculations!$B$208),C82*Calculations!$B$204*Calculations!$B$206*Calculations!$B$208))))</f>
        <v>-0,191908862071795+76,2200426105478i</v>
      </c>
      <c r="V82">
        <f t="shared" si="32"/>
        <v>37.641411276341437</v>
      </c>
      <c r="W82">
        <f t="shared" si="33"/>
        <v>90.144260541401863</v>
      </c>
      <c r="X82">
        <f>Calculations!$B$216/(Calculations!$B$216+Calculations!$B$218)</f>
        <v>0.80079681274900394</v>
      </c>
      <c r="Y82" t="str">
        <f t="shared" si="34"/>
        <v>-0,139462917608056+104,907104189319i</v>
      </c>
      <c r="Z82">
        <f t="shared" si="35"/>
        <v>40.416105657551341</v>
      </c>
      <c r="AA82">
        <f t="shared" si="36"/>
        <v>90.076168643982882</v>
      </c>
    </row>
    <row r="83" spans="2:27">
      <c r="B83" s="1">
        <v>2.7825594022071245</v>
      </c>
      <c r="C83" s="22">
        <f t="shared" si="14"/>
        <v>17.483336352302217</v>
      </c>
      <c r="D83" s="26" t="str">
        <f t="shared" si="21"/>
        <v>0,274999387145261-0,000403263148671815i</v>
      </c>
      <c r="E83" s="1">
        <f t="shared" si="15"/>
        <v>-11.213356141528434</v>
      </c>
      <c r="F83" s="6">
        <f t="shared" si="22"/>
        <v>-8.4019314116583171E-2</v>
      </c>
      <c r="G83" s="5" t="str">
        <f t="shared" si="16"/>
        <v>46,5950085418886+0,0594644033763716i</v>
      </c>
      <c r="H83" s="1">
        <f t="shared" si="23"/>
        <v>33.366794986960159</v>
      </c>
      <c r="I83" s="6">
        <f t="shared" si="24"/>
        <v>7.3120653943017477E-2</v>
      </c>
      <c r="J83" s="26" t="str">
        <f t="shared" si="17"/>
        <v>12,8136227728501-0,00243737537153131i</v>
      </c>
      <c r="K83" s="1">
        <f t="shared" si="25"/>
        <v>22.153438845431722</v>
      </c>
      <c r="L83" s="6">
        <f t="shared" si="26"/>
        <v>-1.0898660173565588E-2</v>
      </c>
      <c r="M83" s="26">
        <f t="shared" si="18"/>
        <v>2.4615384615384617</v>
      </c>
      <c r="N83" s="6">
        <f t="shared" si="27"/>
        <v>0.16</v>
      </c>
      <c r="O83" s="5" t="str">
        <f t="shared" si="19"/>
        <v>0,196133518731945-795,512115801256i</v>
      </c>
      <c r="P83" s="1">
        <f t="shared" si="20"/>
        <v>58.012936232409473</v>
      </c>
      <c r="Q83" s="6">
        <f t="shared" si="28"/>
        <v>-89.985873725373281</v>
      </c>
      <c r="R83" s="5" t="str">
        <f t="shared" si="29"/>
        <v>1,71874580967041-0,00263812734129972i</v>
      </c>
      <c r="S83" s="1">
        <f t="shared" si="30"/>
        <v>4.7042432789747526</v>
      </c>
      <c r="T83" s="6">
        <f t="shared" si="31"/>
        <v>-8.7944036238668977E-2</v>
      </c>
      <c r="U83" t="str">
        <f>IMPRODUCT(COMPLEX(-1,0),IMDIV(COMPLEX(1,C83*Calculations!$B$204*Calculations!$B$206),IMPRODUCT(COMPLEX(0,C83*Calculations!$B$193),COMPLEX((Calculations!$B$206+Calculations!$B$208),C83*Calculations!$B$204*Calculations!$B$206*Calculations!$B$208))))</f>
        <v>-0,191908853943694+59,0144358806805i</v>
      </c>
      <c r="V83">
        <f t="shared" si="32"/>
        <v>35.41921112680545</v>
      </c>
      <c r="W83">
        <f t="shared" si="33"/>
        <v>90.186319304074715</v>
      </c>
      <c r="X83">
        <f>Calculations!$B$216/(Calculations!$B$216+Calculations!$B$218)</f>
        <v>0.80079681274900394</v>
      </c>
      <c r="Y83" t="str">
        <f t="shared" si="34"/>
        <v>-0,139462722258807+81,2258782974318i</v>
      </c>
      <c r="Z83">
        <f t="shared" si="35"/>
        <v>38.193901124569194</v>
      </c>
      <c r="AA83">
        <f t="shared" si="36"/>
        <v>90.098375267836047</v>
      </c>
    </row>
    <row r="84" spans="2:27">
      <c r="B84" s="1">
        <v>3.5938136638046281</v>
      </c>
      <c r="C84" s="22">
        <f t="shared" si="14"/>
        <v>22.580597209158476</v>
      </c>
      <c r="D84" s="26" t="str">
        <f t="shared" si="21"/>
        <v>0,274998977698258-0,000520833580909813i</v>
      </c>
      <c r="E84" s="1">
        <f t="shared" si="15"/>
        <v>-11.213362834636026</v>
      </c>
      <c r="F84" s="6">
        <f t="shared" si="22"/>
        <v>-0.10851505916036243</v>
      </c>
      <c r="G84" s="5" t="str">
        <f t="shared" si="16"/>
        <v>46,5950262218668+0,0768012378934845i</v>
      </c>
      <c r="H84" s="1">
        <f t="shared" si="23"/>
        <v>33.36680300835981</v>
      </c>
      <c r="I84" s="6">
        <f t="shared" si="24"/>
        <v>9.4438895403630346E-2</v>
      </c>
      <c r="J84" s="26" t="str">
        <f t="shared" si="17"/>
        <v>12,8136245775006-0,00314799245305258i</v>
      </c>
      <c r="K84" s="1">
        <f t="shared" si="25"/>
        <v>22.153440173723755</v>
      </c>
      <c r="L84" s="6">
        <f t="shared" si="26"/>
        <v>-1.4076163756732157E-2</v>
      </c>
      <c r="M84" s="26">
        <f t="shared" si="18"/>
        <v>2.4615384615384617</v>
      </c>
      <c r="N84" s="6">
        <f t="shared" si="27"/>
        <v>0.16</v>
      </c>
      <c r="O84" s="5" t="str">
        <f t="shared" si="19"/>
        <v>0,196133518702458-615,936141919663i</v>
      </c>
      <c r="P84" s="1">
        <f t="shared" si="20"/>
        <v>55.790714208023999</v>
      </c>
      <c r="Q84" s="6">
        <f t="shared" si="28"/>
        <v>-89.981755215032763</v>
      </c>
      <c r="R84" s="5" t="str">
        <f t="shared" si="29"/>
        <v>1,71874301012085-0,00340726671419532i</v>
      </c>
      <c r="S84" s="1">
        <f t="shared" si="30"/>
        <v>4.7042359669560909</v>
      </c>
      <c r="T84" s="6">
        <f t="shared" si="31"/>
        <v>-0.11358402362092281</v>
      </c>
      <c r="U84" t="str">
        <f>IMPRODUCT(COMPLEX(-1,0),IMDIV(COMPLEX(1,C84*Calculations!$B$204*Calculations!$B$206),IMPRODUCT(COMPLEX(0,C84*Calculations!$B$193),COMPLEX((Calculations!$B$206+Calculations!$B$208),C84*Calculations!$B$204*Calculations!$B$206*Calculations!$B$208))))</f>
        <v>-0,191908840385205+45,6927667385083i</v>
      </c>
      <c r="V84">
        <f t="shared" si="32"/>
        <v>33.19702572378911</v>
      </c>
      <c r="W84">
        <f t="shared" si="33"/>
        <v>90.240639881045624</v>
      </c>
      <c r="X84">
        <f>Calculations!$B$216/(Calculations!$B$216+Calculations!$B$218)</f>
        <v>0.80079681274900394</v>
      </c>
      <c r="Y84" t="str">
        <f t="shared" si="34"/>
        <v>-0,139462396397517+62,8903993754144i</v>
      </c>
      <c r="Z84">
        <f t="shared" si="35"/>
        <v>35.971708409534216</v>
      </c>
      <c r="AA84">
        <f t="shared" si="36"/>
        <v>90.127055857424693</v>
      </c>
    </row>
    <row r="85" spans="2:27">
      <c r="B85" s="1">
        <v>4.6415888336127793</v>
      </c>
      <c r="C85" s="22">
        <f t="shared" si="14"/>
        <v>29.163962761324647</v>
      </c>
      <c r="D85" s="26" t="str">
        <f t="shared" si="21"/>
        <v>0,274998294702304-0,00067268070550492i</v>
      </c>
      <c r="E85" s="1">
        <f t="shared" si="15"/>
        <v>-11.213373999389393</v>
      </c>
      <c r="F85" s="6">
        <f t="shared" si="22"/>
        <v>-0.14015246369179887</v>
      </c>
      <c r="G85" s="5" t="str">
        <f t="shared" si="16"/>
        <v>46,5950557138658+0,0991926295176134i</v>
      </c>
      <c r="H85" s="1">
        <f t="shared" si="23"/>
        <v>33.366816388838203</v>
      </c>
      <c r="I85" s="6">
        <f t="shared" si="24"/>
        <v>0.12197239294443733</v>
      </c>
      <c r="J85" s="26" t="str">
        <f t="shared" si="17"/>
        <v>12,8136275878399-0,00406579098626322i</v>
      </c>
      <c r="K85" s="1">
        <f t="shared" si="25"/>
        <v>22.153442389448781</v>
      </c>
      <c r="L85" s="6">
        <f t="shared" si="26"/>
        <v>-1.8180070747361742E-2</v>
      </c>
      <c r="M85" s="26">
        <f t="shared" si="18"/>
        <v>2.4615384615384617</v>
      </c>
      <c r="N85" s="6">
        <f t="shared" si="27"/>
        <v>0.16</v>
      </c>
      <c r="O85" s="5" t="str">
        <f t="shared" si="19"/>
        <v>0,196133518653273-476,896987504769i</v>
      </c>
      <c r="P85" s="1">
        <f t="shared" si="20"/>
        <v>53.568492315813366</v>
      </c>
      <c r="Q85" s="6">
        <f t="shared" si="28"/>
        <v>-89.976435954722447</v>
      </c>
      <c r="R85" s="5" t="str">
        <f t="shared" si="29"/>
        <v>1,71873834021194-0,00440064175289186i</v>
      </c>
      <c r="S85" s="1">
        <f t="shared" si="30"/>
        <v>4.7042237698018878</v>
      </c>
      <c r="T85" s="6">
        <f t="shared" si="31"/>
        <v>-0.14669926347740064</v>
      </c>
      <c r="U85" t="str">
        <f>IMPRODUCT(COMPLEX(-1,0),IMDIV(COMPLEX(1,C85*Calculations!$B$204*Calculations!$B$206),IMPRODUCT(COMPLEX(0,C85*Calculations!$B$193),COMPLEX((Calculations!$B$206+Calculations!$B$208),C85*Calculations!$B$204*Calculations!$B$206*Calculations!$B$208))))</f>
        <v>-0,191908817768288+35,3782915408826i</v>
      </c>
      <c r="V85">
        <f t="shared" si="32"/>
        <v>30.974864918997845</v>
      </c>
      <c r="W85">
        <f t="shared" si="33"/>
        <v>90.310796733939981</v>
      </c>
      <c r="X85">
        <f>Calculations!$B$216/(Calculations!$B$216+Calculations!$B$218)</f>
        <v>0.80079681274900394</v>
      </c>
      <c r="Y85" t="str">
        <f t="shared" si="34"/>
        <v>-0,139461852830618+48,6939481732982i</v>
      </c>
      <c r="Z85">
        <f t="shared" si="35"/>
        <v>33.749535407588752</v>
      </c>
      <c r="AA85">
        <f t="shared" si="36"/>
        <v>90.164097470462579</v>
      </c>
    </row>
    <row r="86" spans="2:27">
      <c r="B86" s="1">
        <v>5.9948425031894104</v>
      </c>
      <c r="C86" s="22">
        <f t="shared" si="14"/>
        <v>37.666706334895395</v>
      </c>
      <c r="D86" s="26" t="str">
        <f t="shared" si="21"/>
        <v>0,27499715540421-0,000868796809591593i</v>
      </c>
      <c r="E86" s="1">
        <f t="shared" si="15"/>
        <v>-11.213392623256468</v>
      </c>
      <c r="F86" s="6">
        <f t="shared" si="22"/>
        <v>-0.18101359905657777</v>
      </c>
      <c r="G86" s="5" t="str">
        <f t="shared" si="16"/>
        <v>46,5951049095348+0,128112242851986i</v>
      </c>
      <c r="H86" s="1">
        <f t="shared" si="23"/>
        <v>33.366838708758294</v>
      </c>
      <c r="I86" s="6">
        <f t="shared" si="24"/>
        <v>0.15753312149581875</v>
      </c>
      <c r="J86" s="26" t="str">
        <f t="shared" si="17"/>
        <v>12,8136326093907-0,00525117613123988i</v>
      </c>
      <c r="K86" s="1">
        <f t="shared" si="25"/>
        <v>22.153446085501844</v>
      </c>
      <c r="L86" s="6">
        <f t="shared" si="26"/>
        <v>-2.3480477560758772E-2</v>
      </c>
      <c r="M86" s="26">
        <f t="shared" si="18"/>
        <v>2.4615384615384617</v>
      </c>
      <c r="N86" s="6">
        <f t="shared" si="27"/>
        <v>0.16</v>
      </c>
      <c r="O86" s="5" t="str">
        <f t="shared" si="19"/>
        <v>0,196133518571226-369,244020343706i</v>
      </c>
      <c r="P86" s="1">
        <f t="shared" si="20"/>
        <v>51.346270644083575</v>
      </c>
      <c r="Q86" s="6">
        <f t="shared" si="28"/>
        <v>-89.969565866583764</v>
      </c>
      <c r="R86" s="5" t="str">
        <f t="shared" si="29"/>
        <v>1,71873055039339-0,00568362060142248i</v>
      </c>
      <c r="S86" s="1">
        <f t="shared" si="30"/>
        <v>4.7042034238003936</v>
      </c>
      <c r="T86" s="6">
        <f t="shared" si="31"/>
        <v>-0.18946907397451138</v>
      </c>
      <c r="U86" t="str">
        <f>IMPRODUCT(COMPLEX(-1,0),IMDIV(COMPLEX(1,C86*Calculations!$B$204*Calculations!$B$206),IMPRODUCT(COMPLEX(0,C86*Calculations!$B$193),COMPLEX((Calculations!$B$206+Calculations!$B$208),C86*Calculations!$B$204*Calculations!$B$206*Calculations!$B$208))))</f>
        <v>-0,191908780041008+27,3921801453108i</v>
      </c>
      <c r="V86">
        <f t="shared" si="32"/>
        <v>28.752745145260153</v>
      </c>
      <c r="W86">
        <f t="shared" si="33"/>
        <v>90.401405919287228</v>
      </c>
      <c r="X86">
        <f>Calculations!$B$216/(Calculations!$B$216+Calculations!$B$218)</f>
        <v>0.80079681274900394</v>
      </c>
      <c r="Y86" t="str">
        <f t="shared" si="34"/>
        <v>-0,139460946113313+37,70220871099i</v>
      </c>
      <c r="Z86">
        <f t="shared" si="35"/>
        <v>31.527395287849576</v>
      </c>
      <c r="AA86">
        <f t="shared" si="36"/>
        <v>90.211936845312721</v>
      </c>
    </row>
    <row r="87" spans="2:27">
      <c r="B87" s="1">
        <v>7.7426368268112711</v>
      </c>
      <c r="C87" s="22">
        <f t="shared" si="14"/>
        <v>48.648421949048156</v>
      </c>
      <c r="D87" s="26" t="str">
        <f t="shared" si="21"/>
        <v>0,274995254962219-0,0011220861918732i</v>
      </c>
      <c r="E87" s="1">
        <f t="shared" si="15"/>
        <v>-11.213423689560958</v>
      </c>
      <c r="F87" s="6">
        <f t="shared" si="22"/>
        <v>-0.23378747481554243</v>
      </c>
      <c r="G87" s="5" t="str">
        <f t="shared" si="16"/>
        <v>46,5951869729945+0,165463400664017i</v>
      </c>
      <c r="H87" s="1">
        <f t="shared" si="23"/>
        <v>33.366875940453305</v>
      </c>
      <c r="I87" s="6">
        <f t="shared" si="24"/>
        <v>0.2034612432829723</v>
      </c>
      <c r="J87" s="26" t="str">
        <f t="shared" si="17"/>
        <v>12,813640985848-0,00678216585763i</v>
      </c>
      <c r="K87" s="1">
        <f t="shared" si="25"/>
        <v>22.153452250892332</v>
      </c>
      <c r="L87" s="6">
        <f t="shared" si="26"/>
        <v>-3.0326231532570247E-2</v>
      </c>
      <c r="M87" s="26">
        <f t="shared" si="18"/>
        <v>2.4615384615384617</v>
      </c>
      <c r="N87" s="6">
        <f t="shared" si="27"/>
        <v>0.16</v>
      </c>
      <c r="O87" s="5" t="str">
        <f t="shared" si="19"/>
        <v>0,196133518434364-285,892238278198i</v>
      </c>
      <c r="P87" s="1">
        <f t="shared" si="20"/>
        <v>49.124049340137987</v>
      </c>
      <c r="Q87" s="6">
        <f t="shared" si="28"/>
        <v>-89.960692808129323</v>
      </c>
      <c r="R87" s="5" t="str">
        <f t="shared" si="29"/>
        <v>1,71871755635708-0,00734062058799845i</v>
      </c>
      <c r="S87" s="1">
        <f t="shared" si="30"/>
        <v>4.7041694848413416</v>
      </c>
      <c r="T87" s="6">
        <f t="shared" si="31"/>
        <v>-0.24470804980055488</v>
      </c>
      <c r="U87" t="str">
        <f>IMPRODUCT(COMPLEX(-1,0),IMDIV(COMPLEX(1,C87*Calculations!$B$204*Calculations!$B$206),IMPRODUCT(COMPLEX(0,C87*Calculations!$B$193),COMPLEX((Calculations!$B$206+Calculations!$B$208),C87*Calculations!$B$204*Calculations!$B$206*Calculations!$B$208))))</f>
        <v>-0,191908717108144+21,2088398257578i</v>
      </c>
      <c r="V87">
        <f t="shared" si="32"/>
        <v>26.530693811942626</v>
      </c>
      <c r="W87">
        <f t="shared" si="33"/>
        <v>90.518428143974191</v>
      </c>
      <c r="X87">
        <f>Calculations!$B$216/(Calculations!$B$216+Calculations!$B$218)</f>
        <v>0.80079681274900394</v>
      </c>
      <c r="Y87" t="str">
        <f t="shared" si="34"/>
        <v>-0,139459433636979+29,1917778151497i</v>
      </c>
      <c r="Z87">
        <f t="shared" si="35"/>
        <v>29.305310015572985</v>
      </c>
      <c r="AA87">
        <f t="shared" si="36"/>
        <v>90.27372009417364</v>
      </c>
    </row>
    <row r="88" spans="2:27">
      <c r="B88" s="1">
        <v>10</v>
      </c>
      <c r="C88" s="22">
        <f t="shared" si="14"/>
        <v>62.831853071795862</v>
      </c>
      <c r="D88" s="26" t="str">
        <f t="shared" si="21"/>
        <v>0,274992084894492-0,00144921273140326i</v>
      </c>
      <c r="E88" s="1">
        <f t="shared" si="15"/>
        <v>-11.213475510784377</v>
      </c>
      <c r="F88" s="6">
        <f t="shared" si="22"/>
        <v>-0.30194688865230335</v>
      </c>
      <c r="G88" s="5" t="str">
        <f t="shared" si="16"/>
        <v>46,5953238634787+0,21370436413541i</v>
      </c>
      <c r="H88" s="1">
        <f t="shared" si="23"/>
        <v>33.366938046174894</v>
      </c>
      <c r="I88" s="6">
        <f t="shared" si="24"/>
        <v>0.2627789928484322</v>
      </c>
      <c r="J88" s="26" t="str">
        <f t="shared" si="17"/>
        <v>12,8136549586374-0,00875952792216336i</v>
      </c>
      <c r="K88" s="1">
        <f t="shared" si="25"/>
        <v>22.15346253539056</v>
      </c>
      <c r="L88" s="6">
        <f t="shared" si="26"/>
        <v>-3.9167895803870957E-2</v>
      </c>
      <c r="M88" s="26">
        <f t="shared" si="18"/>
        <v>2.4615384615384617</v>
      </c>
      <c r="N88" s="6">
        <f t="shared" si="27"/>
        <v>0.16</v>
      </c>
      <c r="O88" s="5" t="str">
        <f t="shared" si="19"/>
        <v>0,196133518206063-221,355981494083i</v>
      </c>
      <c r="P88" s="1">
        <f t="shared" si="20"/>
        <v>46.901828649693023</v>
      </c>
      <c r="Q88" s="6">
        <f t="shared" si="28"/>
        <v>-89.949232815858196</v>
      </c>
      <c r="R88" s="5" t="str">
        <f t="shared" si="29"/>
        <v>1,71869588145503-0,00948065176213216i</v>
      </c>
      <c r="S88" s="1">
        <f t="shared" si="30"/>
        <v>4.7041128718493415</v>
      </c>
      <c r="T88" s="6">
        <f t="shared" si="31"/>
        <v>-0.31605115796974526</v>
      </c>
      <c r="U88" t="str">
        <f>IMPRODUCT(COMPLEX(-1,0),IMDIV(COMPLEX(1,C88*Calculations!$B$204*Calculations!$B$206),IMPRODUCT(COMPLEX(0,C88*Calculations!$B$193),COMPLEX((Calculations!$B$206+Calculations!$B$208),C88*Calculations!$B$204*Calculations!$B$206*Calculations!$B$208))))</f>
        <v>-0,191908612129893+16,4213242558078i</v>
      </c>
      <c r="V88">
        <f t="shared" si="32"/>
        <v>24.308756634381922</v>
      </c>
      <c r="W88">
        <f t="shared" si="33"/>
        <v>90.66955945956876</v>
      </c>
      <c r="X88">
        <f>Calculations!$B$216/(Calculations!$B$216+Calculations!$B$218)</f>
        <v>0.80079681274900394</v>
      </c>
      <c r="Y88" t="str">
        <f t="shared" si="34"/>
        <v>-0,139456910728076+22,6025555331811i</v>
      </c>
      <c r="Z88">
        <f t="shared" si="35"/>
        <v>27.083316225020276</v>
      </c>
      <c r="AA88">
        <f t="shared" si="36"/>
        <v>90.353508301599021</v>
      </c>
    </row>
    <row r="89" spans="2:27">
      <c r="B89" s="1">
        <v>12.915496650148844</v>
      </c>
      <c r="C89" s="22">
        <f t="shared" si="14"/>
        <v>81.150458787142384</v>
      </c>
      <c r="D89" s="26" t="str">
        <f t="shared" si="21"/>
        <v>0,274986797071366-0,00187169291745567i</v>
      </c>
      <c r="E89" s="1">
        <f t="shared" si="15"/>
        <v>-11.213561952415676</v>
      </c>
      <c r="F89" s="6">
        <f t="shared" si="22"/>
        <v>-0.38997671823599128</v>
      </c>
      <c r="G89" s="5" t="str">
        <f t="shared" si="16"/>
        <v>46,5955522116363+0,276010154177077i</v>
      </c>
      <c r="H89" s="1">
        <f t="shared" si="23"/>
        <v>33.367041643402459</v>
      </c>
      <c r="I89" s="6">
        <f t="shared" si="24"/>
        <v>0.33938930275981732</v>
      </c>
      <c r="J89" s="26" t="str">
        <f t="shared" si="17"/>
        <v>12,8136782667002-0,0113134168031273i</v>
      </c>
      <c r="K89" s="1">
        <f t="shared" si="25"/>
        <v>22.153479690986785</v>
      </c>
      <c r="L89" s="6">
        <f t="shared" si="26"/>
        <v>-5.0587415476174263E-2</v>
      </c>
      <c r="M89" s="26">
        <f t="shared" si="18"/>
        <v>2.4615384615384617</v>
      </c>
      <c r="N89" s="6">
        <f t="shared" si="27"/>
        <v>0.16</v>
      </c>
      <c r="O89" s="5" t="str">
        <f t="shared" si="19"/>
        <v>0,196133517825237-171,387902884631i</v>
      </c>
      <c r="P89" s="1">
        <f t="shared" si="20"/>
        <v>44.679608982628125</v>
      </c>
      <c r="Q89" s="6">
        <f t="shared" si="28"/>
        <v>-89.934431674011677</v>
      </c>
      <c r="R89" s="5" t="str">
        <f t="shared" si="29"/>
        <v>1,71865972681051-0,0122444648222053i</v>
      </c>
      <c r="S89" s="1">
        <f t="shared" si="30"/>
        <v>4.7040184373667984</v>
      </c>
      <c r="T89" s="6">
        <f t="shared" si="31"/>
        <v>-0.4081926610555906</v>
      </c>
      <c r="U89" t="str">
        <f>IMPRODUCT(COMPLEX(-1,0),IMDIV(COMPLEX(1,C89*Calculations!$B$204*Calculations!$B$206),IMPRODUCT(COMPLEX(0,C89*Calculations!$B$193),COMPLEX((Calculations!$B$206+Calculations!$B$208),C89*Calculations!$B$204*Calculations!$B$206*Calculations!$B$208))))</f>
        <v>-0,191908437015872+12,7145510085649i</v>
      </c>
      <c r="V89">
        <f t="shared" si="32"/>
        <v>22.087009852989961</v>
      </c>
      <c r="W89">
        <f t="shared" si="33"/>
        <v>90.864734319771728</v>
      </c>
      <c r="X89">
        <f>Calculations!$B$216/(Calculations!$B$216+Calculations!$B$218)</f>
        <v>0.80079681274900394</v>
      </c>
      <c r="Y89" t="str">
        <f t="shared" si="34"/>
        <v>-0,139452702411731+17,5008830772109i</v>
      </c>
      <c r="Z89">
        <f t="shared" si="35"/>
        <v>24.861475009145806</v>
      </c>
      <c r="AA89">
        <f t="shared" si="36"/>
        <v>90.456541658716134</v>
      </c>
    </row>
    <row r="90" spans="2:27">
      <c r="B90" s="1">
        <v>16.681005372000598</v>
      </c>
      <c r="C90" s="22">
        <f t="shared" si="14"/>
        <v>104.8098478623379</v>
      </c>
      <c r="D90" s="26" t="str">
        <f t="shared" si="21"/>
        <v>0,274977976919752-0,00241730400371236i</v>
      </c>
      <c r="E90" s="1">
        <f t="shared" si="15"/>
        <v>-11.213706141909178</v>
      </c>
      <c r="F90" s="6">
        <f t="shared" si="22"/>
        <v>-0.5036685160715727</v>
      </c>
      <c r="G90" s="5" t="str">
        <f t="shared" si="16"/>
        <v>46,5959331222892+0,356481585410747i</v>
      </c>
      <c r="H90" s="1">
        <f t="shared" si="23"/>
        <v>33.367214450209069</v>
      </c>
      <c r="I90" s="6">
        <f t="shared" si="24"/>
        <v>0.43833207051072282</v>
      </c>
      <c r="J90" s="26" t="str">
        <f t="shared" si="17"/>
        <v>12,8137171470188-0,01461195052783i</v>
      </c>
      <c r="K90" s="1">
        <f t="shared" si="25"/>
        <v>22.153508308299877</v>
      </c>
      <c r="L90" s="6">
        <f t="shared" si="26"/>
        <v>-6.5336445560849762E-2</v>
      </c>
      <c r="M90" s="26">
        <f t="shared" si="18"/>
        <v>2.4615384615384617</v>
      </c>
      <c r="N90" s="6">
        <f t="shared" si="27"/>
        <v>0.16</v>
      </c>
      <c r="O90" s="5" t="str">
        <f t="shared" si="19"/>
        <v>0,196133517189978-132,699435918613i</v>
      </c>
      <c r="P90" s="1">
        <f t="shared" si="20"/>
        <v>42.457391022661696</v>
      </c>
      <c r="Q90" s="6">
        <f t="shared" si="28"/>
        <v>-89.91531528001498</v>
      </c>
      <c r="R90" s="5" t="str">
        <f t="shared" si="29"/>
        <v>1,71859942076566-0,015813757547324i</v>
      </c>
      <c r="S90" s="1">
        <f t="shared" si="30"/>
        <v>4.703860915830079</v>
      </c>
      <c r="T90" s="6">
        <f t="shared" si="31"/>
        <v>-0.52719440289150465</v>
      </c>
      <c r="U90" t="str">
        <f>IMPRODUCT(COMPLEX(-1,0),IMDIV(COMPLEX(1,C90*Calculations!$B$204*Calculations!$B$206),IMPRODUCT(COMPLEX(0,C90*Calculations!$B$193),COMPLEX((Calculations!$B$206+Calculations!$B$208),C90*Calculations!$B$204*Calculations!$B$206*Calculations!$B$208))))</f>
        <v>-0,191908144908791+9,84456492728258i</v>
      </c>
      <c r="V90">
        <f t="shared" si="32"/>
        <v>19.865580596134873</v>
      </c>
      <c r="W90">
        <f t="shared" si="33"/>
        <v>91.116771980969403</v>
      </c>
      <c r="X90">
        <f>Calculations!$B$216/(Calculations!$B$216+Calculations!$B$218)</f>
        <v>0.80079681274900394</v>
      </c>
      <c r="Y90" t="str">
        <f t="shared" si="34"/>
        <v>-0,139445682932536+13,5510022808332i</v>
      </c>
      <c r="Z90">
        <f t="shared" si="35"/>
        <v>22.639888230753957</v>
      </c>
      <c r="AA90">
        <f t="shared" si="36"/>
        <v>90.589577578077908</v>
      </c>
    </row>
    <row r="91" spans="2:27">
      <c r="B91" s="1">
        <v>21.544346900318843</v>
      </c>
      <c r="C91" s="22">
        <f t="shared" si="14"/>
        <v>135.3671238968634</v>
      </c>
      <c r="D91" s="26" t="str">
        <f t="shared" si="21"/>
        <v>0,274963265324934-0,00312189506802757i</v>
      </c>
      <c r="E91" s="1">
        <f t="shared" si="15"/>
        <v>-11.213946653801907</v>
      </c>
      <c r="F91" s="6">
        <f t="shared" si="22"/>
        <v>-0.65050044320592104</v>
      </c>
      <c r="G91" s="5" t="str">
        <f t="shared" si="16"/>
        <v>46,5965685278152+0,460415316578303i</v>
      </c>
      <c r="H91" s="1">
        <f t="shared" si="23"/>
        <v>33.367502698806831</v>
      </c>
      <c r="I91" s="6">
        <f t="shared" si="24"/>
        <v>0.56611456255031778</v>
      </c>
      <c r="J91" s="26" t="str">
        <f t="shared" si="17"/>
        <v>12,8137820036512-0,0188722986220115i</v>
      </c>
      <c r="K91" s="1">
        <f t="shared" si="25"/>
        <v>22.15355604500493</v>
      </c>
      <c r="L91" s="6">
        <f t="shared" si="26"/>
        <v>-8.4385880655602902E-2</v>
      </c>
      <c r="M91" s="26">
        <f t="shared" si="18"/>
        <v>2.4615384615384617</v>
      </c>
      <c r="N91" s="6">
        <f t="shared" si="27"/>
        <v>0.16</v>
      </c>
      <c r="O91" s="5" t="str">
        <f t="shared" si="19"/>
        <v>0,196133516130305-102,744363067773i</v>
      </c>
      <c r="P91" s="1">
        <f t="shared" si="20"/>
        <v>40.235175910301422</v>
      </c>
      <c r="Q91" s="6">
        <f t="shared" si="28"/>
        <v>-89.890625541785795</v>
      </c>
      <c r="R91" s="5" t="str">
        <f t="shared" si="29"/>
        <v>1,71849883406086-0,0204230105082188i</v>
      </c>
      <c r="S91" s="1">
        <f t="shared" si="30"/>
        <v>4.7035981670756923</v>
      </c>
      <c r="T91" s="6">
        <f t="shared" si="31"/>
        <v>-0.6808833383489401</v>
      </c>
      <c r="U91" t="str">
        <f>IMPRODUCT(COMPLEX(-1,0),IMDIV(COMPLEX(1,C91*Calculations!$B$204*Calculations!$B$206),IMPRODUCT(COMPLEX(0,C91*Calculations!$B$193),COMPLEX((Calculations!$B$206+Calculations!$B$208),C91*Calculations!$B$204*Calculations!$B$206*Calculations!$B$208))))</f>
        <v>-0,19190765764679+7,6224826196894i</v>
      </c>
      <c r="V91">
        <f t="shared" si="32"/>
        <v>17.644680792387849</v>
      </c>
      <c r="W91">
        <f t="shared" si="33"/>
        <v>91.442204210545881</v>
      </c>
      <c r="X91">
        <f>Calculations!$B$216/(Calculations!$B$216+Calculations!$B$218)</f>
        <v>0.80079681274900394</v>
      </c>
      <c r="Y91" t="str">
        <f t="shared" si="34"/>
        <v>-0,139433974891706+10,4929582157989i</v>
      </c>
      <c r="Z91">
        <f t="shared" si="35"/>
        <v>20.418725678252567</v>
      </c>
      <c r="AA91">
        <f t="shared" si="36"/>
        <v>90.761320872196947</v>
      </c>
    </row>
    <row r="92" spans="2:27">
      <c r="B92" s="1">
        <v>27.825594022071257</v>
      </c>
      <c r="C92" s="22">
        <f t="shared" si="14"/>
        <v>174.83336352302226</v>
      </c>
      <c r="D92" s="26" t="str">
        <f t="shared" si="21"/>
        <v>0,274938728535822-0,00403170963416611i</v>
      </c>
      <c r="E92" s="1">
        <f t="shared" si="15"/>
        <v>-11.214347822108284</v>
      </c>
      <c r="F92" s="6">
        <f t="shared" si="22"/>
        <v>-0.84012678763067461</v>
      </c>
      <c r="G92" s="5" t="str">
        <f t="shared" si="16"/>
        <v>46,5976284711012+0,594652790556738i</v>
      </c>
      <c r="H92" s="1">
        <f t="shared" si="23"/>
        <v>33.36798349715292</v>
      </c>
      <c r="I92" s="6">
        <f t="shared" si="24"/>
        <v>0.73113690398829745</v>
      </c>
      <c r="J92" s="26" t="str">
        <f t="shared" si="17"/>
        <v>12,8138901920139-0,0243750254802833i</v>
      </c>
      <c r="K92" s="1">
        <f t="shared" si="25"/>
        <v>22.153635675044661</v>
      </c>
      <c r="L92" s="6">
        <f t="shared" si="26"/>
        <v>-0.10898988364237489</v>
      </c>
      <c r="M92" s="26">
        <f t="shared" si="18"/>
        <v>2.4615384615384617</v>
      </c>
      <c r="N92" s="6">
        <f t="shared" si="27"/>
        <v>0.16</v>
      </c>
      <c r="O92" s="5" t="str">
        <f t="shared" si="19"/>
        <v>0,196133514362661-79,5512407073167i</v>
      </c>
      <c r="P92" s="1">
        <f t="shared" si="20"/>
        <v>38.012965548017597</v>
      </c>
      <c r="Q92" s="6">
        <f t="shared" si="28"/>
        <v>-89.858737591969387</v>
      </c>
      <c r="R92" s="5" t="str">
        <f t="shared" si="29"/>
        <v>1,71833107270223-0,0263746553838815i</v>
      </c>
      <c r="S92" s="1">
        <f t="shared" si="30"/>
        <v>4.7031599119212899</v>
      </c>
      <c r="T92" s="6">
        <f t="shared" si="31"/>
        <v>-0.87936359205566927</v>
      </c>
      <c r="U92" t="str">
        <f>IMPRODUCT(COMPLEX(-1,0),IMDIV(COMPLEX(1,C92*Calculations!$B$204*Calculations!$B$206),IMPRODUCT(COMPLEX(0,C92*Calculations!$B$193),COMPLEX((Calculations!$B$206+Calculations!$B$208),C92*Calculations!$B$204*Calculations!$B$206*Calculations!$B$208))))</f>
        <v>-0,19190684485029+5,90206140935947i</v>
      </c>
      <c r="V92">
        <f t="shared" si="32"/>
        <v>15.424663586512526</v>
      </c>
      <c r="W92">
        <f t="shared" si="33"/>
        <v>91.862328942442204</v>
      </c>
      <c r="X92">
        <f>Calculations!$B$216/(Calculations!$B$216+Calculations!$B$218)</f>
        <v>0.80079681274900394</v>
      </c>
      <c r="Y92" t="str">
        <f t="shared" si="34"/>
        <v>-0,13941444791901+8,1254906570086i</v>
      </c>
      <c r="Z92">
        <f t="shared" si="35"/>
        <v>18.198270217222813</v>
      </c>
      <c r="AA92">
        <f t="shared" si="36"/>
        <v>90.982965350386536</v>
      </c>
    </row>
    <row r="93" spans="2:27">
      <c r="B93" s="1">
        <v>35.938136638046281</v>
      </c>
      <c r="C93" s="22">
        <f t="shared" si="14"/>
        <v>225.80597209158475</v>
      </c>
      <c r="D93" s="26" t="str">
        <f t="shared" si="21"/>
        <v>0,274897808802656-0,00520635004738762i</v>
      </c>
      <c r="E93" s="1">
        <f t="shared" si="15"/>
        <v>-11.215016928519574</v>
      </c>
      <c r="F93" s="6">
        <f t="shared" si="22"/>
        <v>-1.0850076506097295</v>
      </c>
      <c r="G93" s="5" t="str">
        <f t="shared" si="16"/>
        <v>46,5993966270308+0,768031244886808i</v>
      </c>
      <c r="H93" s="1">
        <f t="shared" si="23"/>
        <v>33.368785435634877</v>
      </c>
      <c r="I93" s="6">
        <f t="shared" si="24"/>
        <v>0.94423894228515326</v>
      </c>
      <c r="J93" s="26" t="str">
        <f t="shared" si="17"/>
        <v>12,8140706638049-0,031482664526017i</v>
      </c>
      <c r="K93" s="1">
        <f t="shared" si="25"/>
        <v>22.153768507115338</v>
      </c>
      <c r="L93" s="6">
        <f t="shared" si="26"/>
        <v>-0.14076870832457714</v>
      </c>
      <c r="M93" s="26">
        <f t="shared" si="18"/>
        <v>2.4615384615384617</v>
      </c>
      <c r="N93" s="6">
        <f t="shared" si="27"/>
        <v>0.16</v>
      </c>
      <c r="O93" s="5" t="str">
        <f t="shared" si="19"/>
        <v>0,196133511414055-61,5936518111796i</v>
      </c>
      <c r="P93" s="1">
        <f t="shared" si="20"/>
        <v>35.790763109292435</v>
      </c>
      <c r="Q93" s="6">
        <f t="shared" si="28"/>
        <v>-89.817552879034182</v>
      </c>
      <c r="R93" s="5" t="str">
        <f t="shared" si="29"/>
        <v>1,71805130604434-0,034058411482039i</v>
      </c>
      <c r="S93" s="1">
        <f t="shared" si="30"/>
        <v>4.702428958924064</v>
      </c>
      <c r="T93" s="6">
        <f t="shared" si="31"/>
        <v>-1.1356748566508041</v>
      </c>
      <c r="U93" t="str">
        <f>IMPRODUCT(COMPLEX(-1,0),IMDIV(COMPLEX(1,C93*Calculations!$B$204*Calculations!$B$206),IMPRODUCT(COMPLEX(0,C93*Calculations!$B$193),COMPLEX((Calculations!$B$206+Calculations!$B$208),C93*Calculations!$B$204*Calculations!$B$206*Calculations!$B$208))))</f>
        <v>-0,191905489039332+4,57007461503899i</v>
      </c>
      <c r="V93">
        <f t="shared" si="32"/>
        <v>13.206117022206886</v>
      </c>
      <c r="W93">
        <f t="shared" si="33"/>
        <v>92.404538130639779</v>
      </c>
      <c r="X93">
        <f>Calculations!$B$216/(Calculations!$B$216+Calculations!$B$218)</f>
        <v>0.80079681274900394</v>
      </c>
      <c r="Y93" t="str">
        <f t="shared" si="34"/>
        <v>-0,13938188391249+6,2927884067611i</v>
      </c>
      <c r="Z93">
        <f t="shared" si="35"/>
        <v>15.978992699919965</v>
      </c>
      <c r="AA93">
        <f t="shared" si="36"/>
        <v>91.26886327398897</v>
      </c>
    </row>
    <row r="94" spans="2:27">
      <c r="B94" s="1">
        <v>46.415888336127786</v>
      </c>
      <c r="C94" s="22">
        <f t="shared" si="14"/>
        <v>291.63962761324643</v>
      </c>
      <c r="D94" s="26" t="str">
        <f t="shared" si="21"/>
        <v>0,274829578657719-0,00672252997262641i</v>
      </c>
      <c r="E94" s="1">
        <f t="shared" si="15"/>
        <v>-11.216132835365507</v>
      </c>
      <c r="F94" s="6">
        <f t="shared" si="22"/>
        <v>-1.4012167278959211</v>
      </c>
      <c r="G94" s="5" t="str">
        <f t="shared" si="16"/>
        <v>46,6023462668833+0,991966940685262i</v>
      </c>
      <c r="H94" s="1">
        <f t="shared" si="23"/>
        <v>33.370122922953399</v>
      </c>
      <c r="I94" s="6">
        <f t="shared" si="24"/>
        <v>1.2194007865653607</v>
      </c>
      <c r="J94" s="26" t="str">
        <f t="shared" si="17"/>
        <v>12,8143717164793-0,0406638132229199i</v>
      </c>
      <c r="K94" s="1">
        <f t="shared" si="25"/>
        <v>22.153990087587911</v>
      </c>
      <c r="L94" s="6">
        <f t="shared" si="26"/>
        <v>-0.18181594133055781</v>
      </c>
      <c r="M94" s="26">
        <f t="shared" si="18"/>
        <v>2.4615384615384617</v>
      </c>
      <c r="N94" s="6">
        <f t="shared" si="27"/>
        <v>0.16</v>
      </c>
      <c r="O94" s="5" t="str">
        <f t="shared" si="19"/>
        <v>0,196133506495483-47,6897473375582i</v>
      </c>
      <c r="P94" s="1">
        <f t="shared" si="20"/>
        <v>33.568573887730452</v>
      </c>
      <c r="Q94" s="6">
        <f t="shared" si="28"/>
        <v>-89.764361117167866</v>
      </c>
      <c r="R94" s="5" t="str">
        <f t="shared" si="29"/>
        <v>1,71758483891884-0,043975713447235i</v>
      </c>
      <c r="S94" s="1">
        <f t="shared" si="30"/>
        <v>4.7012099358291435</v>
      </c>
      <c r="T94" s="6">
        <f t="shared" si="31"/>
        <v>-1.4666363967717762</v>
      </c>
      <c r="U94" t="str">
        <f>IMPRODUCT(COMPLEX(-1,0),IMDIV(COMPLEX(1,C94*Calculations!$B$204*Calculations!$B$206),IMPRODUCT(COMPLEX(0,C94*Calculations!$B$193),COMPLEX((Calculations!$B$206+Calculations!$B$208),C94*Calculations!$B$204*Calculations!$B$206*Calculations!$B$208))))</f>
        <v>-0,191903227452977+3,53885972249579i</v>
      </c>
      <c r="V94">
        <f t="shared" si="32"/>
        <v>10.99001913724817</v>
      </c>
      <c r="W94">
        <f t="shared" si="33"/>
        <v>93.103962083440393</v>
      </c>
      <c r="X94">
        <f>Calculations!$B$216/(Calculations!$B$216+Calculations!$B$218)</f>
        <v>0.80079681274900394</v>
      </c>
      <c r="Y94" t="str">
        <f t="shared" si="34"/>
        <v>-0,139327588757787+4,87423469497862i</v>
      </c>
      <c r="Z94">
        <f t="shared" si="35"/>
        <v>13.761675791866326</v>
      </c>
      <c r="AA94">
        <f t="shared" si="36"/>
        <v>91.637325686668603</v>
      </c>
    </row>
    <row r="95" spans="2:27">
      <c r="B95" s="1">
        <v>59.948425031894104</v>
      </c>
      <c r="C95" s="22">
        <f t="shared" si="14"/>
        <v>376.66706334895395</v>
      </c>
      <c r="D95" s="26" t="str">
        <f t="shared" si="21"/>
        <v>0,274715841995873-0,00867875739292835i</v>
      </c>
      <c r="E95" s="1">
        <f t="shared" si="15"/>
        <v>-11.217993640771995</v>
      </c>
      <c r="F95" s="6">
        <f t="shared" si="22"/>
        <v>-1.8094727931553463</v>
      </c>
      <c r="G95" s="5" t="str">
        <f t="shared" si="16"/>
        <v>46,6072670580376+1,28120999678606i</v>
      </c>
      <c r="H95" s="1">
        <f t="shared" si="23"/>
        <v>33.372353355836609</v>
      </c>
      <c r="I95" s="6">
        <f t="shared" si="24"/>
        <v>1.5746351958601255</v>
      </c>
      <c r="J95" s="26" t="str">
        <f t="shared" si="17"/>
        <v>12,8148739237068-0,0525244805035189i</v>
      </c>
      <c r="K95" s="1">
        <f t="shared" si="25"/>
        <v>22.154359715064594</v>
      </c>
      <c r="L95" s="6">
        <f t="shared" si="26"/>
        <v>-0.23483759729522705</v>
      </c>
      <c r="M95" s="26">
        <f t="shared" si="18"/>
        <v>2.4615384615384617</v>
      </c>
      <c r="N95" s="6">
        <f t="shared" si="27"/>
        <v>0.16</v>
      </c>
      <c r="O95" s="5" t="str">
        <f t="shared" si="19"/>
        <v>0,19613349829081-36,9244647869965i</v>
      </c>
      <c r="P95" s="1">
        <f t="shared" si="20"/>
        <v>31.346406713365557</v>
      </c>
      <c r="Q95" s="6">
        <f t="shared" si="28"/>
        <v>-89.695662048152087</v>
      </c>
      <c r="R95" s="5" t="str">
        <f t="shared" si="29"/>
        <v>1,71680731361913-0,0567700877007062i</v>
      </c>
      <c r="S95" s="1">
        <f t="shared" si="30"/>
        <v>4.6991772613631779</v>
      </c>
      <c r="T95" s="6">
        <f t="shared" si="31"/>
        <v>-1.893923468975155</v>
      </c>
      <c r="U95" t="str">
        <f>IMPRODUCT(COMPLEX(-1,0),IMDIV(COMPLEX(1,C95*Calculations!$B$204*Calculations!$B$206),IMPRODUCT(COMPLEX(0,C95*Calculations!$B$193),COMPLEX((Calculations!$B$206+Calculations!$B$208),C95*Calculations!$B$204*Calculations!$B$206*Calculations!$B$208))))</f>
        <v>-0,191899455018183+2,74054901838554i</v>
      </c>
      <c r="V95">
        <f t="shared" si="32"/>
        <v>8.7779934252609237</v>
      </c>
      <c r="W95">
        <f t="shared" si="33"/>
        <v>94.005442521364657</v>
      </c>
      <c r="X95">
        <f>Calculations!$B$216/(Calculations!$B$216+Calculations!$B$218)</f>
        <v>0.80079681274900394</v>
      </c>
      <c r="Y95" t="str">
        <f t="shared" si="34"/>
        <v>-0,139237088152649+3,77646867786618i</v>
      </c>
      <c r="Z95">
        <f t="shared" si="35"/>
        <v>11.54761740541311</v>
      </c>
      <c r="AA95">
        <f t="shared" si="36"/>
        <v>92.111519052389482</v>
      </c>
    </row>
    <row r="96" spans="2:27">
      <c r="B96" s="1">
        <v>77.426368268112768</v>
      </c>
      <c r="C96" s="22">
        <f t="shared" si="14"/>
        <v>486.48421949048191</v>
      </c>
      <c r="D96" s="26" t="str">
        <f t="shared" si="21"/>
        <v>0,274526334765939-0,0112010323899176i</v>
      </c>
      <c r="E96" s="1">
        <f t="shared" si="15"/>
        <v>-11.221095873755873</v>
      </c>
      <c r="F96" s="6">
        <f t="shared" si="22"/>
        <v>-2.3364465519597659</v>
      </c>
      <c r="G96" s="5" t="str">
        <f t="shared" si="16"/>
        <v>46,6154768109134+1,65482266736459i</v>
      </c>
      <c r="H96" s="1">
        <f t="shared" si="23"/>
        <v>33.376072189576874</v>
      </c>
      <c r="I96" s="6">
        <f t="shared" si="24"/>
        <v>2.0331135196434813</v>
      </c>
      <c r="J96" s="26" t="str">
        <f t="shared" si="17"/>
        <v>12,8157117145634-0,0678490640713001i</v>
      </c>
      <c r="K96" s="1">
        <f t="shared" si="25"/>
        <v>22.154976315820999</v>
      </c>
      <c r="L96" s="6">
        <f t="shared" si="26"/>
        <v>-0.30333303231629322</v>
      </c>
      <c r="M96" s="26">
        <f t="shared" si="18"/>
        <v>2.4615384615384617</v>
      </c>
      <c r="N96" s="6">
        <f t="shared" si="27"/>
        <v>0.16</v>
      </c>
      <c r="O96" s="5" t="str">
        <f t="shared" si="19"/>
        <v>0,196133484604595-28,5893048759468i</v>
      </c>
      <c r="P96" s="1">
        <f t="shared" si="20"/>
        <v>29.124276314940762</v>
      </c>
      <c r="Q96" s="6">
        <f t="shared" si="28"/>
        <v>-89.606935368175229</v>
      </c>
      <c r="R96" s="5" t="str">
        <f t="shared" si="29"/>
        <v>1,71551195898476-0,0732638718032664i</v>
      </c>
      <c r="S96" s="1">
        <f t="shared" si="30"/>
        <v>4.6957887202991362</v>
      </c>
      <c r="T96" s="6">
        <f t="shared" si="31"/>
        <v>-2.4454282558247558</v>
      </c>
      <c r="U96" t="str">
        <f>IMPRODUCT(COMPLEX(-1,0),IMDIV(COMPLEX(1,C96*Calculations!$B$204*Calculations!$B$206),IMPRODUCT(COMPLEX(0,C96*Calculations!$B$193),COMPLEX((Calculations!$B$206+Calculations!$B$208),C96*Calculations!$B$204*Calculations!$B$206*Calculations!$B$208))))</f>
        <v>-0,19189316254772+2,12260298322575i</v>
      </c>
      <c r="V96">
        <f t="shared" si="32"/>
        <v>6.5727260260506482</v>
      </c>
      <c r="W96">
        <f t="shared" si="33"/>
        <v>95.165761713993845</v>
      </c>
      <c r="X96">
        <f>Calculations!$B$216/(Calculations!$B$216+Calculations!$B$218)</f>
        <v>0.80079681274900394</v>
      </c>
      <c r="Y96" t="str">
        <f t="shared" si="34"/>
        <v>-0,139086316221089+2,92724038737142i</v>
      </c>
      <c r="Z96">
        <f t="shared" si="35"/>
        <v>9.3389614651388086</v>
      </c>
      <c r="AA96">
        <f t="shared" si="36"/>
        <v>92.72033345816908</v>
      </c>
    </row>
    <row r="97" spans="2:27">
      <c r="B97" s="1">
        <v>100</v>
      </c>
      <c r="C97" s="22">
        <f t="shared" si="14"/>
        <v>628.31853071795865</v>
      </c>
      <c r="D97" s="26" t="str">
        <f t="shared" si="21"/>
        <v>0,27421081994041-0,0144494572876959i</v>
      </c>
      <c r="E97" s="1">
        <f t="shared" si="15"/>
        <v>-11.226265771920978</v>
      </c>
      <c r="F97" s="6">
        <f t="shared" si="22"/>
        <v>-3.0163941537551007</v>
      </c>
      <c r="G97" s="5" t="str">
        <f t="shared" si="16"/>
        <v>46,6291753408853+2,13745010075914i</v>
      </c>
      <c r="H97" s="1">
        <f t="shared" si="23"/>
        <v>33.382270709261064</v>
      </c>
      <c r="I97" s="6">
        <f t="shared" si="24"/>
        <v>2.6245628232962415</v>
      </c>
      <c r="J97" s="26" t="str">
        <f t="shared" si="17"/>
        <v>12,8171093973048-0,087654332737731i</v>
      </c>
      <c r="K97" s="1">
        <f t="shared" si="25"/>
        <v>22.156004937340082</v>
      </c>
      <c r="L97" s="6">
        <f t="shared" si="26"/>
        <v>-0.39183133045886731</v>
      </c>
      <c r="M97" s="26">
        <f t="shared" si="18"/>
        <v>2.4615384615384617</v>
      </c>
      <c r="N97" s="6">
        <f t="shared" si="27"/>
        <v>0.16</v>
      </c>
      <c r="O97" s="5" t="str">
        <f t="shared" si="19"/>
        <v>0,196133461774615-22,1357028270774i</v>
      </c>
      <c r="P97" s="1">
        <f t="shared" si="20"/>
        <v>26.9022072596957</v>
      </c>
      <c r="Q97" s="6">
        <f t="shared" si="28"/>
        <v>-89.492343857356786</v>
      </c>
      <c r="R97" s="5" t="str">
        <f t="shared" si="29"/>
        <v>1,71335571703577-0,0945002752305481i</v>
      </c>
      <c r="S97" s="1">
        <f t="shared" si="30"/>
        <v>4.6901423050880409</v>
      </c>
      <c r="T97" s="6">
        <f t="shared" si="31"/>
        <v>-3.1569547759406111</v>
      </c>
      <c r="U97" t="str">
        <f>IMPRODUCT(COMPLEX(-1,0),IMDIV(COMPLEX(1,C97*Calculations!$B$204*Calculations!$B$206),IMPRODUCT(COMPLEX(0,C97*Calculations!$B$193),COMPLEX((Calculations!$B$206+Calculations!$B$208),C97*Calculations!$B$204*Calculations!$B$206*Calculations!$B$208))))</f>
        <v>-0,191882666992628+1,64435247764801i</v>
      </c>
      <c r="V97">
        <f t="shared" si="32"/>
        <v>4.3786372278389853</v>
      </c>
      <c r="W97">
        <f t="shared" si="33"/>
        <v>96.655853182363472</v>
      </c>
      <c r="X97">
        <f>Calculations!$B$216/(Calculations!$B$216+Calculations!$B$218)</f>
        <v>0.80079681274900394</v>
      </c>
      <c r="Y97" t="str">
        <f t="shared" si="34"/>
        <v>-0,138835346846223+2,27065430411087i</v>
      </c>
      <c r="Z97">
        <f t="shared" si="35"/>
        <v>7.1392262517160452</v>
      </c>
      <c r="AA97">
        <f t="shared" si="36"/>
        <v>93.498898406422853</v>
      </c>
    </row>
    <row r="98" spans="2:27">
      <c r="B98" s="1">
        <v>129.15496650148842</v>
      </c>
      <c r="C98" s="22">
        <f t="shared" si="14"/>
        <v>811.50458787142372</v>
      </c>
      <c r="D98" s="26" t="str">
        <f t="shared" si="21"/>
        <v>0,273686178878391-0,0186251835200108i</v>
      </c>
      <c r="E98" s="1">
        <f t="shared" si="15"/>
        <v>-11.234875976210496</v>
      </c>
      <c r="F98" s="6">
        <f t="shared" si="22"/>
        <v>-3.8931508411348248</v>
      </c>
      <c r="G98" s="5" t="str">
        <f t="shared" si="16"/>
        <v>46,6520365468712+2,76097723983913i</v>
      </c>
      <c r="H98" s="1">
        <f t="shared" si="23"/>
        <v>33.392596950964027</v>
      </c>
      <c r="I98" s="6">
        <f t="shared" si="24"/>
        <v>3.3869483478187123</v>
      </c>
      <c r="J98" s="26" t="str">
        <f t="shared" si="17"/>
        <v>12,8194413271948-0,113261431525948i</v>
      </c>
      <c r="K98" s="1">
        <f t="shared" si="25"/>
        <v>22.157720974753531</v>
      </c>
      <c r="L98" s="6">
        <f t="shared" si="26"/>
        <v>-0.50620249331610934</v>
      </c>
      <c r="M98" s="26">
        <f t="shared" si="18"/>
        <v>2.4615384615384617</v>
      </c>
      <c r="N98" s="6">
        <f t="shared" si="27"/>
        <v>0.16</v>
      </c>
      <c r="O98" s="5" t="str">
        <f t="shared" si="19"/>
        <v>0,196133423691926-17,138925484845i</v>
      </c>
      <c r="P98" s="1">
        <f t="shared" si="20"/>
        <v>24.680240523290617</v>
      </c>
      <c r="Q98" s="6">
        <f t="shared" si="28"/>
        <v>-89.344350560892039</v>
      </c>
      <c r="R98" s="5" t="str">
        <f t="shared" si="29"/>
        <v>1,70977146684248-0,121786326847434i</v>
      </c>
      <c r="S98" s="1">
        <f t="shared" si="30"/>
        <v>4.6807401976146705</v>
      </c>
      <c r="T98" s="6">
        <f t="shared" si="31"/>
        <v>-4.0742739047953656</v>
      </c>
      <c r="U98" t="str">
        <f>IMPRODUCT(COMPLEX(-1,0),IMDIV(COMPLEX(1,C98*Calculations!$B$204*Calculations!$B$206),IMPRODUCT(COMPLEX(0,C98*Calculations!$B$193),COMPLEX((Calculations!$B$206+Calculations!$B$208),C98*Calculations!$B$204*Calculations!$B$206*Calculations!$B$208))))</f>
        <v>-0,191865161906219+1,27432214416515i</v>
      </c>
      <c r="V98">
        <f t="shared" si="32"/>
        <v>2.2029358306841291</v>
      </c>
      <c r="W98">
        <f t="shared" si="33"/>
        <v>98.56228418726532</v>
      </c>
      <c r="X98">
        <f>Calculations!$B$216/(Calculations!$B$216+Calculations!$B$218)</f>
        <v>0.80079681274900394</v>
      </c>
      <c r="Y98" t="str">
        <f t="shared" si="34"/>
        <v>-0,138418182454898+1,7634876700817i</v>
      </c>
      <c r="Z98">
        <f t="shared" si="35"/>
        <v>4.954122747087796</v>
      </c>
      <c r="AA98">
        <f t="shared" si="36"/>
        <v>94.488010282469972</v>
      </c>
    </row>
    <row r="99" spans="2:27">
      <c r="B99" s="1">
        <v>166.81005372000601</v>
      </c>
      <c r="C99" s="22">
        <f t="shared" si="14"/>
        <v>1048.0984786233792</v>
      </c>
      <c r="D99" s="26" t="str">
        <f t="shared" si="21"/>
        <v>0,272815640011528-0,0239760382567065i</v>
      </c>
      <c r="E99" s="1">
        <f t="shared" si="15"/>
        <v>-11.249200690326802</v>
      </c>
      <c r="F99" s="6">
        <f t="shared" si="22"/>
        <v>-5.0224592192794715</v>
      </c>
      <c r="G99" s="5" t="str">
        <f t="shared" si="16"/>
        <v>46,6902010785331+3,56670251614082i</v>
      </c>
      <c r="H99" s="1">
        <f t="shared" si="23"/>
        <v>33.40978472594675</v>
      </c>
      <c r="I99" s="6">
        <f t="shared" si="24"/>
        <v>4.368387156327902</v>
      </c>
      <c r="J99" s="26" t="str">
        <f t="shared" si="17"/>
        <v>12,8233324854842-0,146393817600546i</v>
      </c>
      <c r="K99" s="1">
        <f t="shared" si="25"/>
        <v>22.16058403561993</v>
      </c>
      <c r="L99" s="6">
        <f t="shared" si="26"/>
        <v>-0.6540720629515806</v>
      </c>
      <c r="M99" s="26">
        <f t="shared" si="18"/>
        <v>2.4615384615384617</v>
      </c>
      <c r="N99" s="6">
        <f t="shared" si="27"/>
        <v>0.16</v>
      </c>
      <c r="O99" s="5" t="str">
        <f t="shared" si="19"/>
        <v>0,196133360166202-13,270118204646i</v>
      </c>
      <c r="P99" s="1">
        <f t="shared" si="20"/>
        <v>22.458444443433248</v>
      </c>
      <c r="Q99" s="6">
        <f t="shared" si="28"/>
        <v>-89.153225660453444</v>
      </c>
      <c r="R99" s="5" t="str">
        <f t="shared" si="29"/>
        <v>1,703827327349-0,156724473852528i</v>
      </c>
      <c r="S99" s="1">
        <f t="shared" si="30"/>
        <v>4.6651027315154128</v>
      </c>
      <c r="T99" s="6">
        <f t="shared" si="31"/>
        <v>-5.2554932629038378</v>
      </c>
      <c r="U99" t="str">
        <f>IMPRODUCT(COMPLEX(-1,0),IMDIV(COMPLEX(1,C99*Calculations!$B$204*Calculations!$B$206),IMPRODUCT(COMPLEX(0,C99*Calculations!$B$193),COMPLEX((Calculations!$B$206+Calculations!$B$208),C99*Calculations!$B$204*Calculations!$B$206*Calculations!$B$208))))</f>
        <v>-0,191835968768599+0,988158852500617i</v>
      </c>
      <c r="V99">
        <f t="shared" si="32"/>
        <v>5.7204513708453968E-2</v>
      </c>
      <c r="W99">
        <f t="shared" si="33"/>
        <v>100.98644194906598</v>
      </c>
      <c r="X99">
        <f>Calculations!$B$216/(Calculations!$B$216+Calculations!$B$218)</f>
        <v>0.80079681274900394</v>
      </c>
      <c r="Y99" t="str">
        <f t="shared" si="34"/>
        <v>-0,137726392959449+1,3723394702496i</v>
      </c>
      <c r="Z99">
        <f t="shared" si="35"/>
        <v>2.7927539640128791</v>
      </c>
      <c r="AA99">
        <f t="shared" si="36"/>
        <v>95.730948686162122</v>
      </c>
    </row>
    <row r="100" spans="2:27">
      <c r="B100" s="1">
        <v>215.44346900318828</v>
      </c>
      <c r="C100" s="22">
        <f t="shared" si="14"/>
        <v>1353.6712389686331</v>
      </c>
      <c r="D100" s="26" t="str">
        <f t="shared" si="21"/>
        <v>0,271376198051933-0,0307968681059362i</v>
      </c>
      <c r="E100" s="1">
        <f t="shared" si="15"/>
        <v>-11.272990849801188</v>
      </c>
      <c r="F100" s="6">
        <f t="shared" si="22"/>
        <v>-6.4744574725541169</v>
      </c>
      <c r="G100" s="5" t="str">
        <f t="shared" si="16"/>
        <v>46,7539462134224+4,60821795326158i</v>
      </c>
      <c r="H100" s="1">
        <f t="shared" si="23"/>
        <v>33.438352255871692</v>
      </c>
      <c r="I100" s="6">
        <f t="shared" si="24"/>
        <v>5.6290733688355443</v>
      </c>
      <c r="J100" s="26" t="str">
        <f t="shared" si="17"/>
        <v>12,8298268478331-0,189314447016017i</v>
      </c>
      <c r="K100" s="1">
        <f t="shared" si="25"/>
        <v>22.165361406070474</v>
      </c>
      <c r="L100" s="6">
        <f t="shared" si="26"/>
        <v>-0.84538410371857498</v>
      </c>
      <c r="M100" s="26">
        <f t="shared" si="18"/>
        <v>2.4615384615384617</v>
      </c>
      <c r="N100" s="6">
        <f t="shared" si="27"/>
        <v>0.16</v>
      </c>
      <c r="O100" s="5" t="str">
        <f t="shared" si="19"/>
        <v>0,196133254199003-10,2746618277377i</v>
      </c>
      <c r="P100" s="1">
        <f t="shared" si="20"/>
        <v>20.236932975867138</v>
      </c>
      <c r="Q100" s="6">
        <f t="shared" si="28"/>
        <v>-88.906412375001196</v>
      </c>
      <c r="R100" s="5" t="str">
        <f t="shared" si="29"/>
        <v>1,69400745753384-0,201204208798021i</v>
      </c>
      <c r="S100" s="1">
        <f t="shared" si="30"/>
        <v>4.6391453898191468</v>
      </c>
      <c r="T100" s="6">
        <f t="shared" si="31"/>
        <v>-6.773521510646316</v>
      </c>
      <c r="U100" t="str">
        <f>IMPRODUCT(COMPLEX(-1,0),IMDIV(COMPLEX(1,C100*Calculations!$B$204*Calculations!$B$206),IMPRODUCT(COMPLEX(0,C100*Calculations!$B$193),COMPLEX((Calculations!$B$206+Calculations!$B$208),C100*Calculations!$B$204*Calculations!$B$206*Calculations!$B$208))))</f>
        <v>-0,19178729144427+0,767028818003832i</v>
      </c>
      <c r="V100">
        <f t="shared" si="32"/>
        <v>-2.0403968186780999</v>
      </c>
      <c r="W100">
        <f t="shared" si="33"/>
        <v>104.03835869049634</v>
      </c>
      <c r="X100">
        <f>Calculations!$B$216/(Calculations!$B$216+Calculations!$B$218)</f>
        <v>0.80079681274900394</v>
      </c>
      <c r="Y100" t="str">
        <f t="shared" si="34"/>
        <v>-0,13658364453597+1,07141884686438i</v>
      </c>
      <c r="Z100">
        <f t="shared" si="35"/>
        <v>0.66919528993010635</v>
      </c>
      <c r="AA100">
        <f t="shared" si="36"/>
        <v>97.264837179849977</v>
      </c>
    </row>
    <row r="101" spans="2:27">
      <c r="B101" s="1">
        <v>278.25594022071277</v>
      </c>
      <c r="C101" s="22">
        <f t="shared" si="14"/>
        <v>1748.3336352302238</v>
      </c>
      <c r="D101" s="26" t="str">
        <f t="shared" si="21"/>
        <v>0,269009788770235-0,0394160522352537i</v>
      </c>
      <c r="E101" s="1">
        <f t="shared" si="15"/>
        <v>-11.31238678495038</v>
      </c>
      <c r="F101" s="6">
        <f t="shared" si="22"/>
        <v>-8.3358188674507758</v>
      </c>
      <c r="G101" s="5" t="str">
        <f t="shared" si="16"/>
        <v>46,8605105378866+5,95528556050862i</v>
      </c>
      <c r="H101" s="1">
        <f t="shared" si="23"/>
        <v>33.48572149208232</v>
      </c>
      <c r="I101" s="6">
        <f t="shared" si="24"/>
        <v>7.242630987193297</v>
      </c>
      <c r="J101" s="26" t="str">
        <f t="shared" si="17"/>
        <v>12,8406698881911-0,24502622043314i</v>
      </c>
      <c r="K101" s="1">
        <f t="shared" si="25"/>
        <v>22.173334707131943</v>
      </c>
      <c r="L101" s="6">
        <f t="shared" si="26"/>
        <v>-1.0931878802574766</v>
      </c>
      <c r="M101" s="26">
        <f t="shared" si="18"/>
        <v>2.4615384615384617</v>
      </c>
      <c r="N101" s="6">
        <f t="shared" si="27"/>
        <v>0.16</v>
      </c>
      <c r="O101" s="5" t="str">
        <f t="shared" si="19"/>
        <v>0,196133077435314-7,95541534198742i</v>
      </c>
      <c r="P101" s="1">
        <f t="shared" si="20"/>
        <v>18.015896103370565</v>
      </c>
      <c r="Q101" s="6">
        <f t="shared" si="28"/>
        <v>-88.587714017481332</v>
      </c>
      <c r="R101" s="5" t="str">
        <f t="shared" si="29"/>
        <v>1,67788762202957-0,257293021965161i</v>
      </c>
      <c r="S101" s="1">
        <f t="shared" si="30"/>
        <v>4.5961961433253746</v>
      </c>
      <c r="T101" s="6">
        <f t="shared" si="31"/>
        <v>-8.7180214657948891</v>
      </c>
      <c r="U101" t="str">
        <f>IMPRODUCT(COMPLEX(-1,0),IMDIV(COMPLEX(1,C101*Calculations!$B$204*Calculations!$B$206),IMPRODUCT(COMPLEX(0,C101*Calculations!$B$193),COMPLEX((Calculations!$B$206+Calculations!$B$208),C101*Calculations!$B$204*Calculations!$B$206*Calculations!$B$208))))</f>
        <v>-0,191706147722938+0,596377828032577i</v>
      </c>
      <c r="V101">
        <f t="shared" si="32"/>
        <v>-4.0625134466155517</v>
      </c>
      <c r="W101">
        <f t="shared" si="33"/>
        <v>107.82004479800548</v>
      </c>
      <c r="X101">
        <f>Calculations!$B$216/(Calculations!$B$216+Calculations!$B$218)</f>
        <v>0.80079681274900394</v>
      </c>
      <c r="Y101" t="str">
        <f t="shared" si="34"/>
        <v>-0,13470805284254+0,840820340983744i</v>
      </c>
      <c r="Z101">
        <f t="shared" si="35"/>
        <v>-1.3958705845011996</v>
      </c>
      <c r="AA101">
        <f t="shared" si="36"/>
        <v>99.102023332210621</v>
      </c>
    </row>
    <row r="102" spans="2:27">
      <c r="B102" s="1">
        <v>359.38136638046274</v>
      </c>
      <c r="C102" s="22">
        <f t="shared" si="14"/>
        <v>2258.0597209158473</v>
      </c>
      <c r="D102" s="26" t="str">
        <f t="shared" si="21"/>
        <v>0,265156191288895-0,0501513978516135i</v>
      </c>
      <c r="E102" s="1">
        <f t="shared" si="15"/>
        <v>-11.377316218795405</v>
      </c>
      <c r="F102" s="6">
        <f t="shared" si="22"/>
        <v>-10.71035111642062</v>
      </c>
      <c r="G102" s="5" t="str">
        <f t="shared" si="16"/>
        <v>47,0389155906615+7,69918136648852i</v>
      </c>
      <c r="H102" s="1">
        <f t="shared" si="23"/>
        <v>33.563962793402254</v>
      </c>
      <c r="I102" s="6">
        <f t="shared" si="24"/>
        <v>9.2955675927059538</v>
      </c>
      <c r="J102" s="26" t="str">
        <f t="shared" si="17"/>
        <v>12,8587844082221-0,317581763115203i</v>
      </c>
      <c r="K102" s="1">
        <f t="shared" si="25"/>
        <v>22.186646574606833</v>
      </c>
      <c r="L102" s="6">
        <f t="shared" si="26"/>
        <v>-1.4147835237146644</v>
      </c>
      <c r="M102" s="26">
        <f t="shared" si="18"/>
        <v>2.4615384615384617</v>
      </c>
      <c r="N102" s="6">
        <f t="shared" si="27"/>
        <v>0.16</v>
      </c>
      <c r="O102" s="5" t="str">
        <f t="shared" si="19"/>
        <v>0,196132782576417-6,15974137183955i</v>
      </c>
      <c r="P102" s="1">
        <f t="shared" si="20"/>
        <v>15.795650439243277</v>
      </c>
      <c r="Q102" s="6">
        <f t="shared" si="28"/>
        <v>-88.176256998340705</v>
      </c>
      <c r="R102" s="5" t="str">
        <f t="shared" si="29"/>
        <v>1,6517002986939-0,326909868798951i</v>
      </c>
      <c r="S102" s="1">
        <f t="shared" si="30"/>
        <v>4.5255060283627841</v>
      </c>
      <c r="T102" s="6">
        <f t="shared" si="31"/>
        <v>-11.19547365891942</v>
      </c>
      <c r="U102" t="str">
        <f>IMPRODUCT(COMPLEX(-1,0),IMDIV(COMPLEX(1,C102*Calculations!$B$204*Calculations!$B$206),IMPRODUCT(COMPLEX(0,C102*Calculations!$B$193),COMPLEX((Calculations!$B$206+Calculations!$B$208),C102*Calculations!$B$204*Calculations!$B$206*Calculations!$B$208))))</f>
        <v>-0,191570944526891+0,464972823953397i</v>
      </c>
      <c r="V102">
        <f t="shared" si="32"/>
        <v>-5.9705262379788016</v>
      </c>
      <c r="W102">
        <f t="shared" si="33"/>
        <v>112.39188660291123</v>
      </c>
      <c r="X102">
        <f>Calculations!$B$216/(Calculations!$B$216+Calculations!$B$218)</f>
        <v>0.80079681274900394</v>
      </c>
      <c r="Y102" t="str">
        <f t="shared" si="34"/>
        <v>-0,131661871975752+0,665159597985734i</v>
      </c>
      <c r="Z102">
        <f t="shared" si="35"/>
        <v>-3.3745734908269993</v>
      </c>
      <c r="AA102">
        <f t="shared" si="36"/>
        <v>101.19641294399186</v>
      </c>
    </row>
    <row r="103" spans="2:27">
      <c r="B103" s="1">
        <v>464.15888336127819</v>
      </c>
      <c r="C103" s="22">
        <f t="shared" si="14"/>
        <v>2916.3962761324665</v>
      </c>
      <c r="D103" s="26" t="str">
        <f t="shared" si="21"/>
        <v>0,258976671515156-0,0632064649642056i</v>
      </c>
      <c r="E103" s="1">
        <f t="shared" si="15"/>
        <v>-11.483505122235353</v>
      </c>
      <c r="F103" s="6">
        <f t="shared" si="22"/>
        <v>-13.715610538115863</v>
      </c>
      <c r="G103" s="5" t="str">
        <f t="shared" si="16"/>
        <v>47,3383182443123+9,96032477655779i</v>
      </c>
      <c r="H103" s="1">
        <f t="shared" si="23"/>
        <v>33.692389530691969</v>
      </c>
      <c r="I103" s="6">
        <f t="shared" si="24"/>
        <v>11.882124764230918</v>
      </c>
      <c r="J103" s="26" t="str">
        <f t="shared" si="17"/>
        <v>12,8890770130588-0,412595995730664i</v>
      </c>
      <c r="K103" s="1">
        <f t="shared" si="25"/>
        <v>22.208884408456623</v>
      </c>
      <c r="L103" s="6">
        <f t="shared" si="26"/>
        <v>-1.8334857738849495</v>
      </c>
      <c r="M103" s="26">
        <f t="shared" si="18"/>
        <v>2.4615384615384617</v>
      </c>
      <c r="N103" s="6">
        <f t="shared" si="27"/>
        <v>0.16</v>
      </c>
      <c r="O103" s="5" t="str">
        <f t="shared" si="19"/>
        <v>0,196132290724108-4,76946060152564i</v>
      </c>
      <c r="P103" s="1">
        <f t="shared" si="20"/>
        <v>13.576723300905405</v>
      </c>
      <c r="Q103" s="6">
        <f t="shared" si="28"/>
        <v>-87.645179324358367</v>
      </c>
      <c r="R103" s="5" t="str">
        <f t="shared" si="29"/>
        <v>1,60986953628031-0,411086527794331i</v>
      </c>
      <c r="S103" s="1">
        <f t="shared" si="30"/>
        <v>4.4101481945446235</v>
      </c>
      <c r="T103" s="6">
        <f t="shared" si="31"/>
        <v>-14.324591312391281</v>
      </c>
      <c r="U103" t="str">
        <f>IMPRODUCT(COMPLEX(-1,0),IMDIV(COMPLEX(1,C103*Calculations!$B$204*Calculations!$B$206),IMPRODUCT(COMPLEX(0,C103*Calculations!$B$193),COMPLEX((Calculations!$B$206+Calculations!$B$208),C103*Calculations!$B$204*Calculations!$B$206*Calculations!$B$208))))</f>
        <v>-0,191345835891463+0,364161423668405i</v>
      </c>
      <c r="V103">
        <f t="shared" si="32"/>
        <v>-7.7153093117816463</v>
      </c>
      <c r="W103">
        <f t="shared" si="33"/>
        <v>117.71933792107801</v>
      </c>
      <c r="X103">
        <f>Calculations!$B$216/(Calculations!$B$216+Calculations!$B$218)</f>
        <v>0.80079681274900394</v>
      </c>
      <c r="Y103" t="str">
        <f t="shared" si="34"/>
        <v>-0,126798148818876+0,532459472449754i</v>
      </c>
      <c r="Z103">
        <f t="shared" si="35"/>
        <v>-5.2347143984480162</v>
      </c>
      <c r="AA103">
        <f t="shared" si="36"/>
        <v>103.39474660868676</v>
      </c>
    </row>
    <row r="104" spans="2:27">
      <c r="B104" s="1">
        <v>599.48425031894124</v>
      </c>
      <c r="C104" s="22">
        <f t="shared" si="14"/>
        <v>3766.6706334895407</v>
      </c>
      <c r="D104" s="26" t="str">
        <f t="shared" si="21"/>
        <v>0,249307984080627-0,0784685878492808i</v>
      </c>
      <c r="E104" s="1">
        <f t="shared" si="15"/>
        <v>-11.655043332255522</v>
      </c>
      <c r="F104" s="6">
        <f t="shared" si="22"/>
        <v>-17.471165397022158</v>
      </c>
      <c r="G104" s="5" t="str">
        <f t="shared" si="16"/>
        <v>47,842822518212+12,8996988237875i</v>
      </c>
      <c r="H104" s="1">
        <f t="shared" si="23"/>
        <v>33.901112668787462</v>
      </c>
      <c r="I104" s="6">
        <f t="shared" si="24"/>
        <v>15.089634072891815</v>
      </c>
      <c r="J104" s="26" t="str">
        <f t="shared" si="17"/>
        <v>12,9398187851263-0,538160812722174i</v>
      </c>
      <c r="K104" s="1">
        <f t="shared" si="25"/>
        <v>22.246069336531939</v>
      </c>
      <c r="L104" s="6">
        <f t="shared" si="26"/>
        <v>-2.3815313241303504</v>
      </c>
      <c r="M104" s="26">
        <f t="shared" si="18"/>
        <v>2.4615384615384617</v>
      </c>
      <c r="N104" s="6">
        <f t="shared" si="27"/>
        <v>0.16</v>
      </c>
      <c r="O104" s="5" t="str">
        <f t="shared" si="19"/>
        <v>0,196131470270496-3,69307399840374i</v>
      </c>
      <c r="P104" s="1">
        <f t="shared" si="20"/>
        <v>11.359992015822725</v>
      </c>
      <c r="Q104" s="6">
        <f t="shared" si="28"/>
        <v>-86.9599963662817</v>
      </c>
      <c r="R104" s="5" t="str">
        <f t="shared" si="29"/>
        <v>1,54481794778135-0,508577439904361i</v>
      </c>
      <c r="S104" s="1">
        <f t="shared" si="30"/>
        <v>4.224443127325582</v>
      </c>
      <c r="T104" s="6">
        <f t="shared" si="31"/>
        <v>-18.222326955052456</v>
      </c>
      <c r="U104" t="str">
        <f>IMPRODUCT(COMPLEX(-1,0),IMDIV(COMPLEX(1,C104*Calculations!$B$204*Calculations!$B$206),IMPRODUCT(COMPLEX(0,C104*Calculations!$B$193),COMPLEX((Calculations!$B$206+Calculations!$B$208),C104*Calculations!$B$204*Calculations!$B$206*Calculations!$B$208))))</f>
        <v>-0,190971507030821+0,287299934811791i</v>
      </c>
      <c r="V104">
        <f t="shared" si="32"/>
        <v>-9.244115488956993</v>
      </c>
      <c r="W104">
        <f t="shared" si="33"/>
        <v>123.61243448640894</v>
      </c>
      <c r="X104">
        <f>Calculations!$B$216/(Calculations!$B$216+Calculations!$B$218)</f>
        <v>0.80079681274900394</v>
      </c>
      <c r="Y104" t="str">
        <f t="shared" si="34"/>
        <v>-0,119240203964955+0,433190952440836i</v>
      </c>
      <c r="Z104">
        <f t="shared" si="35"/>
        <v>-6.9492256428424</v>
      </c>
      <c r="AA104">
        <f t="shared" si="36"/>
        <v>105.39010753135655</v>
      </c>
    </row>
    <row r="105" spans="2:27">
      <c r="B105" s="1">
        <v>774.26368268112776</v>
      </c>
      <c r="C105" s="22">
        <f t="shared" si="14"/>
        <v>4864.8421949048197</v>
      </c>
      <c r="D105" s="26" t="str">
        <f t="shared" si="21"/>
        <v>0,234746995337792-0,0951885797374581i</v>
      </c>
      <c r="E105" s="1">
        <f t="shared" si="15"/>
        <v>-11.926881461421106</v>
      </c>
      <c r="F105" s="6">
        <f t="shared" si="22"/>
        <v>-22.072276117528627</v>
      </c>
      <c r="G105" s="5" t="str">
        <f t="shared" si="16"/>
        <v>48,6987202330363+16,7369675919337i</v>
      </c>
      <c r="H105" s="1">
        <f t="shared" si="23"/>
        <v>34.235229860909413</v>
      </c>
      <c r="I105" s="6">
        <f t="shared" si="24"/>
        <v>18.967022288876535</v>
      </c>
      <c r="J105" s="26" t="str">
        <f t="shared" si="17"/>
        <v>13,0250464256891-0,706609160742105i</v>
      </c>
      <c r="K105" s="1">
        <f t="shared" si="25"/>
        <v>22.308348399488345</v>
      </c>
      <c r="L105" s="6">
        <f t="shared" si="26"/>
        <v>-3.1052538286520877</v>
      </c>
      <c r="M105" s="26">
        <f t="shared" si="18"/>
        <v>2.4615384615384617</v>
      </c>
      <c r="N105" s="6">
        <f t="shared" si="27"/>
        <v>0.16</v>
      </c>
      <c r="O105" s="5" t="str">
        <f t="shared" si="19"/>
        <v>0,196130101686659-2,85974095474635i</v>
      </c>
      <c r="P105" s="1">
        <f t="shared" si="20"/>
        <v>9.1469137059241259</v>
      </c>
      <c r="Q105" s="6">
        <f t="shared" si="28"/>
        <v>-86.076617491612552</v>
      </c>
      <c r="R105" s="5" t="str">
        <f t="shared" si="29"/>
        <v>1,44775573361441-0,613764433677915i</v>
      </c>
      <c r="S105" s="1">
        <f t="shared" si="30"/>
        <v>3.931720337718458</v>
      </c>
      <c r="T105" s="6">
        <f t="shared" si="31"/>
        <v>-22.974126752600107</v>
      </c>
      <c r="U105" t="str">
        <f>IMPRODUCT(COMPLEX(-1,0),IMDIV(COMPLEX(1,C105*Calculations!$B$204*Calculations!$B$206),IMPRODUCT(COMPLEX(0,C105*Calculations!$B$193),COMPLEX((Calculations!$B$206+Calculations!$B$208),C105*Calculations!$B$204*Calculations!$B$206*Calculations!$B$208))))</f>
        <v>-0,19035033746371+0,229310714726362i</v>
      </c>
      <c r="V105">
        <f t="shared" si="32"/>
        <v>-10.515055878705866</v>
      </c>
      <c r="W105">
        <f t="shared" si="33"/>
        <v>129.69599345872254</v>
      </c>
      <c r="X105">
        <f>Calculations!$B$216/(Calculations!$B$216+Calculations!$B$218)</f>
        <v>0.80079681274900394</v>
      </c>
      <c r="Y105" t="str">
        <f t="shared" si="34"/>
        <v>-0,107977865861124+0,359410557723995i</v>
      </c>
      <c r="Z105">
        <f t="shared" si="35"/>
        <v>-8.5128888221983914</v>
      </c>
      <c r="AA105">
        <f t="shared" si="36"/>
        <v>106.7218667061223</v>
      </c>
    </row>
    <row r="106" spans="2:27">
      <c r="B106" s="1">
        <v>1000</v>
      </c>
      <c r="C106" s="22">
        <f t="shared" si="14"/>
        <v>6283.1853071795858</v>
      </c>
      <c r="D106" s="26" t="str">
        <f t="shared" si="21"/>
        <v>0,214032897958726-0,111627444991163i</v>
      </c>
      <c r="E106" s="1">
        <f t="shared" si="15"/>
        <v>-12.345492588014203</v>
      </c>
      <c r="F106" s="6">
        <f t="shared" si="22"/>
        <v>-27.543995815894696</v>
      </c>
      <c r="G106" s="5" t="str">
        <f t="shared" si="16"/>
        <v>50,1673953366829+21,7810632996376i</v>
      </c>
      <c r="H106" s="1">
        <f t="shared" si="23"/>
        <v>34.758428783905337</v>
      </c>
      <c r="I106" s="6">
        <f t="shared" si="24"/>
        <v>23.468929187486829</v>
      </c>
      <c r="J106" s="26" t="str">
        <f t="shared" si="17"/>
        <v>13,1688374522807-0,938194064651624i</v>
      </c>
      <c r="K106" s="1">
        <f t="shared" si="25"/>
        <v>22.412936195891167</v>
      </c>
      <c r="L106" s="6">
        <f t="shared" si="26"/>
        <v>-4.0750666284079102</v>
      </c>
      <c r="M106" s="26">
        <f t="shared" si="18"/>
        <v>2.4615384615384617</v>
      </c>
      <c r="N106" s="6">
        <f t="shared" si="27"/>
        <v>0.16</v>
      </c>
      <c r="O106" s="5" t="str">
        <f t="shared" si="19"/>
        <v>0,196127818793729-2,21461702898019i</v>
      </c>
      <c r="P106" s="1">
        <f t="shared" si="20"/>
        <v>6.9399014535809576</v>
      </c>
      <c r="Q106" s="6">
        <f t="shared" si="28"/>
        <v>-84.939054641303841</v>
      </c>
      <c r="R106" s="5" t="str">
        <f t="shared" si="29"/>
        <v>1,31151566860954-0,714605163412281i</v>
      </c>
      <c r="S106" s="1">
        <f t="shared" si="30"/>
        <v>3.4844776498901711</v>
      </c>
      <c r="T106" s="6">
        <f t="shared" si="31"/>
        <v>-28.584628262111373</v>
      </c>
      <c r="U106" t="str">
        <f>IMPRODUCT(COMPLEX(-1,0),IMDIV(COMPLEX(1,C106*Calculations!$B$204*Calculations!$B$206),IMPRODUCT(COMPLEX(0,C106*Calculations!$B$193),COMPLEX((Calculations!$B$206+Calculations!$B$208),C106*Calculations!$B$204*Calculations!$B$206*Calculations!$B$208))))</f>
        <v>-0,189323108059+0,186336670153072i</v>
      </c>
      <c r="V106">
        <f t="shared" si="32"/>
        <v>-11.514131535616649</v>
      </c>
      <c r="W106">
        <f t="shared" si="33"/>
        <v>135.45548310764337</v>
      </c>
      <c r="X106">
        <f>Calculations!$B$216/(Calculations!$B$216+Calculations!$B$218)</f>
        <v>0.80079681274900394</v>
      </c>
      <c r="Y106" t="str">
        <f t="shared" si="34"/>
        <v>-0,0922062082907753+0,304042316159424i</v>
      </c>
      <c r="Z106">
        <f t="shared" si="35"/>
        <v>-9.9592071669374569</v>
      </c>
      <c r="AA106">
        <f t="shared" si="36"/>
        <v>106.87085484553197</v>
      </c>
    </row>
    <row r="107" spans="2:27">
      <c r="B107" s="1">
        <v>1291.5496650148843</v>
      </c>
      <c r="C107" s="22">
        <f t="shared" si="14"/>
        <v>8115.0458787142379</v>
      </c>
      <c r="D107" s="26" t="str">
        <f t="shared" si="21"/>
        <v>0,186834424048743-0,12498657581546i</v>
      </c>
      <c r="E107" s="1">
        <f t="shared" si="15"/>
        <v>-12.964614785207008</v>
      </c>
      <c r="F107" s="6">
        <f t="shared" si="22"/>
        <v>-33.781324808535629</v>
      </c>
      <c r="G107" s="5" t="str">
        <f t="shared" si="16"/>
        <v>52,736381838284+28,484655151204i</v>
      </c>
      <c r="H107" s="1">
        <f t="shared" si="23"/>
        <v>35.553969640002975</v>
      </c>
      <c r="I107" s="6">
        <f t="shared" si="24"/>
        <v>28.37494169798002</v>
      </c>
      <c r="J107" s="26" t="str">
        <f t="shared" si="17"/>
        <v>13,4131710378036-1,26942564746147i</v>
      </c>
      <c r="K107" s="1">
        <f t="shared" si="25"/>
        <v>22.589354854795985</v>
      </c>
      <c r="L107" s="6">
        <f t="shared" si="26"/>
        <v>-5.4063831105555993</v>
      </c>
      <c r="M107" s="26">
        <f t="shared" si="18"/>
        <v>2.4615384615384617</v>
      </c>
      <c r="N107" s="6">
        <f t="shared" si="27"/>
        <v>0.16</v>
      </c>
      <c r="O107" s="5" t="str">
        <f t="shared" si="19"/>
        <v>0,196124010817067-1,71524444677084i</v>
      </c>
      <c r="P107" s="1">
        <f t="shared" si="20"/>
        <v>4.7429322645100083</v>
      </c>
      <c r="Q107" s="6">
        <f t="shared" si="28"/>
        <v>-83.477030401026994</v>
      </c>
      <c r="R107" s="5" t="str">
        <f t="shared" si="29"/>
        <v>1,13581344283227-0,792893404694785i</v>
      </c>
      <c r="S107" s="1">
        <f t="shared" si="30"/>
        <v>2.830188745063654</v>
      </c>
      <c r="T107" s="6">
        <f t="shared" si="31"/>
        <v>-34.918284104713614</v>
      </c>
      <c r="U107" t="str">
        <f>IMPRODUCT(COMPLEX(-1,0),IMDIV(COMPLEX(1,C107*Calculations!$B$204*Calculations!$B$206),IMPRODUCT(COMPLEX(0,C107*Calculations!$B$193),COMPLEX((Calculations!$B$206+Calculations!$B$208),C107*Calculations!$B$204*Calculations!$B$206*Calculations!$B$208))))</f>
        <v>-0,187634038095476+0,155464067615005i</v>
      </c>
      <c r="V107">
        <f t="shared" si="32"/>
        <v>-12.263919260348002</v>
      </c>
      <c r="W107">
        <f t="shared" si="33"/>
        <v>140.35657379268224</v>
      </c>
      <c r="X107">
        <f>Calculations!$B$216/(Calculations!$B$216+Calculations!$B$218)</f>
        <v>0.80079681274900394</v>
      </c>
      <c r="Y107" t="str">
        <f t="shared" si="34"/>
        <v>-0,0719522574242201+0,260540819938282i</v>
      </c>
      <c r="Z107">
        <f t="shared" si="35"/>
        <v>-11.363283796495335</v>
      </c>
      <c r="AA107">
        <f t="shared" si="36"/>
        <v>105.43828968796863</v>
      </c>
    </row>
    <row r="108" spans="2:27">
      <c r="B108" s="1">
        <v>1668.1005372000604</v>
      </c>
      <c r="C108" s="22">
        <f t="shared" si="14"/>
        <v>10480.984786233794</v>
      </c>
      <c r="D108" s="26" t="str">
        <f t="shared" si="21"/>
        <v>0,154647256871046-0,132101942389905i</v>
      </c>
      <c r="E108" s="1">
        <f t="shared" si="15"/>
        <v>-13.833491522323717</v>
      </c>
      <c r="F108" s="6">
        <f t="shared" si="22"/>
        <v>-40.504435727585637</v>
      </c>
      <c r="G108" s="5" t="str">
        <f t="shared" si="16"/>
        <v>57,3784249511816+37,5428420734878i</v>
      </c>
      <c r="H108" s="1">
        <f t="shared" si="23"/>
        <v>36.722594076861881</v>
      </c>
      <c r="I108" s="6">
        <f t="shared" si="24"/>
        <v>33.196820705721713</v>
      </c>
      <c r="J108" s="26" t="str">
        <f t="shared" si="17"/>
        <v>13,8328983830266-1,77390384551667i</v>
      </c>
      <c r="K108" s="1">
        <f t="shared" si="25"/>
        <v>22.889102554538162</v>
      </c>
      <c r="L108" s="6">
        <f t="shared" si="26"/>
        <v>-7.3076150218638123</v>
      </c>
      <c r="M108" s="26">
        <f t="shared" si="18"/>
        <v>2.4615384615384617</v>
      </c>
      <c r="N108" s="6">
        <f t="shared" si="27"/>
        <v>0.16</v>
      </c>
      <c r="O108" s="5" t="str">
        <f t="shared" si="19"/>
        <v>0,196117659058202-1,32875780712981i</v>
      </c>
      <c r="P108" s="1">
        <f t="shared" si="20"/>
        <v>2.5625084403326532</v>
      </c>
      <c r="Q108" s="6">
        <f t="shared" si="28"/>
        <v>-81.604060609090084</v>
      </c>
      <c r="R108" s="5" t="str">
        <f t="shared" si="29"/>
        <v>0,932375424732363-0,829677097856741i</v>
      </c>
      <c r="S108" s="1">
        <f t="shared" si="30"/>
        <v>1.9248047962599819</v>
      </c>
      <c r="T108" s="6">
        <f t="shared" si="31"/>
        <v>-41.664383489955448</v>
      </c>
      <c r="U108" t="str">
        <f>IMPRODUCT(COMPLEX(-1,0),IMDIV(COMPLEX(1,C108*Calculations!$B$204*Calculations!$B$206),IMPRODUCT(COMPLEX(0,C108*Calculations!$B$193),COMPLEX((Calculations!$B$206+Calculations!$B$208),C108*Calculations!$B$204*Calculations!$B$206*Calculations!$B$208))))</f>
        <v>-0,184882584208895+0,134484086967614i</v>
      </c>
      <c r="V108">
        <f t="shared" si="32"/>
        <v>-12.817679431217515</v>
      </c>
      <c r="W108">
        <f t="shared" si="33"/>
        <v>143.9677570526319</v>
      </c>
      <c r="X108">
        <f>Calculations!$B$216/(Calculations!$B$216+Calculations!$B$218)</f>
        <v>0.80079681274900394</v>
      </c>
      <c r="Y108" t="str">
        <f t="shared" si="34"/>
        <v>-0,0486897362941456+0,223248140346572i</v>
      </c>
      <c r="Z108">
        <f t="shared" si="35"/>
        <v>-12.82242791616852</v>
      </c>
      <c r="AA108">
        <f t="shared" si="36"/>
        <v>102.30337356267644</v>
      </c>
    </row>
    <row r="109" spans="2:27">
      <c r="B109" s="1">
        <v>2154.4346900318833</v>
      </c>
      <c r="C109" s="22">
        <f t="shared" si="14"/>
        <v>13536.712389686336</v>
      </c>
      <c r="D109" s="26" t="str">
        <f t="shared" si="21"/>
        <v>0,120927283363691-0,130938644025582i</v>
      </c>
      <c r="E109" s="1">
        <f t="shared" si="15"/>
        <v>-14.980055276394513</v>
      </c>
      <c r="F109" s="6">
        <f t="shared" si="22"/>
        <v>-47.276238438739632</v>
      </c>
      <c r="G109" s="5" t="str">
        <f t="shared" si="16"/>
        <v>66,2441231570792+50,0511246002264i</v>
      </c>
      <c r="H109" s="1">
        <f t="shared" si="23"/>
        <v>38.384334121960364</v>
      </c>
      <c r="I109" s="6">
        <f t="shared" si="24"/>
        <v>37.073078452204541</v>
      </c>
      <c r="J109" s="26" t="str">
        <f t="shared" si="17"/>
        <v>14,5643482393045-2,62136913364866i</v>
      </c>
      <c r="K109" s="1">
        <f t="shared" si="25"/>
        <v>23.40427884556588</v>
      </c>
      <c r="L109" s="6">
        <f t="shared" si="26"/>
        <v>-10.203159986535201</v>
      </c>
      <c r="M109" s="26">
        <f t="shared" si="18"/>
        <v>2.4615384615384617</v>
      </c>
      <c r="N109" s="6">
        <f t="shared" si="27"/>
        <v>0.16</v>
      </c>
      <c r="O109" s="5" t="str">
        <f t="shared" si="19"/>
        <v>0,196107064601325-1,02972108822935i</v>
      </c>
      <c r="P109" s="1">
        <f t="shared" si="20"/>
        <v>0.40912129298675126</v>
      </c>
      <c r="Q109" s="6">
        <f t="shared" si="28"/>
        <v>-79.217328291597127</v>
      </c>
      <c r="R109" s="5" t="str">
        <f t="shared" si="29"/>
        <v>0,724177718810501-0,814915134965778i</v>
      </c>
      <c r="S109" s="1">
        <f t="shared" si="30"/>
        <v>0.75006510950873828</v>
      </c>
      <c r="T109" s="6">
        <f t="shared" si="31"/>
        <v>-48.373974647371128</v>
      </c>
      <c r="U109" t="str">
        <f>IMPRODUCT(COMPLEX(-1,0),IMDIV(COMPLEX(1,C109*Calculations!$B$204*Calculations!$B$206),IMPRODUCT(COMPLEX(0,C109*Calculations!$B$193),COMPLEX((Calculations!$B$206+Calculations!$B$208),C109*Calculations!$B$204*Calculations!$B$206*Calculations!$B$208))))</f>
        <v>-0,180468166337921+0,121658783626903i</v>
      </c>
      <c r="V109">
        <f t="shared" si="32"/>
        <v>-13.24500111141708</v>
      </c>
      <c r="W109">
        <f t="shared" si="33"/>
        <v>146.01495676586339</v>
      </c>
      <c r="X109">
        <f>Calculations!$B$216/(Calculations!$B$216+Calculations!$B$218)</f>
        <v>0.80079681274900394</v>
      </c>
      <c r="Y109" t="str">
        <f t="shared" si="34"/>
        <v>-0,0252646917466986+0,188322441937153i</v>
      </c>
      <c r="Z109">
        <f t="shared" si="35"/>
        <v>-14.424489283119314</v>
      </c>
      <c r="AA109">
        <f t="shared" si="36"/>
        <v>97.640982118492246</v>
      </c>
    </row>
    <row r="110" spans="2:27">
      <c r="B110" s="1">
        <v>2782.5594022071282</v>
      </c>
      <c r="C110" s="22">
        <f t="shared" si="14"/>
        <v>17483.336352302242</v>
      </c>
      <c r="D110" s="26" t="str">
        <f t="shared" si="21"/>
        <v>0,0898250784359263-0,121846527627618i</v>
      </c>
      <c r="E110" s="1">
        <f t="shared" si="15"/>
        <v>-16.39877844976489</v>
      </c>
      <c r="F110" s="6">
        <f t="shared" si="22"/>
        <v>-53.602415669364582</v>
      </c>
      <c r="G110" s="5" t="str">
        <f t="shared" si="16"/>
        <v>84,8534466729517+67,5042355206151i</v>
      </c>
      <c r="H110" s="1">
        <f t="shared" si="23"/>
        <v>40.702939038347132</v>
      </c>
      <c r="I110" s="6">
        <f t="shared" si="24"/>
        <v>38.503621136068098</v>
      </c>
      <c r="J110" s="26" t="str">
        <f t="shared" si="17"/>
        <v>15,8471242013004-4,27552458393791i</v>
      </c>
      <c r="K110" s="1">
        <f t="shared" si="25"/>
        <v>24.304160588582221</v>
      </c>
      <c r="L110" s="6">
        <f t="shared" si="26"/>
        <v>-15.098794533296465</v>
      </c>
      <c r="M110" s="26">
        <f t="shared" si="18"/>
        <v>2.4615384615384617</v>
      </c>
      <c r="N110" s="6">
        <f t="shared" si="27"/>
        <v>0.16</v>
      </c>
      <c r="O110" s="5" t="str">
        <f t="shared" si="19"/>
        <v>0,196089394529098-0,798453591547553i</v>
      </c>
      <c r="P110" s="1">
        <f t="shared" si="20"/>
        <v>-1.7006667455819138</v>
      </c>
      <c r="Q110" s="6">
        <f t="shared" si="28"/>
        <v>-76.202004423360705</v>
      </c>
      <c r="R110" s="5" t="str">
        <f t="shared" si="29"/>
        <v>0,536193236241008-0,753890041515147i</v>
      </c>
      <c r="S110" s="1">
        <f t="shared" si="30"/>
        <v>-0.67600629192261852</v>
      </c>
      <c r="T110" s="6">
        <f t="shared" si="31"/>
        <v>-54.578217894147407</v>
      </c>
      <c r="U110" t="str">
        <f>IMPRODUCT(COMPLEX(-1,0),IMDIV(COMPLEX(1,C110*Calculations!$B$204*Calculations!$B$206),IMPRODUCT(COMPLEX(0,C110*Calculations!$B$193),COMPLEX((Calculations!$B$206+Calculations!$B$208),C110*Calculations!$B$204*Calculations!$B$206*Calculations!$B$208))))</f>
        <v>-0,173555615616078+0,115452933861659i</v>
      </c>
      <c r="V110">
        <f t="shared" si="32"/>
        <v>-13.620009072304351</v>
      </c>
      <c r="W110">
        <f t="shared" si="33"/>
        <v>146.36729356220891</v>
      </c>
      <c r="X110">
        <f>Calculations!$B$216/(Calculations!$B$216+Calculations!$B$218)</f>
        <v>0.80079681274900394</v>
      </c>
      <c r="Y110" t="str">
        <f t="shared" si="34"/>
        <v>-0,00482122131752073+0,154351129215385i</v>
      </c>
      <c r="Z110">
        <f t="shared" si="35"/>
        <v>-16.225568645437942</v>
      </c>
      <c r="AA110">
        <f t="shared" si="36"/>
        <v>91.789075668061471</v>
      </c>
    </row>
    <row r="111" spans="2:27">
      <c r="B111" s="1">
        <v>3593.813663804628</v>
      </c>
      <c r="C111" s="22">
        <f t="shared" ref="C111:C137" si="37">2*PI()*B111</f>
        <v>22580.597209158477</v>
      </c>
      <c r="D111" s="26" t="str">
        <f t="shared" ref="D111:D137" si="38">IMDIV(COMPLEX((V12_Nom/(I_Channel_Design*np)),((Zo_Buck_Cout*Zo_Buck_Resr*V12_Nom)/(I_Channel_Design*np))*C111),COMPLEX(1,((Zo_Buck_Cout*Zo_Buck_Resr)+((Zo_Buck_Cout*V12_Nom)/(I_Channel_Design*np)))*C111))</f>
        <v>0,064330697315245-0,107330001264105i</v>
      </c>
      <c r="E111" s="1">
        <f t="shared" si="15"/>
        <v>-18.052590574717247</v>
      </c>
      <c r="F111" s="6">
        <f t="shared" si="22"/>
        <v>-59.062668772735712</v>
      </c>
      <c r="G111" s="5" t="str">
        <f t="shared" ref="G111:G137" si="39">IMDIV(COMPLEX(V48_Max,0),IMSUM(COMPLEX(Rcs/np,(Lm*C111)/np),D111))</f>
        <v>130,276726845692+88,3927795096961i</v>
      </c>
      <c r="H111" s="1">
        <f t="shared" si="23"/>
        <v>43.941943381258795</v>
      </c>
      <c r="I111" s="6">
        <f t="shared" si="24"/>
        <v>34.156898340708828</v>
      </c>
      <c r="J111" s="26" t="str">
        <f t="shared" ref="J111:J137" si="40">IMDIV(IMPRODUCT(COMPLEX(V48_Max,0),D111),IMSUM(COMPLEX(Rcs/np,(Lm*C111)/np),D111))</f>
        <v>17,8679898184446-8,29623211354022i</v>
      </c>
      <c r="K111" s="1">
        <f t="shared" si="25"/>
        <v>25.889352806541606</v>
      </c>
      <c r="L111" s="6">
        <f t="shared" si="26"/>
        <v>-24.905770432027005</v>
      </c>
      <c r="M111" s="26">
        <f t="shared" ref="M111:M137" si="41">1/(Kff*V48_Max)</f>
        <v>2.4615384615384617</v>
      </c>
      <c r="N111" s="6">
        <f t="shared" ref="N111:N137" si="42">(Rcs*Acs)/np</f>
        <v>0.16</v>
      </c>
      <c r="O111" s="5" t="str">
        <f t="shared" ref="O111:O137" si="43">IMPRODUCT(COMPLEX(gm/(IL_Comp_Ccomp+IL_Comp_Chf),0),IMDIV(COMPLEX(1,C111*IL_Comp_Rcomp*IL_Comp_Ccomp),IMPRODUCT(COMPLEX(0,C111),COMPLEX(1,C111*IL_Comp_Rcomp*IL_Comp_Chf))))</f>
        <v>0,196059926157169-0,619734633009713i</v>
      </c>
      <c r="P111" s="1">
        <f t="shared" si="20"/>
        <v>-3.7416248345585785</v>
      </c>
      <c r="Q111" s="6">
        <f t="shared" si="28"/>
        <v>-72.444655015974959</v>
      </c>
      <c r="R111" s="5" t="str">
        <f t="shared" si="29"/>
        <v>0,384376207026705-0,663794398881952i</v>
      </c>
      <c r="S111" s="1">
        <f t="shared" si="30"/>
        <v>-2.3035090206727813</v>
      </c>
      <c r="T111" s="6">
        <f t="shared" si="31"/>
        <v>-59.926621458802366</v>
      </c>
      <c r="U111" t="str">
        <f>IMPRODUCT(COMPLEX(-1,0),IMDIV(COMPLEX(1,C111*Calculations!$B$204*Calculations!$B$206),IMPRODUCT(COMPLEX(0,C111*Calculations!$B$193),COMPLEX((Calculations!$B$206+Calculations!$B$208),C111*Calculations!$B$204*Calculations!$B$206*Calculations!$B$208))))</f>
        <v>-0,163132434934667+0,114208163310133i</v>
      </c>
      <c r="V111">
        <f t="shared" si="32"/>
        <v>-14.016944245420795</v>
      </c>
      <c r="W111">
        <f t="shared" si="33"/>
        <v>145.00433600540799</v>
      </c>
      <c r="X111">
        <f>Calculations!$B$216/(Calculations!$B$216+Calculations!$B$218)</f>
        <v>0.80079681274900394</v>
      </c>
      <c r="Y111" t="str">
        <f t="shared" si="34"/>
        <v>0,0104956534591926+0,121869500953222i</v>
      </c>
      <c r="Z111">
        <f t="shared" si="35"/>
        <v>-18.25000654730453</v>
      </c>
      <c r="AA111">
        <f t="shared" si="36"/>
        <v>85.077714546605662</v>
      </c>
    </row>
    <row r="112" spans="2:27">
      <c r="B112" s="1">
        <v>4641.5888336127782</v>
      </c>
      <c r="C112" s="22">
        <f t="shared" si="37"/>
        <v>29163.962761324641</v>
      </c>
      <c r="D112" s="26" t="str">
        <f t="shared" si="38"/>
        <v>0,0453788299705948-0,0905775753909798i</v>
      </c>
      <c r="E112" s="1">
        <f t="shared" si="15"/>
        <v>-19.887030165531264</v>
      </c>
      <c r="F112" s="6">
        <f t="shared" si="22"/>
        <v>-63.389401208057635</v>
      </c>
      <c r="G112" s="5" t="str">
        <f t="shared" si="39"/>
        <v>248,96890950155+59,6716479000849i</v>
      </c>
      <c r="H112" s="1">
        <f t="shared" si="23"/>
        <v>48.165476742552656</v>
      </c>
      <c r="I112" s="6">
        <f t="shared" si="24"/>
        <v>13.478130350948222</v>
      </c>
      <c r="J112" s="26" t="str">
        <f t="shared" si="40"/>
        <v>16,7028309986092-19,8431706062635i</v>
      </c>
      <c r="K112" s="1">
        <f t="shared" si="25"/>
        <v>28.278446577021391</v>
      </c>
      <c r="L112" s="6">
        <f t="shared" si="26"/>
        <v>-49.911270857109351</v>
      </c>
      <c r="M112" s="26">
        <f t="shared" si="41"/>
        <v>2.4615384615384617</v>
      </c>
      <c r="N112" s="6">
        <f t="shared" si="42"/>
        <v>0.16</v>
      </c>
      <c r="O112" s="5" t="str">
        <f t="shared" si="43"/>
        <v>0,196010789655002-0,481801697872715i</v>
      </c>
      <c r="P112" s="1">
        <f t="shared" si="20"/>
        <v>-5.6774747634796814</v>
      </c>
      <c r="Q112" s="6">
        <f t="shared" si="28"/>
        <v>-67.862094163818597</v>
      </c>
      <c r="R112" s="5" t="str">
        <f t="shared" si="29"/>
        <v>0,271856229234453-0,564060591228572i</v>
      </c>
      <c r="S112" s="1">
        <f t="shared" si="30"/>
        <v>-4.0663621014024081</v>
      </c>
      <c r="T112" s="6">
        <f t="shared" si="31"/>
        <v>-64.267662287216623</v>
      </c>
      <c r="U112" t="str">
        <f>IMPRODUCT(COMPLEX(-1,0),IMDIV(COMPLEX(1,C112*Calculations!$B$204*Calculations!$B$206),IMPRODUCT(COMPLEX(0,C112*Calculations!$B$193),COMPLEX((Calculations!$B$206+Calculations!$B$208),C112*Calculations!$B$204*Calculations!$B$206*Calculations!$B$208))))</f>
        <v>-0,148277863154153+0,115811470916031i</v>
      </c>
      <c r="V112">
        <f t="shared" si="32"/>
        <v>-14.510136500582293</v>
      </c>
      <c r="W112">
        <f t="shared" si="33"/>
        <v>142.00861316639111</v>
      </c>
      <c r="X112">
        <f>Calculations!$B$216/(Calculations!$B$216+Calculations!$B$218)</f>
        <v>0.80079681274900394</v>
      </c>
      <c r="Y112" t="str">
        <f t="shared" si="34"/>
        <v>0,0200314726134791+0,0921891456469162i</v>
      </c>
      <c r="Z112">
        <f t="shared" si="35"/>
        <v>-20.506051883195656</v>
      </c>
      <c r="AA112">
        <f t="shared" si="36"/>
        <v>77.740950879174562</v>
      </c>
    </row>
    <row r="113" spans="2:37">
      <c r="B113" s="1">
        <v>5994.8425031894185</v>
      </c>
      <c r="C113" s="22">
        <f t="shared" si="37"/>
        <v>37666.706334895447</v>
      </c>
      <c r="D113" s="26" t="str">
        <f t="shared" si="38"/>
        <v>0,0322895102970148-0,0741286687777581i</v>
      </c>
      <c r="E113" s="1">
        <f t="shared" si="15"/>
        <v>-21.845768714319028</v>
      </c>
      <c r="F113" s="6">
        <f t="shared" si="22"/>
        <v>-66.462667928995259</v>
      </c>
      <c r="G113" s="5" t="str">
        <f t="shared" si="39"/>
        <v>227,124709310456-172,561020083082i</v>
      </c>
      <c r="H113" s="1">
        <f t="shared" si="23"/>
        <v>49.1042662906111</v>
      </c>
      <c r="I113" s="6">
        <f t="shared" si="24"/>
        <v>-37.226236683295454</v>
      </c>
      <c r="J113" s="26" t="str">
        <f t="shared" si="40"/>
        <v>-5,45797306170438-22,4083631825554i</v>
      </c>
      <c r="K113" s="1">
        <f t="shared" si="25"/>
        <v>27.258497576292054</v>
      </c>
      <c r="L113" s="6">
        <f t="shared" si="26"/>
        <v>-103.6889046122907</v>
      </c>
      <c r="M113" s="26">
        <f t="shared" si="41"/>
        <v>2.4615384615384617</v>
      </c>
      <c r="N113" s="6">
        <f t="shared" si="42"/>
        <v>0.16</v>
      </c>
      <c r="O113" s="5" t="str">
        <f t="shared" si="43"/>
        <v>0,195928879814448-0,375576050211407i</v>
      </c>
      <c r="P113" s="1">
        <f t="shared" si="20"/>
        <v>-7.4606743914787437</v>
      </c>
      <c r="Q113" s="6">
        <f t="shared" si="28"/>
        <v>-62.450047461606331</v>
      </c>
      <c r="R113" s="5" t="str">
        <f t="shared" si="29"/>
        <v>0,192776254028779-0,468953726276114i</v>
      </c>
      <c r="S113" s="1">
        <f t="shared" si="30"/>
        <v>-5.8993123320433725</v>
      </c>
      <c r="T113" s="6">
        <f t="shared" si="31"/>
        <v>-67.653546484389594</v>
      </c>
      <c r="U113" t="str">
        <f>IMPRODUCT(COMPLEX(-1,0),IMDIV(COMPLEX(1,C113*Calculations!$B$204*Calculations!$B$206),IMPRODUCT(COMPLEX(0,C113*Calculations!$B$193),COMPLEX((Calculations!$B$206+Calculations!$B$208),C113*Calculations!$B$204*Calculations!$B$206*Calculations!$B$208))))</f>
        <v>-0,128725211836669+0,11757702408385i</v>
      </c>
      <c r="V113">
        <f t="shared" si="32"/>
        <v>-15.17204471340672</v>
      </c>
      <c r="W113">
        <f t="shared" si="33"/>
        <v>137.59156579987916</v>
      </c>
      <c r="X113">
        <f>Calculations!$B$216/(Calculations!$B$216+Calculations!$B$218)</f>
        <v>0.80079681274900394</v>
      </c>
      <c r="Y113" t="str">
        <f t="shared" si="34"/>
        <v>0,0242825773137865+0,0664919419516497i</v>
      </c>
      <c r="Z113">
        <f t="shared" si="35"/>
        <v>-23.000910326661071</v>
      </c>
      <c r="AA113">
        <f t="shared" si="36"/>
        <v>69.938019315489569</v>
      </c>
    </row>
    <row r="114" spans="2:37">
      <c r="B114" s="1">
        <v>7742.6368268112792</v>
      </c>
      <c r="C114" s="22">
        <f t="shared" si="37"/>
        <v>48648.421949048206</v>
      </c>
      <c r="D114" s="26" t="str">
        <f t="shared" si="38"/>
        <v>0,0237019040218386-0,0594258963961185i</v>
      </c>
      <c r="E114" s="1">
        <f t="shared" si="15"/>
        <v>-23.879351866071453</v>
      </c>
      <c r="F114" s="6">
        <f t="shared" si="22"/>
        <v>-68.255510336194902</v>
      </c>
      <c r="G114" s="5" t="str">
        <f t="shared" si="39"/>
        <v>60,6211586653294-157,395943179221i</v>
      </c>
      <c r="H114" s="1">
        <f t="shared" si="23"/>
        <v>44.540579649351137</v>
      </c>
      <c r="I114" s="6">
        <f t="shared" si="24"/>
        <v>-68.935774635997987</v>
      </c>
      <c r="J114" s="26" t="str">
        <f t="shared" si="40"/>
        <v>-7,91655812815947-7,33305023291919i</v>
      </c>
      <c r="K114" s="1">
        <f t="shared" si="25"/>
        <v>20.661227783279692</v>
      </c>
      <c r="L114" s="6">
        <f t="shared" si="26"/>
        <v>-137.19128497219293</v>
      </c>
      <c r="M114" s="26">
        <f t="shared" si="41"/>
        <v>2.4615384615384617</v>
      </c>
      <c r="N114" s="6">
        <f t="shared" si="42"/>
        <v>0.16</v>
      </c>
      <c r="O114" s="5" t="str">
        <f t="shared" si="43"/>
        <v>0,19579239820023-0,294064672542886i</v>
      </c>
      <c r="P114" s="1">
        <f t="shared" si="20"/>
        <v>-9.0375515835967164</v>
      </c>
      <c r="Q114" s="6">
        <f t="shared" si="28"/>
        <v>-56.343764912486414</v>
      </c>
      <c r="R114" s="5" t="str">
        <f t="shared" si="29"/>
        <v>0,138119125029374-0,38570892191232i</v>
      </c>
      <c r="S114" s="1">
        <f t="shared" si="30"/>
        <v>-7.7508314320539142</v>
      </c>
      <c r="T114" s="6">
        <f t="shared" si="31"/>
        <v>-70.297980672303353</v>
      </c>
      <c r="U114" t="str">
        <f>IMPRODUCT(COMPLEX(-1,0),IMDIV(COMPLEX(1,C114*Calculations!$B$204*Calculations!$B$206),IMPRODUCT(COMPLEX(0,C114*Calculations!$B$193),COMPLEX((Calculations!$B$206+Calculations!$B$208),C114*Calculations!$B$204*Calculations!$B$206*Calculations!$B$208))))</f>
        <v>-0,105515584465625+0,116685566335397i</v>
      </c>
      <c r="V114">
        <f t="shared" si="32"/>
        <v>-16.064412922300775</v>
      </c>
      <c r="W114">
        <f t="shared" si="33"/>
        <v>132.12218169929434</v>
      </c>
      <c r="X114">
        <f>Calculations!$B$216/(Calculations!$B$216+Calculations!$B$218)</f>
        <v>0.80079681274900394</v>
      </c>
      <c r="Y114" t="str">
        <f t="shared" si="34"/>
        <v>0,0243706043900815+0,0454971192894514i</v>
      </c>
      <c r="Z114">
        <f t="shared" si="35"/>
        <v>-25.744797635565678</v>
      </c>
      <c r="AA114">
        <f t="shared" si="36"/>
        <v>61.824201026991034</v>
      </c>
    </row>
    <row r="115" spans="2:37">
      <c r="B115" s="1">
        <v>10000</v>
      </c>
      <c r="C115" s="22">
        <f t="shared" si="37"/>
        <v>62831.853071795864</v>
      </c>
      <c r="D115" s="26" t="str">
        <f t="shared" si="38"/>
        <v>0,0182561066417077-0,0470084092454768i</v>
      </c>
      <c r="E115" s="1">
        <f t="shared" si="15"/>
        <v>-25.946406659181122</v>
      </c>
      <c r="F115" s="6">
        <f t="shared" si="22"/>
        <v>-68.775905311694444</v>
      </c>
      <c r="G115" s="5" t="str">
        <f t="shared" si="39"/>
        <v>18,6239808780932-102,623529050317i</v>
      </c>
      <c r="H115" s="1">
        <f t="shared" si="23"/>
        <v>40.365666757655411</v>
      </c>
      <c r="I115" s="6">
        <f t="shared" si="24"/>
        <v>-79.713985137126301</v>
      </c>
      <c r="J115" s="26" t="str">
        <f t="shared" si="40"/>
        <v>-4,48416747080876-2,7489898051883i</v>
      </c>
      <c r="K115" s="1">
        <f t="shared" si="25"/>
        <v>14.419260098474236</v>
      </c>
      <c r="L115" s="6">
        <f t="shared" si="26"/>
        <v>-148.48989044882074</v>
      </c>
      <c r="M115" s="26">
        <f t="shared" si="41"/>
        <v>2.4615384615384617</v>
      </c>
      <c r="N115" s="6">
        <f t="shared" si="42"/>
        <v>0.16</v>
      </c>
      <c r="O115" s="5" t="str">
        <f t="shared" si="43"/>
        <v>0,195565155785564-0,231898835653792i</v>
      </c>
      <c r="P115" s="1">
        <f t="shared" si="20"/>
        <v>-10.361045558497048</v>
      </c>
      <c r="Q115" s="6">
        <f t="shared" si="28"/>
        <v>-49.858361861287335</v>
      </c>
      <c r="R115" s="5" t="str">
        <f t="shared" si="29"/>
        <v>0,0996395413125362-0,316127477732671i</v>
      </c>
      <c r="S115" s="1">
        <f t="shared" si="30"/>
        <v>-9.591421406208827</v>
      </c>
      <c r="T115" s="6">
        <f t="shared" si="31"/>
        <v>-72.505781537844314</v>
      </c>
      <c r="U115" t="str">
        <f>IMPRODUCT(COMPLEX(-1,0),IMDIV(COMPLEX(1,C115*Calculations!$B$204*Calculations!$B$206),IMPRODUCT(COMPLEX(0,C115*Calculations!$B$193),COMPLEX((Calculations!$B$206+Calculations!$B$208),C115*Calculations!$B$204*Calculations!$B$206*Calculations!$B$208))))</f>
        <v>-0,081118121826908+0,111221615542339i</v>
      </c>
      <c r="V115">
        <f t="shared" si="32"/>
        <v>-17.223816770073007</v>
      </c>
      <c r="W115">
        <f t="shared" si="33"/>
        <v>126.10468283087909</v>
      </c>
      <c r="X115">
        <f>Calculations!$B$216/(Calculations!$B$216+Calculations!$B$218)</f>
        <v>0.80079681274900394</v>
      </c>
      <c r="Y115" t="str">
        <f t="shared" si="34"/>
        <v>0,0216836848776764+0,0294098539428455i</v>
      </c>
      <c r="Z115">
        <f t="shared" si="35"/>
        <v>-28.744791457492802</v>
      </c>
      <c r="AA115">
        <f t="shared" si="36"/>
        <v>53.5989012930348</v>
      </c>
    </row>
    <row r="116" spans="2:37">
      <c r="B116" s="1">
        <v>12915.496650148847</v>
      </c>
      <c r="C116" s="22">
        <f t="shared" si="37"/>
        <v>81150.458787142401</v>
      </c>
      <c r="D116" s="26" t="str">
        <f t="shared" si="38"/>
        <v>0,0148767878239022-0,0368759680059067i</v>
      </c>
      <c r="E116" s="1">
        <f t="shared" si="15"/>
        <v>-28.01025325649103</v>
      </c>
      <c r="F116" s="6">
        <f t="shared" si="22"/>
        <v>-68.02948563363276</v>
      </c>
      <c r="G116" s="5" t="str">
        <f t="shared" si="39"/>
        <v>7,31130810378933-70,5809519869299i</v>
      </c>
      <c r="H116" s="1">
        <f t="shared" si="23"/>
        <v>37.020103437230155</v>
      </c>
      <c r="I116" s="6">
        <f t="shared" si="24"/>
        <v>-84.085963501441128</v>
      </c>
      <c r="J116" s="26" t="str">
        <f t="shared" si="40"/>
        <v>-2,49397214792121-1,31962941083525i</v>
      </c>
      <c r="K116" s="1">
        <f t="shared" si="25"/>
        <v>9.0098501807391216</v>
      </c>
      <c r="L116" s="6">
        <f t="shared" si="26"/>
        <v>-152.11544913507379</v>
      </c>
      <c r="M116" s="26">
        <f t="shared" si="41"/>
        <v>2.4615384615384617</v>
      </c>
      <c r="N116" s="6">
        <f t="shared" si="42"/>
        <v>0.16</v>
      </c>
      <c r="O116" s="5" t="str">
        <f t="shared" si="43"/>
        <v>0,195187264159247-0,184978211147251i</v>
      </c>
      <c r="P116" s="1">
        <f t="shared" si="20"/>
        <v>-11.407715692886466</v>
      </c>
      <c r="Q116" s="6">
        <f t="shared" si="28"/>
        <v>-43.461735374626834</v>
      </c>
      <c r="R116" s="5" t="str">
        <f t="shared" si="29"/>
        <v>0,0714480913260061-0,259016260807661i</v>
      </c>
      <c r="S116" s="1">
        <f t="shared" si="30"/>
        <v>-11.414973722218988</v>
      </c>
      <c r="T116" s="6">
        <f t="shared" si="31"/>
        <v>-74.578798717404851</v>
      </c>
      <c r="U116" t="str">
        <f>IMPRODUCT(COMPLEX(-1,0),IMDIV(COMPLEX(1,C116*Calculations!$B$204*Calculations!$B$206),IMPRODUCT(COMPLEX(0,C116*Calculations!$B$193),COMPLEX((Calculations!$B$206+Calculations!$B$208),C116*Calculations!$B$204*Calculations!$B$206*Calculations!$B$208))))</f>
        <v>-0,0585394304381074+0,101073591793993i</v>
      </c>
      <c r="V116">
        <f t="shared" si="32"/>
        <v>-18.650985288067446</v>
      </c>
      <c r="W116">
        <f t="shared" si="33"/>
        <v>120.07840649311821</v>
      </c>
      <c r="X116">
        <f>Calculations!$B$216/(Calculations!$B$216+Calculations!$B$218)</f>
        <v>0.80079681274900394</v>
      </c>
      <c r="Y116" t="str">
        <f t="shared" si="34"/>
        <v>0,0176152662206929+0,0179251796789072i</v>
      </c>
      <c r="Z116">
        <f t="shared" si="35"/>
        <v>-31.99551229149742</v>
      </c>
      <c r="AA116">
        <f t="shared" si="36"/>
        <v>45.499607775713159</v>
      </c>
    </row>
    <row r="117" spans="2:37">
      <c r="B117" s="1">
        <v>16681.005372000593</v>
      </c>
      <c r="C117" s="22">
        <f t="shared" si="37"/>
        <v>104809.84786233788</v>
      </c>
      <c r="D117" s="26" t="str">
        <f t="shared" si="38"/>
        <v>0,0128079505124553-0,0287788031381913i</v>
      </c>
      <c r="E117" s="1">
        <f t="shared" si="15"/>
        <v>-30.033731559652814</v>
      </c>
      <c r="F117" s="6">
        <f t="shared" si="22"/>
        <v>-66.008637541494238</v>
      </c>
      <c r="G117" s="5" t="str">
        <f t="shared" si="39"/>
        <v>3,36655677285931-50,9166744238737i</v>
      </c>
      <c r="H117" s="1">
        <f t="shared" si="23"/>
        <v>34.156145343081945</v>
      </c>
      <c r="I117" s="6">
        <f t="shared" si="24"/>
        <v>-86.217169604988626</v>
      </c>
      <c r="J117" s="26" t="str">
        <f t="shared" si="40"/>
        <v>-1,42220225715189-0,749023720899435i</v>
      </c>
      <c r="K117" s="1">
        <f t="shared" si="25"/>
        <v>4.1224137834291366</v>
      </c>
      <c r="L117" s="6">
        <f t="shared" si="26"/>
        <v>-152.22580714648291</v>
      </c>
      <c r="M117" s="26">
        <f t="shared" si="41"/>
        <v>2.4615384615384617</v>
      </c>
      <c r="N117" s="6">
        <f t="shared" si="42"/>
        <v>0.16</v>
      </c>
      <c r="O117" s="5" t="str">
        <f t="shared" si="43"/>
        <v>0,194560142373857-0,150195598916259i</v>
      </c>
      <c r="P117" s="1">
        <f t="shared" si="20"/>
        <v>-12.188741484388938</v>
      </c>
      <c r="Q117" s="6">
        <f t="shared" si="28"/>
        <v>-37.667249160779718</v>
      </c>
      <c r="R117" s="5" t="str">
        <f t="shared" si="29"/>
        <v>0,0500288460199877-0,21222884163041i</v>
      </c>
      <c r="S117" s="1">
        <f t="shared" si="30"/>
        <v>-13.229045873527866</v>
      </c>
      <c r="T117" s="6">
        <f t="shared" si="31"/>
        <v>-76.735782180659214</v>
      </c>
      <c r="U117" t="str">
        <f>IMPRODUCT(COMPLEX(-1,0),IMDIV(COMPLEX(1,C117*Calculations!$B$204*Calculations!$B$206),IMPRODUCT(COMPLEX(0,C117*Calculations!$B$193),COMPLEX((Calculations!$B$206+Calculations!$B$208),C117*Calculations!$B$204*Calculations!$B$206*Calculations!$B$208))))</f>
        <v>-0,0399776285938236+0,0877791053865943i</v>
      </c>
      <c r="V117">
        <f t="shared" si="32"/>
        <v>-20.313591403092374</v>
      </c>
      <c r="W117">
        <f t="shared" si="33"/>
        <v>114.48615446926611</v>
      </c>
      <c r="X117">
        <f>Calculations!$B$216/(Calculations!$B$216+Calculations!$B$218)</f>
        <v>0.80079681274900394</v>
      </c>
      <c r="Y117" t="str">
        <f t="shared" si="34"/>
        <v>0,0133166289613847+0,0103109741996254i</v>
      </c>
      <c r="Z117">
        <f t="shared" si="35"/>
        <v>-35.472190557831254</v>
      </c>
      <c r="AA117">
        <f t="shared" si="36"/>
        <v>37.750372288606926</v>
      </c>
    </row>
    <row r="118" spans="2:37">
      <c r="B118" s="1">
        <v>21544.346900318837</v>
      </c>
      <c r="C118" s="22">
        <f t="shared" si="37"/>
        <v>135367.12389686337</v>
      </c>
      <c r="D118" s="26" t="str">
        <f t="shared" si="38"/>
        <v>0,0115518622930301-0,0223891307140658i</v>
      </c>
      <c r="E118" s="1">
        <f t="shared" si="15"/>
        <v>-31.974187087177029</v>
      </c>
      <c r="F118" s="6">
        <f t="shared" si="22"/>
        <v>-62.708143800893211</v>
      </c>
      <c r="G118" s="5" t="str">
        <f t="shared" si="39"/>
        <v>1,71390847064964-37,8119090134222i</v>
      </c>
      <c r="H118" s="1">
        <f t="shared" si="23"/>
        <v>31.561485754511086</v>
      </c>
      <c r="I118" s="6">
        <f t="shared" si="24"/>
        <v>-87.404718383756389</v>
      </c>
      <c r="J118" s="26" t="str">
        <f t="shared" si="40"/>
        <v>-0,826776938814068-0,475170886740955i</v>
      </c>
      <c r="K118" s="1">
        <f t="shared" si="25"/>
        <v>-0.41270133266596598</v>
      </c>
      <c r="L118" s="6">
        <f t="shared" si="26"/>
        <v>-150.11286218464963</v>
      </c>
      <c r="M118" s="26">
        <f t="shared" si="41"/>
        <v>2.4615384615384617</v>
      </c>
      <c r="N118" s="6">
        <f t="shared" si="42"/>
        <v>0.16</v>
      </c>
      <c r="O118" s="5" t="str">
        <f t="shared" si="43"/>
        <v>0,193522959991227-0,125221062986581i</v>
      </c>
      <c r="P118" s="1">
        <f t="shared" si="20"/>
        <v>-12.746483262941222</v>
      </c>
      <c r="Q118" s="6">
        <f t="shared" si="28"/>
        <v>-32.905310574094628</v>
      </c>
      <c r="R118" s="5" t="str">
        <f t="shared" si="29"/>
        <v>0,0334264207503664-0,1738661435307i</v>
      </c>
      <c r="S118" s="1">
        <f t="shared" si="30"/>
        <v>-15.038073208038503</v>
      </c>
      <c r="T118" s="6">
        <f t="shared" si="31"/>
        <v>-79.117452573364986</v>
      </c>
      <c r="U118" t="str">
        <f>IMPRODUCT(COMPLEX(-1,0),IMDIV(COMPLEX(1,C118*Calculations!$B$204*Calculations!$B$206),IMPRODUCT(COMPLEX(0,C118*Calculations!$B$193),COMPLEX((Calculations!$B$206+Calculations!$B$208),C118*Calculations!$B$204*Calculations!$B$206*Calculations!$B$208))))</f>
        <v>-0,0261475455080515+0,0734570348315219i</v>
      </c>
      <c r="V118">
        <f t="shared" si="32"/>
        <v>-22.161228433262185</v>
      </c>
      <c r="W118">
        <f t="shared" si="33"/>
        <v>109.59354270463274</v>
      </c>
      <c r="X118">
        <f>Calculations!$B$216/(Calculations!$B$216+Calculations!$B$218)</f>
        <v>0.80079681274900394</v>
      </c>
      <c r="Y118" t="str">
        <f t="shared" si="34"/>
        <v>0,00952761822002676+0,0056068418700393i</v>
      </c>
      <c r="Z118">
        <f t="shared" si="35"/>
        <v>-39.128854922511692</v>
      </c>
      <c r="AA118">
        <f t="shared" si="36"/>
        <v>30.476090131267831</v>
      </c>
    </row>
    <row r="119" spans="2:37">
      <c r="B119" s="1">
        <v>27825.594022071291</v>
      </c>
      <c r="C119" s="22">
        <f t="shared" si="37"/>
        <v>174833.36352302248</v>
      </c>
      <c r="D119" s="26" t="str">
        <f t="shared" si="38"/>
        <v>0,0107930705335687-0,0173850198821336i</v>
      </c>
      <c r="E119" s="1">
        <f t="shared" si="15"/>
        <v>-33.780666615006297</v>
      </c>
      <c r="F119" s="6">
        <f t="shared" si="22"/>
        <v>-58.166918716662451</v>
      </c>
      <c r="G119" s="5" t="str">
        <f t="shared" si="39"/>
        <v>0,929306580992364-28,5622402030252i</v>
      </c>
      <c r="H119" s="1">
        <f t="shared" si="23"/>
        <v>29.120440369965106</v>
      </c>
      <c r="I119" s="6">
        <f t="shared" si="24"/>
        <v>-88.136470811310303</v>
      </c>
      <c r="J119" s="26" t="str">
        <f t="shared" si="40"/>
        <v>-0,486525042331908-0,324430286495132i</v>
      </c>
      <c r="K119" s="1">
        <f t="shared" si="25"/>
        <v>-4.6602262450412031</v>
      </c>
      <c r="L119" s="6">
        <f t="shared" si="26"/>
        <v>-146.30338952797274</v>
      </c>
      <c r="M119" s="26">
        <f t="shared" si="41"/>
        <v>2.4615384615384617</v>
      </c>
      <c r="N119" s="6">
        <f t="shared" si="42"/>
        <v>0.16</v>
      </c>
      <c r="O119" s="5" t="str">
        <f t="shared" si="43"/>
        <v>0,191817226855604-0,108325143003434i</v>
      </c>
      <c r="P119" s="1">
        <f t="shared" si="20"/>
        <v>-13.140059502839478</v>
      </c>
      <c r="Q119" s="6">
        <f t="shared" si="28"/>
        <v>-29.454765846585847</v>
      </c>
      <c r="R119" s="5" t="str">
        <f t="shared" si="29"/>
        <v>0,0202970549305657-0,142538401732996i</v>
      </c>
      <c r="S119" s="1">
        <f t="shared" si="30"/>
        <v>-16.834181620606529</v>
      </c>
      <c r="T119" s="6">
        <f t="shared" si="31"/>
        <v>-81.895730696969082</v>
      </c>
      <c r="U119" t="str">
        <f>IMPRODUCT(COMPLEX(-1,0),IMDIV(COMPLEX(1,C119*Calculations!$B$204*Calculations!$B$206),IMPRODUCT(COMPLEX(0,C119*Calculations!$B$193),COMPLEX((Calculations!$B$206+Calculations!$B$208),C119*Calculations!$B$204*Calculations!$B$206*Calculations!$B$208))))</f>
        <v>-0,0165798048211528+0,0598173139553176i</v>
      </c>
      <c r="V119">
        <f t="shared" si="32"/>
        <v>-24.142008808932431</v>
      </c>
      <c r="W119">
        <f t="shared" si="33"/>
        <v>105.49199072666183</v>
      </c>
      <c r="X119">
        <f>Calculations!$B$216/(Calculations!$B$216+Calculations!$B$218)</f>
        <v>0.80079681274900394</v>
      </c>
      <c r="Y119" t="str">
        <f t="shared" si="34"/>
        <v>0,00655832018609451+0,00286474984728218i</v>
      </c>
      <c r="Z119">
        <f t="shared" si="35"/>
        <v>-42.905743710749945</v>
      </c>
      <c r="AA119">
        <f t="shared" si="36"/>
        <v>23.596260029692779</v>
      </c>
    </row>
    <row r="120" spans="2:37">
      <c r="B120" s="1">
        <v>35938.136638046322</v>
      </c>
      <c r="C120" s="22">
        <f t="shared" si="37"/>
        <v>225805.97209158502</v>
      </c>
      <c r="D120" s="26" t="str">
        <f t="shared" si="38"/>
        <v>0,0103360876025983-0,0134838714944072i</v>
      </c>
      <c r="E120" s="1">
        <f t="shared" si="15"/>
        <v>-35.396291943540639</v>
      </c>
      <c r="F120" s="6">
        <f t="shared" si="22"/>
        <v>-52.527961308410518</v>
      </c>
      <c r="G120" s="5" t="str">
        <f t="shared" si="39"/>
        <v>0,524022939199897-21,7924461321479i</v>
      </c>
      <c r="H120" s="1">
        <f t="shared" si="23"/>
        <v>26.768630048857645</v>
      </c>
      <c r="I120" s="6">
        <f t="shared" si="24"/>
        <v>-88.622526457817145</v>
      </c>
      <c r="J120" s="26" t="str">
        <f t="shared" si="40"/>
        <v>-0,288430196189333-0,232314490269078i</v>
      </c>
      <c r="K120" s="1">
        <f t="shared" si="25"/>
        <v>-8.6276618946829799</v>
      </c>
      <c r="L120" s="6">
        <f t="shared" si="26"/>
        <v>-141.15048776622774</v>
      </c>
      <c r="M120" s="26">
        <f t="shared" si="41"/>
        <v>2.4615384615384617</v>
      </c>
      <c r="N120" s="6">
        <f t="shared" si="42"/>
        <v>0.16</v>
      </c>
      <c r="O120" s="5" t="str">
        <f t="shared" si="43"/>
        <v>0,189037836485141-0,0982180923565859i</v>
      </c>
      <c r="P120" s="1">
        <f t="shared" si="20"/>
        <v>-13.431154374934462</v>
      </c>
      <c r="Q120" s="6">
        <f t="shared" si="28"/>
        <v>-27.45496423569249</v>
      </c>
      <c r="R120" s="5" t="str">
        <f t="shared" si="29"/>
        <v>0,00939379986432331-0,117011124804138i</v>
      </c>
      <c r="S120" s="1">
        <f t="shared" si="30"/>
        <v>-18.60755610630514</v>
      </c>
      <c r="T120" s="6">
        <f t="shared" si="31"/>
        <v>-85.410066893233335</v>
      </c>
      <c r="U120" t="str">
        <f>IMPRODUCT(COMPLEX(-1,0),IMDIV(COMPLEX(1,C120*Calculations!$B$204*Calculations!$B$206),IMPRODUCT(COMPLEX(0,C120*Calculations!$B$193),COMPLEX((Calculations!$B$206+Calculations!$B$208),C120*Calculations!$B$204*Calculations!$B$206*Calculations!$B$208))))</f>
        <v>-0,0102955818447524+0,0478106205343683i</v>
      </c>
      <c r="V120">
        <f t="shared" si="32"/>
        <v>-26.212652532868002</v>
      </c>
      <c r="W120">
        <f t="shared" si="33"/>
        <v>102.15254777069609</v>
      </c>
      <c r="X120">
        <f>Calculations!$B$216/(Calculations!$B$216+Calculations!$B$218)</f>
        <v>0.80079681274900394</v>
      </c>
      <c r="Y120" t="str">
        <f t="shared" si="34"/>
        <v>0,00440250848623806+0,00132437459595281i</v>
      </c>
      <c r="Z120">
        <f t="shared" si="35"/>
        <v>-46.749761920384117</v>
      </c>
      <c r="AA120">
        <f t="shared" si="36"/>
        <v>16.742480877462643</v>
      </c>
    </row>
    <row r="121" spans="2:37">
      <c r="B121" s="1">
        <v>46415.888336127755</v>
      </c>
      <c r="C121" s="22">
        <f t="shared" si="37"/>
        <v>291639.62761324627</v>
      </c>
      <c r="D121" s="26" t="str">
        <f t="shared" si="38"/>
        <v>0,0100613748433588-0,0104509084641608i</v>
      </c>
      <c r="E121" s="1">
        <f t="shared" si="15"/>
        <v>-36.768453919012941</v>
      </c>
      <c r="F121" s="6">
        <f t="shared" si="22"/>
        <v>-46.087931059317967</v>
      </c>
      <c r="G121" s="5" t="str">
        <f t="shared" si="39"/>
        <v>0,302700832873769-16,7260535333791i</v>
      </c>
      <c r="H121" s="1">
        <f t="shared" si="23"/>
        <v>24.469291825463483</v>
      </c>
      <c r="I121" s="6">
        <f t="shared" si="24"/>
        <v>-88.963199115680894</v>
      </c>
      <c r="J121" s="26" t="str">
        <f t="shared" si="40"/>
        <v>-0,171756867899058-0,171450592945802i</v>
      </c>
      <c r="K121" s="1">
        <f t="shared" si="25"/>
        <v>-12.299162093549468</v>
      </c>
      <c r="L121" s="6">
        <f t="shared" si="26"/>
        <v>-135.05113017499878</v>
      </c>
      <c r="M121" s="26">
        <f t="shared" si="41"/>
        <v>2.4615384615384617</v>
      </c>
      <c r="N121" s="6">
        <f t="shared" si="42"/>
        <v>0.16</v>
      </c>
      <c r="O121" s="5" t="str">
        <f t="shared" si="43"/>
        <v>0,184576544241137-0,0938756963710584i</v>
      </c>
      <c r="P121" s="1">
        <f t="shared" si="20"/>
        <v>-13.677336059600778</v>
      </c>
      <c r="Q121" s="6">
        <f t="shared" si="28"/>
        <v>-26.957904872164299</v>
      </c>
      <c r="R121" s="5" t="str">
        <f t="shared" si="29"/>
        <v>-0,00036017725179102-0,0957629731956302i</v>
      </c>
      <c r="S121" s="1">
        <f t="shared" si="30"/>
        <v>-20.37598613778572</v>
      </c>
      <c r="T121" s="6">
        <f t="shared" si="31"/>
        <v>-90.215496014868648</v>
      </c>
      <c r="U121" t="str">
        <f>IMPRODUCT(COMPLEX(-1,0),IMDIV(COMPLEX(1,C121*Calculations!$B$204*Calculations!$B$206),IMPRODUCT(COMPLEX(0,C121*Calculations!$B$193),COMPLEX((Calculations!$B$206+Calculations!$B$208),C121*Calculations!$B$204*Calculations!$B$206*Calculations!$B$208))))</f>
        <v>-0,00630756980780282+0,0377532127079946i</v>
      </c>
      <c r="V121">
        <f t="shared" si="32"/>
        <v>-28.34135545735198</v>
      </c>
      <c r="W121">
        <f t="shared" si="33"/>
        <v>99.485012986228469</v>
      </c>
      <c r="X121">
        <f>Calculations!$B$216/(Calculations!$B$216+Calculations!$B$218)</f>
        <v>0.80079681274900394</v>
      </c>
      <c r="Y121" t="str">
        <f t="shared" si="34"/>
        <v>0,00289698796690222+0,000472817497199134i</v>
      </c>
      <c r="Z121">
        <f t="shared" si="35"/>
        <v>-50.646894876348682</v>
      </c>
      <c r="AA121">
        <f t="shared" si="36"/>
        <v>9.2695169713598045</v>
      </c>
    </row>
    <row r="122" spans="2:37">
      <c r="B122" s="1">
        <v>59948.425031894149</v>
      </c>
      <c r="C122" s="22">
        <f t="shared" si="37"/>
        <v>376667.06334895425</v>
      </c>
      <c r="D122" s="26" t="str">
        <f t="shared" si="38"/>
        <v>0,00989641528663978-0,00809679707171361i</v>
      </c>
      <c r="E122" s="1">
        <f t="shared" si="15"/>
        <v>-37.86489791170743</v>
      </c>
      <c r="F122" s="6">
        <f t="shared" si="22"/>
        <v>-39.288470556693881</v>
      </c>
      <c r="G122" s="5" t="str">
        <f t="shared" si="39"/>
        <v>0,177445025094642-12,8828219738726i</v>
      </c>
      <c r="H122" s="1">
        <f t="shared" si="23"/>
        <v>22.201043958604711</v>
      </c>
      <c r="I122" s="6">
        <f t="shared" si="24"/>
        <v>-89.210871019819194</v>
      </c>
      <c r="J122" s="26" t="str">
        <f t="shared" si="40"/>
        <v>-0,102553525574575-0,128930492676868i</v>
      </c>
      <c r="K122" s="1">
        <f t="shared" si="25"/>
        <v>-15.663853953102706</v>
      </c>
      <c r="L122" s="6">
        <f t="shared" si="26"/>
        <v>-128.49934157651319</v>
      </c>
      <c r="M122" s="26">
        <f t="shared" si="41"/>
        <v>2.4615384615384617</v>
      </c>
      <c r="N122" s="6">
        <f t="shared" si="42"/>
        <v>0.16</v>
      </c>
      <c r="O122" s="5" t="str">
        <f t="shared" si="43"/>
        <v>0,177585506051604-0,0943165456880946i</v>
      </c>
      <c r="P122" s="1">
        <f t="shared" si="20"/>
        <v>-13.932723827923436</v>
      </c>
      <c r="Q122" s="6">
        <f t="shared" si="28"/>
        <v>-27.972993599103322</v>
      </c>
      <c r="R122" s="5" t="str">
        <f t="shared" si="29"/>
        <v>-0,00935140399138552-0,0768704615689749i</v>
      </c>
      <c r="S122" s="1">
        <f t="shared" si="30"/>
        <v>-22.221009584002324</v>
      </c>
      <c r="T122" s="6">
        <f t="shared" si="31"/>
        <v>-96.936033669980205</v>
      </c>
      <c r="U122" t="str">
        <f>IMPRODUCT(COMPLEX(-1,0),IMDIV(COMPLEX(1,C122*Calculations!$B$204*Calculations!$B$206),IMPRODUCT(COMPLEX(0,C122*Calculations!$B$193),COMPLEX((Calculations!$B$206+Calculations!$B$208),C122*Calculations!$B$204*Calculations!$B$206*Calculations!$B$208))))</f>
        <v>-0,00383172949751342+0,0295843297005803i</v>
      </c>
      <c r="V122">
        <f t="shared" si="32"/>
        <v>-30.506516120938212</v>
      </c>
      <c r="W122">
        <f t="shared" si="33"/>
        <v>97.379802917756862</v>
      </c>
      <c r="X122">
        <f>Calculations!$B$216/(Calculations!$B$216+Calculations!$B$218)</f>
        <v>0.80079681274900394</v>
      </c>
      <c r="Y122" t="str">
        <f t="shared" si="34"/>
        <v>0,00184983513582338+0,0000143276934008169i</v>
      </c>
      <c r="Z122">
        <f t="shared" si="35"/>
        <v>-54.657078986151518</v>
      </c>
      <c r="AA122">
        <f t="shared" si="36"/>
        <v>0.44376924777664528</v>
      </c>
    </row>
    <row r="123" spans="2:37">
      <c r="B123" s="1">
        <v>77426.368268112885</v>
      </c>
      <c r="C123" s="22">
        <f t="shared" si="37"/>
        <v>486484.21949048265</v>
      </c>
      <c r="D123" s="26" t="str">
        <f t="shared" si="38"/>
        <v>0,00979742610927645-0,00627139677229534i</v>
      </c>
      <c r="E123" s="1">
        <f t="shared" si="15"/>
        <v>-38.686380884155511</v>
      </c>
      <c r="F123" s="6">
        <f t="shared" si="22"/>
        <v>-32.623574390186718</v>
      </c>
      <c r="G123" s="5" t="str">
        <f t="shared" si="39"/>
        <v>0,104950631263898-9,94353888101752i</v>
      </c>
      <c r="H123" s="1">
        <f t="shared" si="23"/>
        <v>19.951303305326221</v>
      </c>
      <c r="I123" s="6">
        <f t="shared" si="24"/>
        <v>-89.395285217587457</v>
      </c>
      <c r="J123" s="26" t="str">
        <f t="shared" si="40"/>
        <v>-0,0613316315886765-0,0980792745016454i</v>
      </c>
      <c r="K123" s="1">
        <f t="shared" si="25"/>
        <v>-18.735077578829294</v>
      </c>
      <c r="L123" s="6">
        <f t="shared" si="26"/>
        <v>-122.01885960777413</v>
      </c>
      <c r="M123" s="26">
        <f t="shared" si="41"/>
        <v>2.4615384615384617</v>
      </c>
      <c r="N123" s="6">
        <f t="shared" si="42"/>
        <v>0.16</v>
      </c>
      <c r="O123" s="5" t="str">
        <f t="shared" si="43"/>
        <v>0,167032221613433-0,0983090502960094i</v>
      </c>
      <c r="P123" s="1">
        <f t="shared" si="20"/>
        <v>-14.252231686660338</v>
      </c>
      <c r="Q123" s="6">
        <f t="shared" si="28"/>
        <v>-30.479508829211039</v>
      </c>
      <c r="R123" s="5" t="str">
        <f t="shared" si="29"/>
        <v>-0,0166700678902049-0,0586206319182739i</v>
      </c>
      <c r="S123" s="1">
        <f t="shared" si="30"/>
        <v>-24.301265703756023</v>
      </c>
      <c r="T123" s="6">
        <f t="shared" si="31"/>
        <v>-105.87426913842675</v>
      </c>
      <c r="U123" t="str">
        <f>IMPRODUCT(COMPLEX(-1,0),IMDIV(COMPLEX(1,C123*Calculations!$B$204*Calculations!$B$206),IMPRODUCT(COMPLEX(0,C123*Calculations!$B$193),COMPLEX((Calculations!$B$206+Calculations!$B$208),C123*Calculations!$B$204*Calculations!$B$206*Calculations!$B$208))))</f>
        <v>-0,0023155788403684+0,0230736283232617i</v>
      </c>
      <c r="V123">
        <f t="shared" si="32"/>
        <v>-32.694161652583304</v>
      </c>
      <c r="W123">
        <f t="shared" si="33"/>
        <v>95.730792185109735</v>
      </c>
      <c r="X123">
        <f>Calculations!$B$216/(Calculations!$B$216+Calculations!$B$218)</f>
        <v>0.80079681274900394</v>
      </c>
      <c r="Y123" t="str">
        <f t="shared" si="34"/>
        <v>0,0011140617426918-0,000199316929897899i</v>
      </c>
      <c r="Z123">
        <f t="shared" si="35"/>
        <v>-58.92498063755027</v>
      </c>
      <c r="AA123">
        <f t="shared" si="36"/>
        <v>-10.143476953316956</v>
      </c>
    </row>
    <row r="124" spans="2:37">
      <c r="B124" s="1">
        <v>100000</v>
      </c>
      <c r="C124" s="22">
        <f t="shared" si="37"/>
        <v>628318.53071795858</v>
      </c>
      <c r="D124" s="26" t="str">
        <f t="shared" si="38"/>
        <v>0,00973804820661247-0,00485680193754636i</v>
      </c>
      <c r="E124" s="1">
        <f t="shared" si="15"/>
        <v>-39.265818822846995</v>
      </c>
      <c r="F124" s="6">
        <f t="shared" si="22"/>
        <v>-26.507493029348414</v>
      </c>
      <c r="G124" s="5" t="str">
        <f t="shared" si="39"/>
        <v>0,062408354668278-7,68451040574292i</v>
      </c>
      <c r="H124" s="1">
        <f t="shared" si="23"/>
        <v>17.712610493376758</v>
      </c>
      <c r="I124" s="6">
        <f t="shared" si="24"/>
        <v>-89.534692969407715</v>
      </c>
      <c r="J124" s="26" t="str">
        <f t="shared" si="40"/>
        <v>-0,0367144094614523-0,0751352377932116i</v>
      </c>
      <c r="K124" s="1">
        <f t="shared" si="25"/>
        <v>-21.553208329470245</v>
      </c>
      <c r="L124" s="6">
        <f t="shared" si="26"/>
        <v>-116.04218599875612</v>
      </c>
      <c r="M124" s="26">
        <f t="shared" si="41"/>
        <v>2.4615384615384617</v>
      </c>
      <c r="N124" s="6">
        <f t="shared" si="42"/>
        <v>0.16</v>
      </c>
      <c r="O124" s="5" t="str">
        <f t="shared" si="43"/>
        <v>0,151967753826831-0,104061002769301i</v>
      </c>
      <c r="P124" s="1">
        <f t="shared" si="20"/>
        <v>-14.695071494888987</v>
      </c>
      <c r="Q124" s="6">
        <f t="shared" si="28"/>
        <v>-34.401670992189608</v>
      </c>
      <c r="R124" s="5" t="str">
        <f t="shared" si="29"/>
        <v>-0,0204361551695412-0,0408733751504839i</v>
      </c>
      <c r="S124" s="1">
        <f t="shared" si="30"/>
        <v>-26.802135097715549</v>
      </c>
      <c r="T124" s="6">
        <f t="shared" si="31"/>
        <v>-116.56445411831361</v>
      </c>
      <c r="U124" t="str">
        <f>IMPRODUCT(COMPLEX(-1,0),IMDIV(COMPLEX(1,C124*Calculations!$B$204*Calculations!$B$206),IMPRODUCT(COMPLEX(0,C124*Calculations!$B$193),COMPLEX((Calculations!$B$206+Calculations!$B$208),C124*Calculations!$B$204*Calculations!$B$206*Calculations!$B$208))))</f>
        <v>-0,00139489406086958+0,0179438528328393i</v>
      </c>
      <c r="V124">
        <f t="shared" si="32"/>
        <v>-34.895520682371405</v>
      </c>
      <c r="W124">
        <f t="shared" si="33"/>
        <v>94.44503955998465</v>
      </c>
      <c r="X124">
        <f>Calculations!$B$216/(Calculations!$B$216+Calculations!$B$218)</f>
        <v>0.80079681274900394</v>
      </c>
      <c r="Y124" t="str">
        <f t="shared" si="34"/>
        <v>0,000610152797174892-0,000247998230477404i</v>
      </c>
      <c r="Z124">
        <f t="shared" si="35"/>
        <v>-63.627209061297947</v>
      </c>
      <c r="AA124">
        <f t="shared" si="36"/>
        <v>-22.119414558328963</v>
      </c>
    </row>
    <row r="125" spans="2:37">
      <c r="B125" s="1">
        <v>129154.96650148838</v>
      </c>
      <c r="C125" s="22">
        <f t="shared" si="37"/>
        <v>811504.58787142346</v>
      </c>
      <c r="D125" s="26" t="str">
        <f t="shared" si="38"/>
        <v>0,00970243933979929-0,00376095015785354i</v>
      </c>
      <c r="E125" s="1">
        <f t="shared" si="15"/>
        <v>-39.654434295424714</v>
      </c>
      <c r="F125" s="6">
        <f t="shared" si="22"/>
        <v>-21.187792376375185</v>
      </c>
      <c r="G125" s="5" t="str">
        <f t="shared" si="39"/>
        <v>0,0372311902556692-5,94316339824607i</v>
      </c>
      <c r="H125" s="1">
        <f t="shared" si="23"/>
        <v>15.480523847018814</v>
      </c>
      <c r="I125" s="6">
        <f t="shared" si="24"/>
        <v>-89.641072940400989</v>
      </c>
      <c r="J125" s="26" t="str">
        <f t="shared" si="40"/>
        <v>-0,0219907079557788-0,0578032070088671i</v>
      </c>
      <c r="K125" s="1">
        <f t="shared" si="25"/>
        <v>-24.173910448405891</v>
      </c>
      <c r="L125" s="6">
        <f t="shared" si="26"/>
        <v>-110.82886531677616</v>
      </c>
      <c r="M125" s="26">
        <f t="shared" si="41"/>
        <v>2.4615384615384617</v>
      </c>
      <c r="N125" s="6">
        <f t="shared" si="42"/>
        <v>0.16</v>
      </c>
      <c r="O125" s="5" t="str">
        <f t="shared" si="43"/>
        <v>0,13209483754916-0,109112585155967i</v>
      </c>
      <c r="P125" s="1">
        <f t="shared" si="20"/>
        <v>-15.323237984362301</v>
      </c>
      <c r="Q125" s="6">
        <f t="shared" si="28"/>
        <v>-39.557286438363882</v>
      </c>
      <c r="R125" s="5" t="str">
        <f t="shared" si="29"/>
        <v>-0,0197616735923656-0,0254916898141895i</v>
      </c>
      <c r="S125" s="1">
        <f t="shared" si="30"/>
        <v>-29.828205315174241</v>
      </c>
      <c r="T125" s="6">
        <f t="shared" si="31"/>
        <v>-127.78356672384402</v>
      </c>
      <c r="U125" t="str">
        <f>IMPRODUCT(COMPLEX(-1,0),IMDIV(COMPLEX(1,C125*Calculations!$B$204*Calculations!$B$206),IMPRODUCT(COMPLEX(0,C125*Calculations!$B$193),COMPLEX((Calculations!$B$206+Calculations!$B$208),C125*Calculations!$B$204*Calculations!$B$206*Calculations!$B$208))))</f>
        <v>-0,000838658487659211+0,0139301250475304i</v>
      </c>
      <c r="V125">
        <f t="shared" si="32"/>
        <v>-37.105186715207182</v>
      </c>
      <c r="W125">
        <f t="shared" si="33"/>
        <v>93.445314496956485</v>
      </c>
      <c r="X125">
        <f>Calculations!$B$216/(Calculations!$B$216+Calculations!$B$218)</f>
        <v>0.80079681274900394</v>
      </c>
      <c r="Y125" t="str">
        <f t="shared" si="34"/>
        <v>0,000297636733612327-0,00020332532356494i</v>
      </c>
      <c r="Z125">
        <f t="shared" si="35"/>
        <v>-68.862945311592412</v>
      </c>
      <c r="AA125">
        <f t="shared" si="36"/>
        <v>-34.338252226887541</v>
      </c>
    </row>
    <row r="126" spans="2:37">
      <c r="B126" s="1">
        <v>166810.05372000611</v>
      </c>
      <c r="C126" s="22">
        <f t="shared" si="37"/>
        <v>1048098.4786233798</v>
      </c>
      <c r="D126" s="26" t="str">
        <f t="shared" si="38"/>
        <v>0,00968108780108463-0,0029122014790057i</v>
      </c>
      <c r="E126" s="1">
        <f t="shared" si="15"/>
        <v>-39.905304984951826</v>
      </c>
      <c r="F126" s="6">
        <f t="shared" si="22"/>
        <v>-16.741993915489349</v>
      </c>
      <c r="G126" s="5" t="str">
        <f t="shared" si="39"/>
        <v>0,0222544272956611-4,59848195515664i</v>
      </c>
      <c r="H126" s="1">
        <f t="shared" si="23"/>
        <v>13.25239144685087</v>
      </c>
      <c r="I126" s="6">
        <f t="shared" si="24"/>
        <v>-89.722718319318119</v>
      </c>
      <c r="J126" s="26" t="str">
        <f t="shared" si="40"/>
        <v>-0,013176258886376-0,0445831169356595i</v>
      </c>
      <c r="K126" s="1">
        <f t="shared" si="25"/>
        <v>-26.652913538100975</v>
      </c>
      <c r="L126" s="6">
        <f t="shared" si="26"/>
        <v>-106.46471223480746</v>
      </c>
      <c r="M126" s="26">
        <f t="shared" si="41"/>
        <v>2.4615384615384617</v>
      </c>
      <c r="N126" s="6">
        <f t="shared" si="42"/>
        <v>0.16</v>
      </c>
      <c r="O126" s="5" t="str">
        <f t="shared" si="43"/>
        <v>0,108439914158781-0,110786540194597i</v>
      </c>
      <c r="P126" s="1">
        <f t="shared" si="20"/>
        <v>-16.191943180944524</v>
      </c>
      <c r="Q126" s="6">
        <f t="shared" si="28"/>
        <v>-45.613277414984069</v>
      </c>
      <c r="R126" s="5" t="str">
        <f t="shared" si="29"/>
        <v>-0,0160504527943259-0,0143384038980595i</v>
      </c>
      <c r="S126" s="1">
        <f t="shared" si="30"/>
        <v>-33.342250162505195</v>
      </c>
      <c r="T126" s="6">
        <f t="shared" si="31"/>
        <v>-138.22452379416026</v>
      </c>
      <c r="U126" t="str">
        <f>IMPRODUCT(COMPLEX(-1,0),IMDIV(COMPLEX(1,C126*Calculations!$B$204*Calculations!$B$206),IMPRODUCT(COMPLEX(0,C126*Calculations!$B$193),COMPLEX((Calculations!$B$206+Calculations!$B$208),C126*Calculations!$B$204*Calculations!$B$206*Calculations!$B$208))))</f>
        <v>-0,000503644077282402+0,0108027748766552i</v>
      </c>
      <c r="V126">
        <f t="shared" si="32"/>
        <v>-39.319863965569112</v>
      </c>
      <c r="W126">
        <f t="shared" si="33"/>
        <v>92.669295627050388</v>
      </c>
      <c r="X126">
        <f>Calculations!$B$216/(Calculations!$B$216+Calculations!$B$218)</f>
        <v>0.80079681274900394</v>
      </c>
      <c r="Y126" t="str">
        <f t="shared" si="34"/>
        <v>0,000130512475070358-0,000133066785565391i</v>
      </c>
      <c r="Z126">
        <f t="shared" si="35"/>
        <v>-74.591667409285307</v>
      </c>
      <c r="AA126">
        <f t="shared" si="36"/>
        <v>-45.555228167109803</v>
      </c>
      <c r="AJ126" t="s">
        <v>573</v>
      </c>
    </row>
    <row r="127" spans="2:37">
      <c r="B127" s="1">
        <v>215443.46900318863</v>
      </c>
      <c r="C127" s="22">
        <f t="shared" si="37"/>
        <v>1353671.2389686354</v>
      </c>
      <c r="D127" s="26" t="str">
        <f t="shared" si="38"/>
        <v>0,0096682862421077-0,0022549206358483i</v>
      </c>
      <c r="E127" s="1">
        <f t="shared" si="15"/>
        <v>-40.062974283525023</v>
      </c>
      <c r="F127" s="6">
        <f t="shared" si="22"/>
        <v>-13.128329950561515</v>
      </c>
      <c r="G127" s="5" t="str">
        <f t="shared" si="39"/>
        <v>0,0133178295217176-3,55900279084909i</v>
      </c>
      <c r="H127" s="1">
        <f t="shared" si="23"/>
        <v>11.026627383571345</v>
      </c>
      <c r="I127" s="6">
        <f t="shared" si="24"/>
        <v>-89.785599532469718</v>
      </c>
      <c r="J127" s="26" t="str">
        <f t="shared" si="40"/>
        <v>-0,00789650824818774-0,0344394883670023i</v>
      </c>
      <c r="K127" s="1">
        <f t="shared" si="25"/>
        <v>-29.036346899953699</v>
      </c>
      <c r="L127" s="6">
        <f t="shared" si="26"/>
        <v>-102.91392948303124</v>
      </c>
      <c r="M127" s="26">
        <f t="shared" si="41"/>
        <v>2.4615384615384617</v>
      </c>
      <c r="N127" s="6">
        <f t="shared" si="42"/>
        <v>0.16</v>
      </c>
      <c r="O127" s="5" t="str">
        <f t="shared" si="43"/>
        <v>0,0834978135679445-0,107252963170872i</v>
      </c>
      <c r="P127" s="1">
        <f t="shared" si="20"/>
        <v>-17.334136023250753</v>
      </c>
      <c r="Q127" s="6">
        <f t="shared" si="28"/>
        <v>-52.09878267674064</v>
      </c>
      <c r="R127" s="5" t="str">
        <f t="shared" si="29"/>
        <v>-0,0115706281880939-0,00747491951183531i</v>
      </c>
      <c r="S127" s="1">
        <f t="shared" si="30"/>
        <v>-37.218093845804916</v>
      </c>
      <c r="T127" s="6">
        <f t="shared" si="31"/>
        <v>-147.13651381839469</v>
      </c>
      <c r="U127" t="str">
        <f>IMPRODUCT(COMPLEX(-1,0),IMDIV(COMPLEX(1,C127*Calculations!$B$204*Calculations!$B$206),IMPRODUCT(COMPLEX(0,C127*Calculations!$B$193),COMPLEX((Calculations!$B$206+Calculations!$B$208),C127*Calculations!$B$204*Calculations!$B$206*Calculations!$B$208))))</f>
        <v>-0,000302244384268168+0,00837219520321092i</v>
      </c>
      <c r="V127">
        <f t="shared" si="32"/>
        <v>-41.537556698343806</v>
      </c>
      <c r="W127">
        <f t="shared" si="33"/>
        <v>92.067535448874338</v>
      </c>
      <c r="X127">
        <f>Calculations!$B$216/(Calculations!$B$216+Calculations!$B$218)</f>
        <v>0.80079681274900394</v>
      </c>
      <c r="Y127" t="str">
        <f t="shared" si="34"/>
        <v>0,0000529155664438646-0,0000757652325864812i</v>
      </c>
      <c r="Z127">
        <f t="shared" si="35"/>
        <v>-80.685203825359707</v>
      </c>
      <c r="AA127">
        <f t="shared" si="36"/>
        <v>-55.068978369520337</v>
      </c>
      <c r="AF127" t="s">
        <v>574</v>
      </c>
      <c r="AG127">
        <f t="array" ref="AG127">INDEX($Z$79:$Z$133,(MATCH(TRUE,$Z$79:$Z$133&lt;0,)-1))</f>
        <v>0.66919528993010635</v>
      </c>
      <c r="AH127">
        <f t="array" ref="AH127">INDEX($Z$79:$Z$133,(MATCH(TRUE,$Z$79:$Z$133&lt;0,)-0))</f>
        <v>-1.3958705845011996</v>
      </c>
    </row>
    <row r="128" spans="2:37">
      <c r="B128" s="1">
        <v>278255.94022071268</v>
      </c>
      <c r="C128" s="22">
        <f t="shared" si="37"/>
        <v>1748333.6352302232</v>
      </c>
      <c r="D128" s="26" t="str">
        <f t="shared" si="38"/>
        <v>0,00966061131684058-0,00174595365726621i</v>
      </c>
      <c r="E128" s="1">
        <f t="shared" si="15"/>
        <v>-40.160321607876696</v>
      </c>
      <c r="F128" s="6">
        <f t="shared" si="22"/>
        <v>-10.24443230614631</v>
      </c>
      <c r="G128" s="5" t="str">
        <f t="shared" si="39"/>
        <v>0,00797544665223252-2,75494096052471i</v>
      </c>
      <c r="H128" s="1">
        <f t="shared" si="23"/>
        <v>8.8022823208935002</v>
      </c>
      <c r="I128" s="6">
        <f t="shared" si="24"/>
        <v>-89.834131415918876</v>
      </c>
      <c r="J128" s="26" t="str">
        <f t="shared" si="40"/>
        <v>-0,00473295155539519-0,0266283385807236i</v>
      </c>
      <c r="K128" s="1">
        <f t="shared" si="25"/>
        <v>-31.35803928698315</v>
      </c>
      <c r="L128" s="6">
        <f t="shared" si="26"/>
        <v>-100.07856372206514</v>
      </c>
      <c r="M128" s="26">
        <f t="shared" si="41"/>
        <v>2.4615384615384617</v>
      </c>
      <c r="N128" s="6">
        <f t="shared" si="42"/>
        <v>0.16</v>
      </c>
      <c r="O128" s="5" t="str">
        <f t="shared" si="43"/>
        <v>0,0603448612813496-0,0984766528218856i</v>
      </c>
      <c r="P128" s="1">
        <f t="shared" si="20"/>
        <v>-18.748717319321749</v>
      </c>
      <c r="Q128" s="6">
        <f t="shared" si="28"/>
        <v>-58.500722956910934</v>
      </c>
      <c r="R128" s="5" t="str">
        <f t="shared" si="29"/>
        <v>-0,0077390206621656-0,0037132879573003i</v>
      </c>
      <c r="S128" s="1">
        <f t="shared" si="30"/>
        <v>-41.326447934674221</v>
      </c>
      <c r="T128" s="6">
        <f t="shared" si="31"/>
        <v>-154.36767128853444</v>
      </c>
      <c r="U128" t="str">
        <f>IMPRODUCT(COMPLEX(-1,0),IMDIV(COMPLEX(1,C128*Calculations!$B$204*Calculations!$B$206),IMPRODUCT(COMPLEX(0,C128*Calculations!$B$193),COMPLEX((Calculations!$B$206+Calculations!$B$208),C128*Calculations!$B$204*Calculations!$B$206*Calculations!$B$208))))</f>
        <v>-0,000181305113036826+0,00648600572366219i</v>
      </c>
      <c r="V128">
        <f t="shared" si="32"/>
        <v>-43.757061258513417</v>
      </c>
      <c r="W128">
        <f t="shared" si="33"/>
        <v>91.601187820152887</v>
      </c>
      <c r="X128">
        <f>Calculations!$B$216/(Calculations!$B$216+Calculations!$B$218)</f>
        <v>0.80079681274900394</v>
      </c>
      <c r="Y128" t="str">
        <f t="shared" si="34"/>
        <v>0,0000204103335580932-0,0000396571352100374i</v>
      </c>
      <c r="Z128">
        <f t="shared" si="35"/>
        <v>-87.013062474398623</v>
      </c>
      <c r="AA128">
        <f t="shared" si="36"/>
        <v>-62.766483468381495</v>
      </c>
      <c r="AF128" t="s">
        <v>575</v>
      </c>
      <c r="AG128">
        <f t="array" ref="AG128">INDEX($B$79:$B$133,(MATCH(TRUE,$Z$79:$Z$133&lt;0,)-1))</f>
        <v>215.44346900318828</v>
      </c>
      <c r="AH128">
        <f t="array" ref="AH128">INDEX($B$79:$B$133,(MATCH(TRUE,$Z$79:$Z$133&lt;0,)-0))</f>
        <v>278.25594022071277</v>
      </c>
      <c r="AJ128">
        <f>(AG127*AH128-AG128*AH127)/(AG127-AH127)/1000</f>
        <v>0.23579817555666005</v>
      </c>
      <c r="AK128" s="203" t="str">
        <f>"Crossover Frequency = "&amp;ROUND(AJ128,1)&amp;" kHz"</f>
        <v>Crossover Frequency = 0,2 kHz</v>
      </c>
    </row>
    <row r="129" spans="1:37">
      <c r="B129" s="1">
        <v>359381.36638046295</v>
      </c>
      <c r="C129" s="22">
        <f t="shared" si="37"/>
        <v>2258059.7209158484</v>
      </c>
      <c r="D129" s="26" t="str">
        <f t="shared" si="38"/>
        <v>0,00965601010714564-0,00135185195031661i</v>
      </c>
      <c r="E129" s="1">
        <f t="shared" si="15"/>
        <v>-40.219746197276848</v>
      </c>
      <c r="F129" s="6">
        <f t="shared" si="22"/>
        <v>-7.9696717059149762</v>
      </c>
      <c r="G129" s="5" t="str">
        <f t="shared" si="39"/>
        <v>0,00477814408620991-2,13274185673209i</v>
      </c>
      <c r="H129" s="1">
        <f t="shared" si="23"/>
        <v>6.5787876464543231</v>
      </c>
      <c r="I129" s="6">
        <f t="shared" si="24"/>
        <v>-89.871636114261378</v>
      </c>
      <c r="J129" s="26" t="str">
        <f t="shared" si="40"/>
        <v>-0,0028370134309553-0,0206002362679394i</v>
      </c>
      <c r="K129" s="1">
        <f t="shared" si="25"/>
        <v>-33.640958550822539</v>
      </c>
      <c r="L129" s="6">
        <f t="shared" si="26"/>
        <v>-97.841307820176368</v>
      </c>
      <c r="M129" s="26">
        <f t="shared" si="41"/>
        <v>2.4615384615384617</v>
      </c>
      <c r="N129" s="6">
        <f t="shared" si="42"/>
        <v>0.16</v>
      </c>
      <c r="O129" s="5" t="str">
        <f t="shared" si="43"/>
        <v>0,0412601889435981-0,0860974802683237i</v>
      </c>
      <c r="P129" s="1">
        <f t="shared" si="20"/>
        <v>-20.402347841314995</v>
      </c>
      <c r="Q129" s="6">
        <f t="shared" si="28"/>
        <v>-64.395027261667778</v>
      </c>
      <c r="R129" s="5" t="str">
        <f t="shared" si="29"/>
        <v>-0,00494909879113904-0,00179281971186565i</v>
      </c>
      <c r="S129" s="1">
        <f t="shared" si="30"/>
        <v>-45.573982479483576</v>
      </c>
      <c r="T129" s="6">
        <f t="shared" si="31"/>
        <v>-160.08699187980665</v>
      </c>
      <c r="U129" t="str">
        <f>IMPRODUCT(COMPLEX(-1,0),IMDIV(COMPLEX(1,C129*Calculations!$B$204*Calculations!$B$206),IMPRODUCT(COMPLEX(0,C129*Calculations!$B$193),COMPLEX((Calculations!$B$206+Calculations!$B$208),C129*Calculations!$B$204*Calculations!$B$206*Calculations!$B$208))))</f>
        <v>-0,000108730701899038+0,005023606643333i</v>
      </c>
      <c r="V129">
        <f t="shared" si="32"/>
        <v>-45.97765345581611</v>
      </c>
      <c r="W129">
        <f t="shared" si="33"/>
        <v>91.239913518485437</v>
      </c>
      <c r="X129">
        <f>Calculations!$B$216/(Calculations!$B$216+Calculations!$B$218)</f>
        <v>0.80079681274900394</v>
      </c>
      <c r="Y129" t="str">
        <f t="shared" si="34"/>
        <v>7,64323721127939E-06-0,0000197535681076717i</v>
      </c>
      <c r="Z129">
        <f t="shared" si="35"/>
        <v>-93.481189216510657</v>
      </c>
      <c r="AA129">
        <f t="shared" si="36"/>
        <v>-68.847078361321238</v>
      </c>
      <c r="AF129" t="s">
        <v>576</v>
      </c>
      <c r="AG129">
        <f t="array" ref="AG129">INDEX($AA$79:$AA$133,(MATCH(TRUE,$Z$79:$Z$133&lt;0,)-1))</f>
        <v>97.264837179849977</v>
      </c>
      <c r="AH129">
        <f t="array" ref="AH129">INDEX($AA$79:$AA$133,(MATCH(TRUE,$Z$79:$Z$133&lt;0,)-0))</f>
        <v>99.102023332210621</v>
      </c>
      <c r="AJ129">
        <f>(AG127*AH129-AG129*AH127)/(AG127-AH127)</f>
        <v>97.860186865836695</v>
      </c>
      <c r="AK129" t="str">
        <f>"Phase Margin = "&amp;ROUND(AJ129,0)&amp;"°"</f>
        <v>Phase Margin = 98°</v>
      </c>
    </row>
    <row r="130" spans="1:37">
      <c r="B130" s="1">
        <v>464158.88336127804</v>
      </c>
      <c r="C130" s="22">
        <f t="shared" si="37"/>
        <v>2916396.2761324653</v>
      </c>
      <c r="D130" s="26" t="str">
        <f t="shared" si="38"/>
        <v>0,00965325167789353-0,00104670075053703i</v>
      </c>
      <c r="E130" s="1">
        <f t="shared" si="15"/>
        <v>-40.255765087723617</v>
      </c>
      <c r="F130" s="6">
        <f t="shared" si="22"/>
        <v>-6.1883966579121221</v>
      </c>
      <c r="G130" s="5" t="str">
        <f t="shared" si="39"/>
        <v>0,00286334059255093-1,6511612209986i</v>
      </c>
      <c r="H130" s="1">
        <f t="shared" si="23"/>
        <v>4.3558026656602902</v>
      </c>
      <c r="I130" s="6">
        <f t="shared" si="24"/>
        <v>-89.900641339729475</v>
      </c>
      <c r="J130" s="26" t="str">
        <f t="shared" si="40"/>
        <v>-0,00170063114189745-0,0159420718878247i</v>
      </c>
      <c r="K130" s="1">
        <f t="shared" si="25"/>
        <v>-35.899962422063339</v>
      </c>
      <c r="L130" s="6">
        <f t="shared" si="26"/>
        <v>-96.089037997641583</v>
      </c>
      <c r="M130" s="26">
        <f t="shared" si="41"/>
        <v>2.4615384615384617</v>
      </c>
      <c r="N130" s="6">
        <f t="shared" si="42"/>
        <v>0.16</v>
      </c>
      <c r="O130" s="5" t="str">
        <f t="shared" si="43"/>
        <v>0,0270106315325897-0,0723568089026972i</v>
      </c>
      <c r="P130" s="1">
        <f t="shared" si="20"/>
        <v>-22.243835810956263</v>
      </c>
      <c r="Q130" s="6">
        <f t="shared" si="28"/>
        <v>-69.529511564184119</v>
      </c>
      <c r="R130" s="5" t="str">
        <f t="shared" si="29"/>
        <v>-0,00308241854723953-0,000851488435959173i</v>
      </c>
      <c r="S130" s="1">
        <f t="shared" si="30"/>
        <v>-49.902799141477168</v>
      </c>
      <c r="T130" s="6">
        <f t="shared" si="31"/>
        <v>-164.55769847352821</v>
      </c>
      <c r="U130" t="str">
        <f>IMPRODUCT(COMPLEX(-1,0),IMDIV(COMPLEX(1,C130*Calculations!$B$204*Calculations!$B$206),IMPRODUCT(COMPLEX(0,C130*Calculations!$B$193),COMPLEX((Calculations!$B$206+Calculations!$B$208),C130*Calculations!$B$204*Calculations!$B$206*Calculations!$B$208))))</f>
        <v>-0,0000651971379839672+0,00389039871641543i</v>
      </c>
      <c r="V130">
        <f t="shared" si="32"/>
        <v>-48.198898205483033</v>
      </c>
      <c r="W130">
        <f t="shared" si="33"/>
        <v>90.960099843612866</v>
      </c>
      <c r="X130">
        <f>Calculations!$B$216/(Calculations!$B$216+Calculations!$B$218)</f>
        <v>0.80079681274900394</v>
      </c>
      <c r="Y130" t="str">
        <f t="shared" si="34"/>
        <v>0,0000028136751853188-9,55856905445237E-06i</v>
      </c>
      <c r="Z130">
        <f t="shared" si="35"/>
        <v>-100.03125062817119</v>
      </c>
      <c r="AA130">
        <f t="shared" si="36"/>
        <v>-73.597598629915382</v>
      </c>
    </row>
    <row r="131" spans="1:37">
      <c r="B131" s="1">
        <v>599484.25031894213</v>
      </c>
      <c r="C131" s="22">
        <f t="shared" si="37"/>
        <v>3766670.6334895464</v>
      </c>
      <c r="D131" s="26" t="str">
        <f t="shared" si="38"/>
        <v>0,00965159801550488-0,000810427428393677i</v>
      </c>
      <c r="E131" s="1">
        <f t="shared" si="15"/>
        <v>-40.277502303985109</v>
      </c>
      <c r="F131" s="6">
        <f t="shared" si="22"/>
        <v>-4.7997647885429915</v>
      </c>
      <c r="G131" s="5" t="str">
        <f t="shared" si="39"/>
        <v>0,00171613899412351-1,27836764054112i</v>
      </c>
      <c r="H131" s="1">
        <f t="shared" si="23"/>
        <v>2.1331232019885995</v>
      </c>
      <c r="I131" s="6">
        <f t="shared" si="24"/>
        <v>-89.923083580000323</v>
      </c>
      <c r="J131" s="26" t="str">
        <f t="shared" si="40"/>
        <v>-0,00101946071575542-0,012339681388644i</v>
      </c>
      <c r="K131" s="1">
        <f t="shared" si="25"/>
        <v>-38.144379101996584</v>
      </c>
      <c r="L131" s="6">
        <f t="shared" si="26"/>
        <v>-94.722848368543353</v>
      </c>
      <c r="M131" s="26">
        <f t="shared" si="41"/>
        <v>2.4615384615384617</v>
      </c>
      <c r="N131" s="6">
        <f t="shared" si="42"/>
        <v>0.16</v>
      </c>
      <c r="O131" s="5" t="str">
        <f t="shared" si="43"/>
        <v>0,0171377173646319-0,0590781734478724i</v>
      </c>
      <c r="P131" s="1">
        <f t="shared" si="20"/>
        <v>-24.22056684315001</v>
      </c>
      <c r="Q131" s="6">
        <f t="shared" si="28"/>
        <v>-73.823326010992716</v>
      </c>
      <c r="R131" s="5" t="str">
        <f t="shared" si="29"/>
        <v>-0,00189021134220647-0,000400594156341499i</v>
      </c>
      <c r="S131" s="1">
        <f t="shared" si="30"/>
        <v>-54.278984320012384</v>
      </c>
      <c r="T131" s="6">
        <f t="shared" si="31"/>
        <v>-168.03430353601647</v>
      </c>
      <c r="U131" t="str">
        <f>IMPRODUCT(COMPLEX(-1,0),IMDIV(COMPLEX(1,C131*Calculations!$B$204*Calculations!$B$206),IMPRODUCT(COMPLEX(0,C131*Calculations!$B$193),COMPLEX((Calculations!$B$206+Calculations!$B$208),C131*Calculations!$B$204*Calculations!$B$206*Calculations!$B$208))))</f>
        <v>-0,0000390899762462766+0,00301256707692494i</v>
      </c>
      <c r="V131">
        <f t="shared" si="32"/>
        <v>-50.420534341050917</v>
      </c>
      <c r="W131">
        <f t="shared" si="33"/>
        <v>90.743407505595698</v>
      </c>
      <c r="X131">
        <f>Calculations!$B$216/(Calculations!$B$216+Calculations!$B$218)</f>
        <v>0.80079681274900394</v>
      </c>
      <c r="Y131" t="str">
        <f t="shared" si="34"/>
        <v>1,02558454859408E-06-4,54750827738252E-06i</v>
      </c>
      <c r="Z131">
        <f t="shared" si="35"/>
        <v>-106.62907194227427</v>
      </c>
      <c r="AA131">
        <f t="shared" si="36"/>
        <v>-77.290896030420754</v>
      </c>
    </row>
    <row r="132" spans="1:37">
      <c r="B132" s="1">
        <v>774263.68268112827</v>
      </c>
      <c r="C132" s="22">
        <f t="shared" si="37"/>
        <v>4864842.1949048229</v>
      </c>
      <c r="D132" s="26" t="str">
        <f t="shared" si="38"/>
        <v>0,00965060666106568-0,000627486869566362i</v>
      </c>
      <c r="E132" s="1">
        <f t="shared" si="15"/>
        <v>-40.290585907146905</v>
      </c>
      <c r="F132" s="6">
        <f t="shared" si="22"/>
        <v>-3.7201612236631298</v>
      </c>
      <c r="G132" s="5" t="str">
        <f t="shared" si="39"/>
        <v>0,00102865866377737-0,989762759945091i</v>
      </c>
      <c r="H132" s="1">
        <f t="shared" si="23"/>
        <v>-8.9373121985468915E-2</v>
      </c>
      <c r="I132" s="6">
        <f t="shared" si="24"/>
        <v>-89.940452620406816</v>
      </c>
      <c r="J132" s="26" t="str">
        <f t="shared" si="40"/>
        <v>-0,000611135955698695-0,00955245655380565i</v>
      </c>
      <c r="K132" s="1">
        <f t="shared" si="25"/>
        <v>-40.379959029132351</v>
      </c>
      <c r="L132" s="6">
        <f t="shared" si="26"/>
        <v>-93.660613844069928</v>
      </c>
      <c r="M132" s="26">
        <f t="shared" si="41"/>
        <v>2.4615384615384617</v>
      </c>
      <c r="N132" s="6">
        <f t="shared" si="42"/>
        <v>0.16</v>
      </c>
      <c r="O132" s="5" t="str">
        <f t="shared" si="43"/>
        <v>0,0106463741705518-0,0472972564877149i</v>
      </c>
      <c r="P132" s="1">
        <f t="shared" si="20"/>
        <v>-26.288627015794805</v>
      </c>
      <c r="Q132" s="6">
        <f t="shared" si="28"/>
        <v>-77.314437844187538</v>
      </c>
      <c r="R132" s="5" t="str">
        <f t="shared" si="29"/>
        <v>-0,00114854047693378-0,000187428578432638i</v>
      </c>
      <c r="S132" s="1">
        <f t="shared" si="30"/>
        <v>-58.682932350357248</v>
      </c>
      <c r="T132" s="6">
        <f t="shared" si="31"/>
        <v>-170.73168561749679</v>
      </c>
      <c r="U132" t="str">
        <f>IMPRODUCT(COMPLEX(-1,0),IMDIV(COMPLEX(1,C132*Calculations!$B$204*Calculations!$B$206),IMPRODUCT(COMPLEX(0,C132*Calculations!$B$193),COMPLEX((Calculations!$B$206+Calculations!$B$208),C132*Calculations!$B$204*Calculations!$B$206*Calculations!$B$208))))</f>
        <v>-0,0000234357370199092+0,00233269428096166i</v>
      </c>
      <c r="V132">
        <f t="shared" si="32"/>
        <v>-52.642405174998643</v>
      </c>
      <c r="W132">
        <f t="shared" si="33"/>
        <v>90.575610639284392</v>
      </c>
      <c r="X132">
        <f>Calculations!$B$216/(Calculations!$B$216+Calculations!$B$218)</f>
        <v>0.80079681274900394</v>
      </c>
      <c r="Y132" t="str">
        <f t="shared" si="34"/>
        <v>3,71674197530354E-07-2,14197233585486E-06i</v>
      </c>
      <c r="Z132">
        <f t="shared" si="35"/>
        <v>-113.25489080656689</v>
      </c>
      <c r="AA132">
        <f t="shared" si="36"/>
        <v>-80.156074978212374</v>
      </c>
    </row>
    <row r="133" spans="1:37" ht="15" thickBot="1">
      <c r="B133" s="88">
        <v>1000000</v>
      </c>
      <c r="C133" s="89">
        <f t="shared" si="37"/>
        <v>6283185.307179586</v>
      </c>
      <c r="D133" s="90" t="str">
        <f t="shared" si="38"/>
        <v>0,00965001235614152-0,000485841382604469i</v>
      </c>
      <c r="E133" s="88">
        <f t="shared" si="15"/>
        <v>-40.298448307262461</v>
      </c>
      <c r="F133" s="91">
        <f t="shared" si="22"/>
        <v>-2.8821908052307972</v>
      </c>
      <c r="G133" s="92" t="str">
        <f t="shared" si="39"/>
        <v>0,000616614489930277-0,766323028083706i</v>
      </c>
      <c r="H133" s="88">
        <f t="shared" si="23"/>
        <v>-2.3117596612690678</v>
      </c>
      <c r="I133" s="91">
        <f t="shared" si="24"/>
        <v>-89.953897509352771</v>
      </c>
      <c r="J133" s="90" t="str">
        <f t="shared" si="40"/>
        <v>-0,000366361102039028-0,00739532626663989i</v>
      </c>
      <c r="K133" s="88">
        <f t="shared" si="25"/>
        <v>-42.610207968531512</v>
      </c>
      <c r="L133" s="91">
        <f t="shared" si="26"/>
        <v>-92.836088314583549</v>
      </c>
      <c r="M133" s="26">
        <f t="shared" si="41"/>
        <v>2.4615384615384617</v>
      </c>
      <c r="N133" s="91">
        <f t="shared" si="42"/>
        <v>0.16</v>
      </c>
      <c r="O133" s="92" t="str">
        <f t="shared" si="43"/>
        <v>0,00652417240058433-0,0373851969260859i</v>
      </c>
      <c r="P133" s="88">
        <f t="shared" si="20"/>
        <v>-28.415718334561497</v>
      </c>
      <c r="Q133" s="91">
        <f t="shared" si="28"/>
        <v>-80.100875954992844</v>
      </c>
      <c r="R133" s="92" t="str">
        <f t="shared" si="29"/>
        <v>-0,000694096946437134-0,0000874100100049272i</v>
      </c>
      <c r="S133" s="88">
        <f t="shared" si="30"/>
        <v>-63.103262018818718</v>
      </c>
      <c r="T133" s="91">
        <f t="shared" si="31"/>
        <v>-172.8223308452331</v>
      </c>
      <c r="U133" t="str">
        <f>IMPRODUCT(COMPLEX(-1,0),IMDIV(COMPLEX(1,C133*Calculations!$B$204*Calculations!$B$206),IMPRODUCT(COMPLEX(0,C133*Calculations!$B$193),COMPLEX((Calculations!$B$206+Calculations!$B$208),C133*Calculations!$B$204*Calculations!$B$206*Calculations!$B$208))))</f>
        <v>-0,0000140500424343211+0,00180620077528247i</v>
      </c>
      <c r="V133">
        <f t="shared" si="32"/>
        <v>-54.864416731625838</v>
      </c>
      <c r="W133">
        <f t="shared" si="33"/>
        <v>90.445682400431238</v>
      </c>
      <c r="X133">
        <f>Calculations!$B$216/(Calculations!$B$216+Calculations!$B$218)</f>
        <v>0.80079681274900394</v>
      </c>
      <c r="Y133" t="str">
        <f t="shared" si="34"/>
        <v>1,3423926692133E-07-1,00295823113014E-06i</v>
      </c>
      <c r="Z133">
        <f t="shared" si="35"/>
        <v>-119.89723203165553</v>
      </c>
      <c r="AA133">
        <f t="shared" si="36"/>
        <v>-82.376648444801845</v>
      </c>
    </row>
    <row r="134" spans="1:37">
      <c r="A134" s="72" t="s">
        <v>337</v>
      </c>
      <c r="B134" s="96">
        <f>Calculations!B198</f>
        <v>1500</v>
      </c>
      <c r="C134" s="97">
        <f t="shared" si="37"/>
        <v>9424.7779607693792</v>
      </c>
      <c r="D134" s="98" t="str">
        <f t="shared" si="38"/>
        <v>0,168430751108267-0,130081662296692i</v>
      </c>
      <c r="E134" s="97">
        <f t="shared" si="15"/>
        <v>-13.439961758805072</v>
      </c>
      <c r="F134" s="97">
        <f>IMARGUMENT(D134)*(180/PI())</f>
        <v>-37.679461572238424</v>
      </c>
      <c r="G134" s="97" t="str">
        <f t="shared" si="39"/>
        <v>55,1021590748941+33,4371987163195i</v>
      </c>
      <c r="H134" s="97">
        <f t="shared" si="23"/>
        <v>36.184972485173986</v>
      </c>
      <c r="I134" s="97">
        <f>IMARGUMENT(G134)*(180/PI())</f>
        <v>31.250294693263818</v>
      </c>
      <c r="J134" s="98" t="str">
        <f t="shared" si="40"/>
        <v>13,6304644322353-1,53592795385293i</v>
      </c>
      <c r="K134" s="97">
        <f t="shared" si="25"/>
        <v>22.745010726368928</v>
      </c>
      <c r="L134" s="97">
        <f>IMARGUMENT(J134)*(180/PI())</f>
        <v>-6.4291668789747112</v>
      </c>
      <c r="M134" s="26">
        <f t="shared" si="41"/>
        <v>2.4615384615384617</v>
      </c>
      <c r="N134" s="97">
        <f t="shared" si="42"/>
        <v>0.16</v>
      </c>
      <c r="O134" s="97" t="str">
        <f t="shared" si="43"/>
        <v>0,19612069428167-1,47729239485338i</v>
      </c>
      <c r="P134" s="97">
        <f t="shared" si="20"/>
        <v>3.4652042853780691</v>
      </c>
      <c r="Q134" s="97">
        <f>IMARGUMENT(O134)*(180/PI())</f>
        <v>-82.43781183797212</v>
      </c>
      <c r="R134" s="97" t="str">
        <f>IMDIV(IMPRODUCT(J134,O134,COMPLEX(M134,0)),IMSUM(COMPLEX(1,0),IMPRODUCT(G134,O134,COMPLEX(N134,0),COMPLEX(M134,0))))</f>
        <v>1,01891237448497-0,820404798442872i</v>
      </c>
      <c r="S134" s="97">
        <f t="shared" si="30"/>
        <v>2.3331256277945887</v>
      </c>
      <c r="T134" s="97">
        <f>IMARGUMENT(R134)*(180/PI())</f>
        <v>-38.840217703534378</v>
      </c>
      <c r="U134" s="82" t="str">
        <f>IMPRODUCT(COMPLEX(-1,0),IMDIV(COMPLEX(1,C134*Calculations!$B$204*Calculations!$B$206),IMPRODUCT(COMPLEX(0,C134*Calculations!$B$193),COMPLEX((Calculations!$B$206+Calculations!$B$208),C134*Calculations!$B$204*Calculations!$B$206*Calculations!$B$208))))</f>
        <v>-0,186187266000781+0,142112789575927i</v>
      </c>
      <c r="V134" s="97">
        <f t="shared" si="32"/>
        <v>-12.607303987840719</v>
      </c>
      <c r="W134" s="97">
        <f t="shared" si="33"/>
        <v>142.64627414172608</v>
      </c>
      <c r="X134">
        <f>Calculations!$B$216/(Calculations!$B$216+Calculations!$B$218)</f>
        <v>0.80079681274900394</v>
      </c>
      <c r="Y134" t="str">
        <f t="shared" si="34"/>
        <v>-0,058553057598076+0,238276616206397i</v>
      </c>
      <c r="Z134" s="97">
        <f t="shared" si="35"/>
        <v>-12.203731641257116</v>
      </c>
      <c r="AA134" s="100">
        <f t="shared" si="36"/>
        <v>103.80605643819167</v>
      </c>
    </row>
    <row r="135" spans="1:37">
      <c r="A135" t="s">
        <v>340</v>
      </c>
      <c r="B135" s="86">
        <f>Calculations!B230*1000</f>
        <v>777.88339732109148</v>
      </c>
      <c r="C135" s="82">
        <f t="shared" si="37"/>
        <v>4887.5855327468225</v>
      </c>
      <c r="D135" s="83" t="str">
        <f t="shared" si="38"/>
        <v>0,2344274285788-0,0954978212571466i</v>
      </c>
      <c r="E135" s="82">
        <f t="shared" si="15"/>
        <v>-11.933042471502686</v>
      </c>
      <c r="F135" s="82">
        <f>IMARGUMENT(D135)*(180/PI())</f>
        <v>-22.164323080472169</v>
      </c>
      <c r="G135" s="82" t="str">
        <f t="shared" si="39"/>
        <v>48,7189653881058+16,8170087404929i</v>
      </c>
      <c r="H135" s="82">
        <f t="shared" si="23"/>
        <v>34.242851942355323</v>
      </c>
      <c r="I135" s="82">
        <f>IMARGUMENT(G135)*(180/PI())</f>
        <v>19.043856362519826</v>
      </c>
      <c r="J135" s="83" t="str">
        <f t="shared" si="40"/>
        <v>13,0270494737327-0,710186933045494i</v>
      </c>
      <c r="K135" s="82">
        <f t="shared" si="25"/>
        <v>22.30980947085266</v>
      </c>
      <c r="L135" s="82">
        <f>IMARGUMENT(J135)*(180/PI())</f>
        <v>-3.1204667179523713</v>
      </c>
      <c r="M135" s="26">
        <f t="shared" si="41"/>
        <v>2.4615384615384617</v>
      </c>
      <c r="N135" s="82">
        <f t="shared" si="42"/>
        <v>0.16</v>
      </c>
      <c r="O135" s="82" t="str">
        <f t="shared" si="43"/>
        <v>0,196130069662471-2,84644139609726i</v>
      </c>
      <c r="P135" s="82">
        <f t="shared" si="20"/>
        <v>9.1066151710908283</v>
      </c>
      <c r="Q135" s="82">
        <f>IMARGUMENT(O135)*(180/PI())</f>
        <v>-86.058344383222703</v>
      </c>
      <c r="R135" s="82" t="str">
        <f>IMDIV(IMPRODUCT(J135,O135,COMPLEX(M135,0)),IMSUM(COMPLEX(1,0),IMPRODUCT(G135,O135,COMPLEX(N135,0),COMPLEX(M135,0))))</f>
        <v>1,44563760160103-0,615689169358497i</v>
      </c>
      <c r="S135" s="82">
        <f t="shared" si="30"/>
        <v>3.9251075195171965</v>
      </c>
      <c r="T135" s="82">
        <f>IMARGUMENT(R135)*(180/PI())</f>
        <v>-23.068890357129838</v>
      </c>
      <c r="U135" s="82" t="str">
        <f>IMPRODUCT(COMPLEX(-1,0),IMDIV(COMPLEX(1,C135*Calculations!$B$204*Calculations!$B$206),IMPRODUCT(COMPLEX(0,C135*Calculations!$B$193),COMPLEX((Calculations!$B$206+Calculations!$B$208),C135*Calculations!$B$204*Calculations!$B$206*Calculations!$B$208))))</f>
        <v>-0,190335850678456+0,228403020814147i</v>
      </c>
      <c r="V135" s="82">
        <f t="shared" si="32"/>
        <v>-10.535689787434066</v>
      </c>
      <c r="W135" s="82">
        <f>IMARGUMENT(U135)*(180/PI())</f>
        <v>129.80557109226521</v>
      </c>
      <c r="X135">
        <f>Calculations!$B$216/(Calculations!$B$216+Calculations!$B$218)</f>
        <v>0.80079681274900394</v>
      </c>
      <c r="Y135" t="str">
        <f t="shared" si="34"/>
        <v>-0,107732313539449+0,358257048284154i</v>
      </c>
      <c r="Z135" s="82">
        <f t="shared" si="35"/>
        <v>-8.5401355491278466</v>
      </c>
      <c r="AA135" s="101">
        <f>IMARGUMENT(Y135)*(180/PI())</f>
        <v>106.73668073513537</v>
      </c>
    </row>
    <row r="136" spans="1:37" ht="15" thickBot="1">
      <c r="A136" t="s">
        <v>341</v>
      </c>
      <c r="B136" s="87">
        <f>Calculations!B231*1000</f>
        <v>7778.8339732109152</v>
      </c>
      <c r="C136" s="84">
        <f t="shared" si="37"/>
        <v>48875.855327468227</v>
      </c>
      <c r="D136" s="99" t="str">
        <f t="shared" si="38"/>
        <v>0,0235782743370127-0,059178470026629i</v>
      </c>
      <c r="E136" s="84">
        <f t="shared" si="15"/>
        <v>-23.916851388493583</v>
      </c>
      <c r="F136" s="84">
        <f>IMARGUMENT(D136)*(180/PI())</f>
        <v>-68.276349358780493</v>
      </c>
      <c r="G136" s="84" t="str">
        <f t="shared" si="39"/>
        <v>59,1768176169007-156,183228744734i</v>
      </c>
      <c r="H136" s="84">
        <f t="shared" si="23"/>
        <v>44.455278710134955</v>
      </c>
      <c r="I136" s="84">
        <f>IMARGUMENT(G136)*(180/PI())</f>
        <v>-69.248625215916107</v>
      </c>
      <c r="J136" s="99" t="str">
        <f t="shared" si="40"/>
        <v>-7,84739728076975-7,1845245417968i</v>
      </c>
      <c r="K136" s="84">
        <f t="shared" si="25"/>
        <v>20.538427321641382</v>
      </c>
      <c r="L136" s="84">
        <f>IMARGUMENT(J136)*(180/PI())</f>
        <v>-137.52497457469664</v>
      </c>
      <c r="M136" s="26">
        <f t="shared" si="41"/>
        <v>2.4615384615384617</v>
      </c>
      <c r="N136" s="84">
        <f t="shared" si="42"/>
        <v>0.16</v>
      </c>
      <c r="O136" s="84" t="str">
        <f t="shared" si="43"/>
        <v>0,195789206851439-0,292772406642023i</v>
      </c>
      <c r="P136" s="84">
        <f t="shared" si="20"/>
        <v>-9.0640639763772786</v>
      </c>
      <c r="Q136" s="84">
        <f>IMARGUMENT(O136)*(180/PI())</f>
        <v>-56.227690210200379</v>
      </c>
      <c r="R136" s="84" t="str">
        <f>IMDIV(IMPRODUCT(J136,O136,COMPLEX(M136,0)),IMSUM(COMPLEX(1,0),IMPRODUCT(G136,O136,COMPLEX(N136,0),COMPLEX(M136,0))))</f>
        <v>0,137294657928019-0,384318702291658i</v>
      </c>
      <c r="S136" s="84">
        <f t="shared" si="30"/>
        <v>-7.7845356888340858</v>
      </c>
      <c r="T136" s="84">
        <f>IMARGUMENT(R136)*(180/PI())</f>
        <v>-70.341154602740545</v>
      </c>
      <c r="U136" s="82" t="str">
        <f>IMPRODUCT(COMPLEX(-1,0),IMDIV(COMPLEX(1,C136*Calculations!$B$204*Calculations!$B$206),IMPRODUCT(COMPLEX(0,C136*Calculations!$B$193),COMPLEX((Calculations!$B$206+Calculations!$B$208),C136*Calculations!$B$204*Calculations!$B$206*Calculations!$B$208))))</f>
        <v>-0,105072279560052+0,116630230311658i</v>
      </c>
      <c r="V136" s="84">
        <f t="shared" si="32"/>
        <v>-16.083100436351113</v>
      </c>
      <c r="W136" s="84">
        <f>IMARGUMENT(U136)*(180/PI())</f>
        <v>132.01571785640655</v>
      </c>
      <c r="X136">
        <f>Calculations!$B$216/(Calculations!$B$216+Calculations!$B$218)</f>
        <v>0.80079681274900394</v>
      </c>
      <c r="Y136" t="str">
        <f t="shared" si="34"/>
        <v>0,0243420738341405+0,0451600951797298i</v>
      </c>
      <c r="Z136" s="84">
        <f t="shared" si="35"/>
        <v>-25.797189406396178</v>
      </c>
      <c r="AA136" s="85">
        <f>IMARGUMENT(Y136)*(180/PI())</f>
        <v>61.674563253665973</v>
      </c>
    </row>
    <row r="137" spans="1:37" ht="15" thickBot="1">
      <c r="A137" t="s">
        <v>342</v>
      </c>
      <c r="B137" s="102">
        <f>Calculations!B195</f>
        <v>1897.5254019898109</v>
      </c>
      <c r="C137" s="84">
        <f t="shared" si="37"/>
        <v>11922.503725782419</v>
      </c>
      <c r="D137" s="99" t="str">
        <f t="shared" si="38"/>
        <v>0,137587663372649-0,132590851131654i</v>
      </c>
      <c r="E137" s="84">
        <f t="shared" si="15"/>
        <v>-14.375798533683465</v>
      </c>
      <c r="F137" s="84">
        <f>IMARGUMENT(D137)*(180/PI())</f>
        <v>-43.940464908936868</v>
      </c>
      <c r="G137" s="84" t="str">
        <f t="shared" si="39"/>
        <v>61,0955180856997+43,3229522529346i</v>
      </c>
      <c r="H137" s="84">
        <f t="shared" si="23"/>
        <v>37.4892728961591</v>
      </c>
      <c r="I137" s="84">
        <f>IMARGUMENT(G137)*(180/PI())</f>
        <v>35.340528637592286</v>
      </c>
      <c r="J137" s="99" t="str">
        <f t="shared" si="40"/>
        <v>14,1502166887055-2,14000297242617i</v>
      </c>
      <c r="K137" s="84">
        <f t="shared" si="25"/>
        <v>23.113474362475664</v>
      </c>
      <c r="L137" s="84">
        <f>IMARGUMENT(J137)*(180/PI())</f>
        <v>-8.5999362713445304</v>
      </c>
      <c r="M137" s="26">
        <f t="shared" si="41"/>
        <v>2.4615384615384617</v>
      </c>
      <c r="N137" s="84">
        <f t="shared" si="42"/>
        <v>0.16</v>
      </c>
      <c r="O137" s="84" t="str">
        <f t="shared" si="43"/>
        <v>0,196112996955519-1,16855690446117i</v>
      </c>
      <c r="P137" s="84">
        <f t="shared" si="20"/>
        <v>1.4736263693141025</v>
      </c>
      <c r="Q137" s="84">
        <f>IMARGUMENT(O137)*(180/PI())</f>
        <v>-80.473119179666583</v>
      </c>
      <c r="R137" s="84" t="str">
        <f>IMDIV(IMPRODUCT(J137,O137,COMPLEX(M137,0)),IMSUM(COMPLEX(1,0),IMPRODUCT(G137,O137,COMPLEX(N137,0),COMPLEX(M137,0))))</f>
        <v>0,826437605425244-0,828724052593437i</v>
      </c>
      <c r="S137" s="84">
        <f t="shared" si="30"/>
        <v>1.3665166768987393</v>
      </c>
      <c r="T137" s="84">
        <f>IMARGUMENT(R137)*(180/PI())</f>
        <v>-45.079148576727846</v>
      </c>
      <c r="U137" s="82" t="str">
        <f>IMPRODUCT(COMPLEX(-1,0),IMDIV(COMPLEX(1,C137*Calculations!$B$204*Calculations!$B$206),IMPRODUCT(COMPLEX(0,C137*Calculations!$B$193),COMPLEX((Calculations!$B$206+Calculations!$B$208),C137*Calculations!$B$204*Calculations!$B$206*Calculations!$B$208))))</f>
        <v>-0,182913749811895+0,12710224429519i</v>
      </c>
      <c r="V137" s="84">
        <f t="shared" si="32"/>
        <v>-13.044095851001011</v>
      </c>
      <c r="W137" s="84">
        <f>IMARGUMENT(U137)*(180/PI())</f>
        <v>145.20551800495716</v>
      </c>
      <c r="X137">
        <f>Calculations!$B$216/(Calculations!$B$216+Calculations!$B$218)</f>
        <v>0.80079681274900394</v>
      </c>
      <c r="Y137" t="str">
        <f t="shared" si="34"/>
        <v>-0,0367038127329905+0,205506162494709i</v>
      </c>
      <c r="Z137" s="84">
        <f t="shared" si="35"/>
        <v>-13.60713245531327</v>
      </c>
      <c r="AA137" s="85">
        <f>IMARGUMENT(Y137)*(180/PI())</f>
        <v>100.12636942822932</v>
      </c>
    </row>
    <row r="165" spans="2:94" ht="31.8" thickBot="1">
      <c r="B165" s="30" t="s">
        <v>297</v>
      </c>
    </row>
    <row r="166" spans="2:94">
      <c r="B166" s="268" t="s">
        <v>33</v>
      </c>
      <c r="C166" s="269"/>
      <c r="D166" s="275" t="s">
        <v>31</v>
      </c>
      <c r="E166" s="276"/>
      <c r="F166" s="276"/>
      <c r="G166" s="276" t="s">
        <v>291</v>
      </c>
      <c r="H166" s="276"/>
      <c r="I166" s="276"/>
      <c r="J166" s="276" t="s">
        <v>292</v>
      </c>
      <c r="K166" s="276"/>
      <c r="L166" s="276"/>
      <c r="M166" s="276"/>
      <c r="N166" s="276"/>
      <c r="O166" s="276"/>
      <c r="P166" s="276"/>
      <c r="Q166" s="276"/>
      <c r="R166" s="276"/>
      <c r="S166" s="276"/>
      <c r="T166" s="276"/>
      <c r="U166" s="71"/>
      <c r="V166" s="71"/>
      <c r="W166" s="71"/>
      <c r="X166" s="71"/>
      <c r="Y166" s="71"/>
      <c r="Z166" s="71"/>
      <c r="AA166" s="71"/>
      <c r="AB166" s="71"/>
      <c r="AC166" s="267"/>
      <c r="AD166" s="267"/>
      <c r="AE166" s="267"/>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row>
    <row r="167" spans="2:94" ht="15" thickBot="1">
      <c r="B167" s="270"/>
      <c r="C167" s="271"/>
      <c r="D167" s="272" t="s">
        <v>290</v>
      </c>
      <c r="E167" s="273"/>
      <c r="F167" s="274"/>
      <c r="G167" s="272" t="s">
        <v>290</v>
      </c>
      <c r="H167" s="273"/>
      <c r="I167" s="274"/>
      <c r="J167" s="272" t="s">
        <v>290</v>
      </c>
      <c r="K167" s="273"/>
      <c r="L167" s="274"/>
      <c r="M167" s="277" t="s">
        <v>295</v>
      </c>
      <c r="N167" s="258"/>
      <c r="O167" s="258" t="s">
        <v>299</v>
      </c>
      <c r="P167" s="258"/>
      <c r="Q167" s="258"/>
      <c r="R167" s="258" t="s">
        <v>296</v>
      </c>
      <c r="S167" s="258"/>
      <c r="T167" s="258"/>
      <c r="U167" s="258" t="s">
        <v>298</v>
      </c>
      <c r="V167" s="258"/>
      <c r="W167" s="258"/>
      <c r="X167" s="145" t="s">
        <v>295</v>
      </c>
      <c r="Y167" s="258" t="s">
        <v>300</v>
      </c>
      <c r="Z167" s="258"/>
      <c r="AA167" s="258"/>
      <c r="AC167" s="267"/>
      <c r="AD167" s="267"/>
      <c r="AE167" s="267"/>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row>
    <row r="168" spans="2:94" ht="28.8">
      <c r="B168" s="23" t="s">
        <v>35</v>
      </c>
      <c r="C168" s="24" t="s">
        <v>34</v>
      </c>
      <c r="D168" s="23" t="s">
        <v>38</v>
      </c>
      <c r="E168" s="24" t="s">
        <v>36</v>
      </c>
      <c r="F168" s="25" t="s">
        <v>37</v>
      </c>
      <c r="G168" s="23" t="s">
        <v>38</v>
      </c>
      <c r="H168" s="24" t="s">
        <v>36</v>
      </c>
      <c r="I168" s="25" t="s">
        <v>37</v>
      </c>
      <c r="J168" s="23" t="s">
        <v>38</v>
      </c>
      <c r="K168" s="24" t="s">
        <v>36</v>
      </c>
      <c r="L168" s="25" t="s">
        <v>37</v>
      </c>
      <c r="M168" s="21" t="s">
        <v>293</v>
      </c>
      <c r="N168" s="21" t="s">
        <v>294</v>
      </c>
      <c r="O168" s="23" t="s">
        <v>38</v>
      </c>
      <c r="P168" s="24" t="s">
        <v>36</v>
      </c>
      <c r="Q168" s="25" t="s">
        <v>37</v>
      </c>
      <c r="R168" s="23" t="s">
        <v>38</v>
      </c>
      <c r="S168" s="24" t="s">
        <v>36</v>
      </c>
      <c r="T168" s="25" t="s">
        <v>37</v>
      </c>
      <c r="U168" s="23" t="s">
        <v>38</v>
      </c>
      <c r="V168" s="24" t="s">
        <v>36</v>
      </c>
      <c r="W168" s="25" t="s">
        <v>37</v>
      </c>
      <c r="X168" s="155" t="s">
        <v>370</v>
      </c>
      <c r="Y168" s="23" t="s">
        <v>38</v>
      </c>
      <c r="Z168" s="24" t="s">
        <v>36</v>
      </c>
      <c r="AA168" s="25" t="s">
        <v>37</v>
      </c>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row>
    <row r="169" spans="2:94">
      <c r="B169" s="1">
        <v>1</v>
      </c>
      <c r="C169" s="1">
        <f t="shared" ref="C169:C200" si="44">2*PI()*B169</f>
        <v>6.2831853071795862</v>
      </c>
      <c r="D169" s="73" t="str">
        <f>IMDIV(COMPLEX((POWER(V48_Nom,2)/(V12_Min*Calculations!$B$28*np)),((Zo_Boost_Cout*Zo_Boost_Resr*POWER(V48_Nom,2))/(V12_Min*Calculations!$B$28*np))*C169),COMPLEX(1,((Zo_Boost_Cout*Zo_Boost_Resr)+((Zo_Boost_Cout*POWER(V48_Nom,2))/(V12_Min*Calculations!$B$28*np)))*C169))</f>
        <v>3,99974064428748-0,0321678176957006i</v>
      </c>
      <c r="E169" s="1">
        <f t="shared" ref="E169:E200" si="45">20*LOG(IMABS(D169))</f>
        <v>12.040917523273055</v>
      </c>
      <c r="F169" s="1">
        <f t="shared" ref="F169:F200" si="46">IMARGUMENT(D169)*(180/PI())</f>
        <v>-0.46078999062200121</v>
      </c>
      <c r="G169" s="1" t="str">
        <f>IMDIV(IMSUM(COMPLEX(V48_Nom,0),IMPRODUCT(COMPLEX(np*(Calculations!$B$28*(V12_Min/V48_Nom)),0),D169)),IMSUM(IMPRODUCT(COMPLEX(((V12_Min/V48_Nom)^2),0),D169),COMPLEX(Rcs/np,(Lm*C169)/np)))</f>
        <v>94,4883170949577+0,361681645897273i</v>
      </c>
      <c r="H169" s="1">
        <f>20*LOG10(IMABS(G169))</f>
        <v>39.507625911543485</v>
      </c>
      <c r="I169" s="1">
        <f>IMARGUMENT(G169)*(180/PI())</f>
        <v>0.21931526843745355</v>
      </c>
      <c r="J169" s="73" t="str">
        <f>IMPRODUCT(COMPLEX(-1,0),IMDIV(IMSUM(IMSUB(IMPRODUCT(COMPLEX((1-(V12_Min/V48_Nom))*V48_Nom,0),D169),IMPRODUCT(COMPLEX(V48_Nom,0),D169)),IMPRODUCT(COMPLEX(0,Calculations!$B$28*Lm*C169),D169)),IMSUM(IMPRODUCT(COMPLEX(((V12_Min/V48_Nom)^2),0),D169),COMPLEX(Rcs/np,(Lm*C169)/np))))</f>
        <v>47,2441173572582-0,0123449572261369i</v>
      </c>
      <c r="K169" s="1">
        <f>20*LOG10(IMABS(J169))</f>
        <v>33.486955089591092</v>
      </c>
      <c r="L169" s="1">
        <f>IMARGUMENT(J169)*(180/PI())</f>
        <v>-1.4971470963895683E-2</v>
      </c>
      <c r="M169" s="1">
        <f t="shared" ref="M169:M200" si="47">1/(Kff*V48_Nom)</f>
        <v>2.6666666666666665</v>
      </c>
      <c r="N169" s="1">
        <f t="shared" ref="N169:N200" si="48">Rcs*Acs/np</f>
        <v>0.16</v>
      </c>
      <c r="O169" s="1" t="str">
        <f t="shared" ref="O169:O200" si="49">IMPRODUCT(COMPLEX(gm/(IL_Comp_Ccomp+IL_Comp_Chf),0),IMDIV(COMPLEX(1,C169*IL_Comp_Rcomp*IL_Comp_Ccomp),IMPRODUCT(COMPLEX(0,C169),COMPLEX(1,C169*IL_Comp_Rcomp*IL_Comp_Chf))))</f>
        <v>0,196133518770378-2213,55971026314i</v>
      </c>
      <c r="P169" s="1">
        <f>20*LOG(IMABS(O169))</f>
        <v>66.901824863425247</v>
      </c>
      <c r="Q169" s="1">
        <f>IMARGUMENT(O169)*(180/PI())</f>
        <v>-89.994923280015854</v>
      </c>
      <c r="R169" s="1" t="str">
        <f>IMDIV(IMPRODUCT(O169,J169,COMPLEX(M169,0)),IMSUM(COMPLEX(1,0),IMPRODUCT(G169,O169,COMPLEX(M169,0),COMPLEX(N169,0))))</f>
        <v>3,12494808235275-0,0128132358159596i</v>
      </c>
      <c r="S169" s="1">
        <f>20*LOG10(IMABS(R169))</f>
        <v>9.8969291431980242</v>
      </c>
      <c r="T169" s="1">
        <f>IMARGUMENT(R169)*(180/PI())</f>
        <v>-0.23492877340365159</v>
      </c>
      <c r="U169" s="1" t="str">
        <f>IMPRODUCT(COMPLEX(-1,0),IMDIV(COMPLEX(1,C169*Calculations!$B$248*Calculations!$B$250),IMPRODUCT(COMPLEX(0,C169*Calculations!$B$237),COMPLEX((Calculations!$B$250+Calculations!$B$252),C169*Calculations!$B$248*Calculations!$B$250*Calculations!$B$252))))</f>
        <v>-2,77750546834923+656,579915729689i</v>
      </c>
      <c r="V169" s="1">
        <f>20*LOG10(IMABS(U169))</f>
        <v>56.345829594134614</v>
      </c>
      <c r="W169" s="1">
        <f>IMARGUMENT(U169)*(180/PI())</f>
        <v>90.242374748048192</v>
      </c>
      <c r="X169" s="1">
        <f>Calculations!$B$216/(Calculations!$B$216+Calculations!$B$218)</f>
        <v>0.80079681274900394</v>
      </c>
      <c r="Y169" s="1" t="str">
        <f>IMPRODUCT(IMPRODUCT(U169,R169), COMPLEX(X169,0))</f>
        <v>-0,213530143624454+1643,08590126724i</v>
      </c>
      <c r="Z169" s="1">
        <f>20*LOG10(IMABS(Y169))</f>
        <v>64.313205456121665</v>
      </c>
      <c r="AA169" s="1">
        <f>IMARGUMENT(Y169)*(180/PI())</f>
        <v>90.007445974644526</v>
      </c>
    </row>
    <row r="170" spans="2:94">
      <c r="B170" s="1">
        <v>1.2915496650148839</v>
      </c>
      <c r="C170" s="1">
        <f t="shared" si="44"/>
        <v>8.1150458787142341</v>
      </c>
      <c r="D170" s="73" t="str">
        <f>IMDIV(COMPLEX((POWER(V48_Nom,2)/(V12_Min*Calculations!$B$28*np)),((Zo_Boost_Cout*Zo_Boost_Resr*POWER(V48_Nom,2))/(V12_Min*Calculations!$B$28*np))*C170),COMPLEX(1,((Zo_Boost_Cout*Zo_Boost_Resr)+((Zo_Boost_Cout*POWER(V48_Nom,2))/(V12_Min*Calculations!$B$28*np)))*C170))</f>
        <v>3,99956738738378-0,0415445300056966i</v>
      </c>
      <c r="E170" s="1">
        <f t="shared" si="45"/>
        <v>12.040728926520934</v>
      </c>
      <c r="F170" s="1">
        <f t="shared" si="46"/>
        <v>-0.59512452164955332</v>
      </c>
      <c r="G170" s="1" t="str">
        <f>IMDIV(IMSUM(COMPLEX(V48_Nom,0),IMPRODUCT(COMPLEX(np*(Calculations!$B$28*(V12_Min/V48_Nom)),0),D170)),IMSUM(IMPRODUCT(COMPLEX(((V12_Min/V48_Nom)^2),0),D170),COMPLEX(Rcs/np,(Lm*C170)/np)))</f>
        <v>94,4884026911663+0,467129953052229i</v>
      </c>
      <c r="H170" s="1">
        <f t="shared" ref="H170:H228" si="50">20*LOG10(IMABS(G170))</f>
        <v>39.507676292166977</v>
      </c>
      <c r="I170" s="1">
        <f t="shared" ref="I170:I223" si="51">IMARGUMENT(G170)*(180/PI())</f>
        <v>0.28325546822926873</v>
      </c>
      <c r="J170" s="73" t="str">
        <f>IMPRODUCT(COMPLEX(-1,0),IMDIV(IMSUM(IMSUB(IMPRODUCT(COMPLEX((1-(V12_Min/V48_Nom))*V48_Nom,0),D170),IMPRODUCT(COMPLEX(V48_Nom,0),D170)),IMPRODUCT(COMPLEX(0,Calculations!$B$28*Lm*C170),D170)),IMSUM(IMPRODUCT(COMPLEX(((V12_Min/V48_Nom)^2),0),D170),COMPLEX(Rcs/np,(Lm*C170)/np))))</f>
        <v>47,2441326361058-0,0159441353203364i</v>
      </c>
      <c r="K170" s="1">
        <f t="shared" ref="K170:K228" si="52">20*LOG10(IMABS(J170))</f>
        <v>33.486958096737581</v>
      </c>
      <c r="L170" s="1">
        <f t="shared" ref="L170:L223" si="53">IMARGUMENT(J170)*(180/PI())</f>
        <v>-1.9336403828064723E-2</v>
      </c>
      <c r="M170" s="1">
        <f t="shared" si="47"/>
        <v>2.6666666666666665</v>
      </c>
      <c r="N170" s="1">
        <f t="shared" si="48"/>
        <v>0.16</v>
      </c>
      <c r="O170" s="1" t="str">
        <f t="shared" si="49"/>
        <v>0,196133518766571-1713,87889364985i</v>
      </c>
      <c r="P170" s="1">
        <f t="shared" ref="P170:P228" si="54">20*LOG(IMABS(O170))</f>
        <v>64.679602666754576</v>
      </c>
      <c r="Q170" s="1">
        <f t="shared" ref="Q170:Q223" si="55">IMARGUMENT(O170)*(180/PI())</f>
        <v>-89.993443164018785</v>
      </c>
      <c r="R170" s="1" t="str">
        <f t="shared" ref="R170:R223" si="56">IMDIV(IMPRODUCT(O170,J170,COMPLEX(M170,0)),IMSUM(COMPLEX(1,0),IMPRODUCT(G170,O170,COMPLEX(M170,0),COMPLEX(N170,0))))</f>
        <v>3,12491339709492-0,016548748880309i</v>
      </c>
      <c r="S170" s="1">
        <f t="shared" ref="S170:S228" si="57">20*LOG10(IMABS(R170))</f>
        <v>9.8968815146935238</v>
      </c>
      <c r="T170" s="1">
        <f t="shared" ref="T170:T223" si="58">IMARGUMENT(R170)*(180/PI())</f>
        <v>-0.30342108177291333</v>
      </c>
      <c r="U170" s="1" t="str">
        <f>IMPRODUCT(COMPLEX(-1,0),IMDIV(COMPLEX(1,C170*Calculations!$B$248*Calculations!$B$250),IMPRODUCT(COMPLEX(0,C170*Calculations!$B$237),COMPLEX((Calculations!$B$250+Calculations!$B$252),C170*Calculations!$B$248*Calculations!$B$250*Calculations!$B$252))))</f>
        <v>-2,77750546502851+508,366044306261i</v>
      </c>
      <c r="V170" s="1">
        <f t="shared" ref="V170:V228" si="59">20*LOG10(IMABS(U170))</f>
        <v>54.123660332225171</v>
      </c>
      <c r="W170" s="1">
        <f t="shared" ref="W170:W224" si="60">IMARGUMENT(U170)*(180/PI())</f>
        <v>90.313037739340729</v>
      </c>
      <c r="X170" s="1">
        <f>Calculations!$B$216/(Calculations!$B$216+Calculations!$B$218)</f>
        <v>0.80079681274900394</v>
      </c>
      <c r="Y170" s="1" t="str">
        <f t="shared" ref="Y170:Y228" si="61">IMPRODUCT(IMPRODUCT(U170,R170), COMPLEX(X170,0))</f>
        <v>-0,213526089107531+1272,18251462538i</v>
      </c>
      <c r="Z170" s="1">
        <f t="shared" ref="Z170:Z228" si="62">20*LOG10(IMABS(Y170))</f>
        <v>62.090988565707747</v>
      </c>
      <c r="AA170" s="1">
        <f t="shared" ref="AA170:AA224" si="63">IMARGUMENT(Y170)*(180/PI())</f>
        <v>90.009616657567804</v>
      </c>
    </row>
    <row r="171" spans="2:94">
      <c r="B171" s="1">
        <v>1.6681005372000588</v>
      </c>
      <c r="C171" s="1">
        <f t="shared" si="44"/>
        <v>10.480984786233785</v>
      </c>
      <c r="D171" s="73" t="str">
        <f>IMDIV(COMPLEX((POWER(V48_Nom,2)/(V12_Min*Calculations!$B$28*np)),((Zo_Boost_Cout*Zo_Boost_Resr*POWER(V48_Nom,2))/(V12_Min*Calculations!$B$28*np))*C171),COMPLEX(1,((Zo_Boost_Cout*Zo_Boost_Resr)+((Zo_Boost_Cout*POWER(V48_Nom,2))/(V12_Min*Calculations!$B$28*np)))*C171))</f>
        <v>3,99927841093282-0,0536529373100673i</v>
      </c>
      <c r="E171" s="1">
        <f t="shared" si="45"/>
        <v>12.04041434640194</v>
      </c>
      <c r="F171" s="1">
        <f t="shared" si="46"/>
        <v>-0.76861427135430804</v>
      </c>
      <c r="G171" s="1" t="str">
        <f>IMDIV(IMSUM(COMPLEX(V48_Nom,0),IMPRODUCT(COMPLEX(np*(Calculations!$B$28*(V12_Min/V48_Nom)),0),D171)),IMSUM(IMPRODUCT(COMPLEX(((V12_Min/V48_Nom)^2),0),D171),COMPLEX(Rcs/np,(Lm*C171)/np)))</f>
        <v>94,4885454744565+0,603321845594751i</v>
      </c>
      <c r="H171" s="1">
        <f t="shared" si="50"/>
        <v>39.507760330963585</v>
      </c>
      <c r="I171" s="1">
        <f t="shared" si="51"/>
        <v>0.36583614980222362</v>
      </c>
      <c r="J171" s="73" t="str">
        <f>IMPRODUCT(COMPLEX(-1,0),IMDIV(IMSUM(IMSUB(IMPRODUCT(COMPLEX((1-(V12_Min/V48_Nom))*V48_Nom,0),D171),IMPRODUCT(COMPLEX(V48_Nom,0),D171)),IMPRODUCT(COMPLEX(0,Calculations!$B$28*Lm*C171),D171)),IMSUM(IMPRODUCT(COMPLEX(((V12_Min/V48_Nom)^2),0),D171),COMPLEX(Rcs/np,(Lm*C171)/np))))</f>
        <v>47,2441581227796-0,0205926640692087i</v>
      </c>
      <c r="K171" s="1">
        <f t="shared" si="52"/>
        <v>33.486963112962414</v>
      </c>
      <c r="L171" s="1">
        <f t="shared" si="53"/>
        <v>-2.4973937778911402E-2</v>
      </c>
      <c r="M171" s="1">
        <f t="shared" si="47"/>
        <v>2.6666666666666665</v>
      </c>
      <c r="N171" s="1">
        <f t="shared" si="48"/>
        <v>0.16</v>
      </c>
      <c r="O171" s="1" t="str">
        <f t="shared" si="49"/>
        <v>0,196133518760216-1326,99418457321i</v>
      </c>
      <c r="P171" s="1">
        <f t="shared" si="54"/>
        <v>62.457380487155028</v>
      </c>
      <c r="Q171" s="1">
        <f t="shared" si="55"/>
        <v>-89.991531520714389</v>
      </c>
      <c r="R171" s="1" t="str">
        <f t="shared" si="56"/>
        <v>3,12485554029145-0,0213731399561964i</v>
      </c>
      <c r="S171" s="1">
        <f t="shared" si="57"/>
        <v>9.8968020667230352</v>
      </c>
      <c r="T171" s="1">
        <f t="shared" si="58"/>
        <v>-0.39188103353900261</v>
      </c>
      <c r="U171" s="1" t="str">
        <f>IMPRODUCT(COMPLEX(-1,0),IMDIV(COMPLEX(1,C171*Calculations!$B$248*Calculations!$B$250),IMPRODUCT(COMPLEX(0,C171*Calculations!$B$237),COMPLEX((Calculations!$B$250+Calculations!$B$252),C171*Calculations!$B$248*Calculations!$B$250*Calculations!$B$252))))</f>
        <v>-2,77750545948923+393,609444113607i</v>
      </c>
      <c r="V171" s="1">
        <f t="shared" si="59"/>
        <v>51.901526451691716</v>
      </c>
      <c r="W171" s="1">
        <f t="shared" si="60"/>
        <v>90.404301018322343</v>
      </c>
      <c r="X171" s="1">
        <f>Calculations!$B$216/(Calculations!$B$216+Calculations!$B$218)</f>
        <v>0.80079681274900394</v>
      </c>
      <c r="Y171" s="1" t="str">
        <f t="shared" si="61"/>
        <v>-0,213519325963866+985,005718122049i</v>
      </c>
      <c r="Z171" s="1">
        <f t="shared" si="62"/>
        <v>59.868775237203778</v>
      </c>
      <c r="AA171" s="1">
        <f t="shared" si="63"/>
        <v>90.012419984783349</v>
      </c>
    </row>
    <row r="172" spans="2:94">
      <c r="B172" s="1">
        <v>2.1544346900318838</v>
      </c>
      <c r="C172" s="1">
        <f t="shared" si="44"/>
        <v>13.536712389686338</v>
      </c>
      <c r="D172" s="73" t="str">
        <f>IMDIV(COMPLEX((POWER(V48_Nom,2)/(V12_Min*Calculations!$B$28*np)),((Zo_Boost_Cout*Zo_Boost_Resr*POWER(V48_Nom,2))/(V12_Min*Calculations!$B$28*np))*C172),COMPLEX(1,((Zo_Boost_Cout*Zo_Boost_Resr)+((Zo_Boost_Cout*POWER(V48_Nom,2))/(V12_Min*Calculations!$B$28*np)))*C172))</f>
        <v>3,99879646230663-0,0692870616131597i</v>
      </c>
      <c r="E172" s="1">
        <f t="shared" si="45"/>
        <v>12.039889645839351</v>
      </c>
      <c r="F172" s="1">
        <f t="shared" si="46"/>
        <v>-0.99266342560020027</v>
      </c>
      <c r="G172" s="1" t="str">
        <f>IMDIV(IMSUM(COMPLEX(V48_Nom,0),IMPRODUCT(COMPLEX(np*(Calculations!$B$28*(V12_Min/V48_Nom)),0),D172)),IMSUM(IMPRODUCT(COMPLEX(((V12_Min/V48_Nom)^2),0),D172),COMPLEX(Rcs/np,(Lm*C172)/np)))</f>
        <v>94,4887836519177+0,779220798060188i</v>
      </c>
      <c r="H172" s="1">
        <f t="shared" si="50"/>
        <v>39.507900512929474</v>
      </c>
      <c r="I172" s="1">
        <f t="shared" si="51"/>
        <v>0.47249048252813158</v>
      </c>
      <c r="J172" s="73" t="str">
        <f>IMPRODUCT(COMPLEX(-1,0),IMDIV(IMSUM(IMSUB(IMPRODUCT(COMPLEX((1-(V12_Min/V48_Nom))*V48_Nom,0),D172),IMPRODUCT(COMPLEX(V48_Nom,0),D172)),IMPRODUCT(COMPLEX(0,Calculations!$B$28*Lm*C172),D172)),IMSUM(IMPRODUCT(COMPLEX(((V12_Min/V48_Nom)^2),0),D172),COMPLEX(Rcs/np,(Lm*C172)/np))))</f>
        <v>47,2442006371695-0,0265964945656537i</v>
      </c>
      <c r="K172" s="1">
        <f t="shared" si="52"/>
        <v>33.486971480535772</v>
      </c>
      <c r="L172" s="1">
        <f t="shared" si="53"/>
        <v>-3.2255106593413678E-2</v>
      </c>
      <c r="M172" s="1">
        <f t="shared" si="47"/>
        <v>2.6666666666666665</v>
      </c>
      <c r="N172" s="1">
        <f t="shared" si="48"/>
        <v>0.16</v>
      </c>
      <c r="O172" s="1" t="str">
        <f t="shared" si="49"/>
        <v>0,196133518749622-1027,44340515647i</v>
      </c>
      <c r="P172" s="1">
        <f t="shared" si="54"/>
        <v>60.235158336031702</v>
      </c>
      <c r="Q172" s="1">
        <f t="shared" si="55"/>
        <v>-89.989062538479004</v>
      </c>
      <c r="R172" s="1" t="str">
        <f t="shared" si="56"/>
        <v>3,12475903403931-0,0276036291567561i</v>
      </c>
      <c r="S172" s="1">
        <f t="shared" si="57"/>
        <v>9.8966695427584046</v>
      </c>
      <c r="T172" s="1">
        <f t="shared" si="58"/>
        <v>-0.50612872684902754</v>
      </c>
      <c r="U172" s="1" t="str">
        <f>IMPRODUCT(COMPLEX(-1,0),IMDIV(COMPLEX(1,C172*Calculations!$B$248*Calculations!$B$250),IMPRODUCT(COMPLEX(0,C172*Calculations!$B$237),COMPLEX((Calculations!$B$250+Calculations!$B$252),C172*Calculations!$B$248*Calculations!$B$250*Calculations!$B$252))))</f>
        <v>-2,77750545024914+304,757599122835i</v>
      </c>
      <c r="V172" s="1">
        <f t="shared" si="59"/>
        <v>49.679451588288408</v>
      </c>
      <c r="W172" s="1">
        <f t="shared" si="60"/>
        <v>90.522168879214391</v>
      </c>
      <c r="X172" s="1">
        <f>Calculations!$B$216/(Calculations!$B$216+Calculations!$B$218)</f>
        <v>0.80079681274900394</v>
      </c>
      <c r="Y172" s="1" t="str">
        <f t="shared" si="61"/>
        <v>-0,213508044911307+762,655445364978i</v>
      </c>
      <c r="Z172" s="1">
        <f t="shared" si="62"/>
        <v>57.646567849835833</v>
      </c>
      <c r="AA172" s="1">
        <f t="shared" si="63"/>
        <v>90.016040152365349</v>
      </c>
    </row>
    <row r="173" spans="2:94">
      <c r="B173" s="1">
        <v>2.7825594022071245</v>
      </c>
      <c r="C173" s="1">
        <f t="shared" si="44"/>
        <v>17.483336352302217</v>
      </c>
      <c r="D173" s="73" t="str">
        <f>IMDIV(COMPLEX((POWER(V48_Nom,2)/(V12_Min*Calculations!$B$28*np)),((Zo_Boost_Cout*Zo_Boost_Resr*POWER(V48_Nom,2))/(V12_Min*Calculations!$B$28*np))*C173),COMPLEX(1,((Zo_Boost_Cout*Zo_Boost_Resr)+((Zo_Boost_Cout*POWER(V48_Nom,2))/(V12_Min*Calculations!$B$28*np)))*C173))</f>
        <v>3,99799278262881-0,0894696509704129i</v>
      </c>
      <c r="E173" s="1">
        <f t="shared" si="45"/>
        <v>12.039014533595648</v>
      </c>
      <c r="F173" s="1">
        <f t="shared" si="46"/>
        <v>-1.2819877837157192</v>
      </c>
      <c r="G173" s="1" t="str">
        <f>IMDIV(IMSUM(COMPLEX(V48_Nom,0),IMPRODUCT(COMPLEX(np*(Calculations!$B$28*(V12_Min/V48_Nom)),0),D173)),IMSUM(IMPRODUCT(COMPLEX(((V12_Min/V48_Nom)^2),0),D173),COMPLEX(Rcs/np,(Lm*C173)/np)))</f>
        <v>94,4891809574797+1,00640380522873i</v>
      </c>
      <c r="H173" s="1">
        <f t="shared" si="50"/>
        <v>39.508134341650177</v>
      </c>
      <c r="I173" s="1">
        <f t="shared" si="51"/>
        <v>0.61023399292948954</v>
      </c>
      <c r="J173" s="73" t="str">
        <f>IMPRODUCT(COMPLEX(-1,0),IMDIV(IMSUM(IMSUB(IMPRODUCT(COMPLEX((1-(V12_Min/V48_Nom))*V48_Nom,0),D173),IMPRODUCT(COMPLEX(V48_Nom,0),D173)),IMPRODUCT(COMPLEX(0,Calculations!$B$28*Lm*C173),D173)),IMSUM(IMPRODUCT(COMPLEX(((V12_Min/V48_Nom)^2),0),D173),COMPLEX(Rcs/np,(Lm*C173)/np))))</f>
        <v>47,2442715555966-0,0343507931504125i</v>
      </c>
      <c r="K173" s="1">
        <f t="shared" si="52"/>
        <v>33.486985438505357</v>
      </c>
      <c r="L173" s="1">
        <f t="shared" si="53"/>
        <v>-4.1659127314560458E-2</v>
      </c>
      <c r="M173" s="1">
        <f t="shared" si="47"/>
        <v>2.6666666666666665</v>
      </c>
      <c r="N173" s="1">
        <f t="shared" si="48"/>
        <v>0.16</v>
      </c>
      <c r="O173" s="1" t="str">
        <f t="shared" si="49"/>
        <v>0,196133518731945-795,512115801256i</v>
      </c>
      <c r="P173" s="1">
        <f t="shared" si="54"/>
        <v>58.012936232409473</v>
      </c>
      <c r="Q173" s="1">
        <f t="shared" si="55"/>
        <v>-89.985873725373281</v>
      </c>
      <c r="R173" s="1" t="str">
        <f t="shared" si="56"/>
        <v>3,12459806502027-0,0356496428247485i</v>
      </c>
      <c r="S173" s="1">
        <f t="shared" si="57"/>
        <v>9.8964484884690673</v>
      </c>
      <c r="T173" s="1">
        <f t="shared" si="58"/>
        <v>-0.65367942047688887</v>
      </c>
      <c r="U173" s="1" t="str">
        <f>IMPRODUCT(COMPLEX(-1,0),IMDIV(COMPLEX(1,C173*Calculations!$B$248*Calculations!$B$250),IMPRODUCT(COMPLEX(0,C173*Calculations!$B$237),COMPLEX((Calculations!$B$250+Calculations!$B$252),C173*Calculations!$B$248*Calculations!$B$250*Calculations!$B$252))))</f>
        <v>-2,77750543483575+235,962871966134i</v>
      </c>
      <c r="V173" s="1">
        <f t="shared" si="59"/>
        <v>47.457475164262931</v>
      </c>
      <c r="W173" s="1">
        <f t="shared" si="60"/>
        <v>90.674394189308444</v>
      </c>
      <c r="X173" s="1">
        <f>Calculations!$B$216/(Calculations!$B$216+Calculations!$B$218)</f>
        <v>0.80079681274900394</v>
      </c>
      <c r="Y173" s="1" t="str">
        <f t="shared" si="61"/>
        <v>-0,213489228514272+590,498080470038i</v>
      </c>
      <c r="Z173" s="1">
        <f t="shared" si="62"/>
        <v>55.424370371521022</v>
      </c>
      <c r="AA173" s="1">
        <f t="shared" si="63"/>
        <v>90.020714768831553</v>
      </c>
    </row>
    <row r="174" spans="2:94">
      <c r="B174" s="1">
        <v>3.5938136638046281</v>
      </c>
      <c r="C174" s="1">
        <f t="shared" si="44"/>
        <v>22.580597209158476</v>
      </c>
      <c r="D174" s="73" t="str">
        <f>IMDIV(COMPLEX((POWER(V48_Nom,2)/(V12_Min*Calculations!$B$28*np)),((Zo_Boost_Cout*Zo_Boost_Resr*POWER(V48_Nom,2))/(V12_Min*Calculations!$B$28*np))*C174),COMPLEX(1,((Zo_Boost_Cout*Zo_Boost_Resr)+((Zo_Boost_Cout*POWER(V48_Nom,2))/(V12_Min*Calculations!$B$28*np)))*C174))</f>
        <v>3,99665288456989-0,115515673627687i</v>
      </c>
      <c r="E174" s="1">
        <f t="shared" si="45"/>
        <v>12.037555150690251</v>
      </c>
      <c r="F174" s="1">
        <f t="shared" si="46"/>
        <v>-1.6555649578950524</v>
      </c>
      <c r="G174" s="1" t="str">
        <f>IMDIV(IMSUM(COMPLEX(V48_Nom,0),IMPRODUCT(COMPLEX(np*(Calculations!$B$28*(V12_Min/V48_Nom)),0),D174)),IMSUM(IMPRODUCT(COMPLEX(((V12_Min/V48_Nom)^2),0),D174),COMPLEX(Rcs/np,(Lm*C174)/np)))</f>
        <v>94,489843707585+1,29982360965049i</v>
      </c>
      <c r="H174" s="1">
        <f t="shared" si="50"/>
        <v>39.508524366725368</v>
      </c>
      <c r="I174" s="1">
        <f t="shared" si="51"/>
        <v>0.78812395983977468</v>
      </c>
      <c r="J174" s="73" t="str">
        <f>IMPRODUCT(COMPLEX(-1,0),IMDIV(IMSUM(IMSUB(IMPRODUCT(COMPLEX((1-(V12_Min/V48_Nom))*V48_Nom,0),D174),IMPRODUCT(COMPLEX(V48_Nom,0),D174)),IMPRODUCT(COMPLEX(0,Calculations!$B$28*Lm*C174),D174)),IMSUM(IMPRODUCT(COMPLEX(((V12_Min/V48_Nom)^2),0),D174),COMPLEX(Rcs/np,(Lm*C174)/np))))</f>
        <v>47,2443898550852-0,0443659697616864i</v>
      </c>
      <c r="K174" s="1">
        <f t="shared" si="52"/>
        <v>33.487008721846976</v>
      </c>
      <c r="L174" s="1">
        <f t="shared" si="53"/>
        <v>-5.3804950850739497E-2</v>
      </c>
      <c r="M174" s="1">
        <f t="shared" si="47"/>
        <v>2.6666666666666665</v>
      </c>
      <c r="N174" s="1">
        <f t="shared" si="48"/>
        <v>0.16</v>
      </c>
      <c r="O174" s="1" t="str">
        <f t="shared" si="49"/>
        <v>0,196133518702458-615,936141919663i</v>
      </c>
      <c r="P174" s="1">
        <f t="shared" si="54"/>
        <v>55.790714208023999</v>
      </c>
      <c r="Q174" s="1">
        <f t="shared" si="55"/>
        <v>-89.981755215032763</v>
      </c>
      <c r="R174" s="1" t="str">
        <f t="shared" si="56"/>
        <v>3,12432958899221-0,0460393741232107i</v>
      </c>
      <c r="S174" s="1">
        <f t="shared" si="57"/>
        <v>9.8960797727513654</v>
      </c>
      <c r="T174" s="1">
        <f t="shared" si="58"/>
        <v>-0.84423581048467455</v>
      </c>
      <c r="U174" s="1" t="str">
        <f>IMPRODUCT(COMPLEX(-1,0),IMDIV(COMPLEX(1,C174*Calculations!$B$248*Calculations!$B$250),IMPRODUCT(COMPLEX(0,C174*Calculations!$B$237),COMPLEX((Calculations!$B$250+Calculations!$B$252),C174*Calculations!$B$248*Calculations!$B$250*Calculations!$B$252))))</f>
        <v>-2,77750540912467+182,697651345487i</v>
      </c>
      <c r="V174" s="1">
        <f t="shared" si="59"/>
        <v>45.235662927183597</v>
      </c>
      <c r="W174" s="1">
        <f t="shared" si="60"/>
        <v>90.870985903602119</v>
      </c>
      <c r="X174" s="1">
        <f>Calculations!$B$216/(Calculations!$B$216+Calculations!$B$218)</f>
        <v>0.80079681274900394</v>
      </c>
      <c r="Y174" s="1" t="str">
        <f t="shared" si="61"/>
        <v>-0,213457845135675+457,203370766128i</v>
      </c>
      <c r="Z174" s="1">
        <f t="shared" si="62"/>
        <v>53.202189418723968</v>
      </c>
      <c r="AA174" s="1">
        <f t="shared" si="63"/>
        <v>90.026750093117442</v>
      </c>
    </row>
    <row r="175" spans="2:94">
      <c r="B175" s="1">
        <v>4.6415888336127793</v>
      </c>
      <c r="C175" s="1">
        <f t="shared" si="44"/>
        <v>29.163962761324647</v>
      </c>
      <c r="D175" s="73" t="str">
        <f>IMDIV(COMPLEX((POWER(V48_Nom,2)/(V12_Min*Calculations!$B$28*np)),((Zo_Boost_Cout*Zo_Boost_Resr*POWER(V48_Nom,2))/(V12_Min*Calculations!$B$28*np))*C175),COMPLEX(1,((Zo_Boost_Cout*Zo_Boost_Resr)+((Zo_Boost_Cout*POWER(V48_Nom,2))/(V12_Min*Calculations!$B$28*np)))*C175))</f>
        <v>3,99441980237491-0,149110660502874i</v>
      </c>
      <c r="E175" s="1">
        <f t="shared" si="45"/>
        <v>12.035121844076762</v>
      </c>
      <c r="F175" s="1">
        <f t="shared" si="46"/>
        <v>-2.1378439979672188</v>
      </c>
      <c r="G175" s="1" t="str">
        <f>IMDIV(IMSUM(COMPLEX(V48_Nom,0),IMPRODUCT(COMPLEX(np*(Calculations!$B$28*(V12_Min/V48_Nom)),0),D175)),IMSUM(IMPRODUCT(COMPLEX(((V12_Min/V48_Nom)^2),0),D175),COMPLEX(Rcs/np,(Lm*C175)/np)))</f>
        <v>94,4909492538651+1,6787934525572i</v>
      </c>
      <c r="H175" s="1">
        <f t="shared" si="50"/>
        <v>39.509174898936287</v>
      </c>
      <c r="I175" s="1">
        <f t="shared" si="51"/>
        <v>1.0178505076964945</v>
      </c>
      <c r="J175" s="73" t="str">
        <f>IMPRODUCT(COMPLEX(-1,0),IMDIV(IMSUM(IMSUB(IMPRODUCT(COMPLEX((1-(V12_Min/V48_Nom))*V48_Nom,0),D175),IMPRODUCT(COMPLEX(V48_Nom,0),D175)),IMPRODUCT(COMPLEX(0,Calculations!$B$28*Lm*C175),D175)),IMSUM(IMPRODUCT(COMPLEX(((V12_Min/V48_Nom)^2),0),D175),COMPLEX(Rcs/np,(Lm*C175)/np))))</f>
        <v>47,2445871916986-0,0573013152458617i</v>
      </c>
      <c r="K175" s="1">
        <f t="shared" si="52"/>
        <v>33.487047560926669</v>
      </c>
      <c r="L175" s="1">
        <f t="shared" si="53"/>
        <v>-6.9492022460595951E-2</v>
      </c>
      <c r="M175" s="1">
        <f t="shared" si="47"/>
        <v>2.6666666666666665</v>
      </c>
      <c r="N175" s="1">
        <f t="shared" si="48"/>
        <v>0.16</v>
      </c>
      <c r="O175" s="1" t="str">
        <f t="shared" si="49"/>
        <v>0,196133518653273-476,896987504769i</v>
      </c>
      <c r="P175" s="1">
        <f t="shared" si="54"/>
        <v>53.568492315813366</v>
      </c>
      <c r="Q175" s="1">
        <f t="shared" si="55"/>
        <v>-89.976435954722447</v>
      </c>
      <c r="R175" s="1" t="str">
        <f t="shared" si="56"/>
        <v>3,12388184546253-0,0594537160262165i</v>
      </c>
      <c r="S175" s="1">
        <f t="shared" si="57"/>
        <v>9.8954647875854747</v>
      </c>
      <c r="T175" s="1">
        <f t="shared" si="58"/>
        <v>-1.0903215843437064</v>
      </c>
      <c r="U175" s="1" t="str">
        <f>IMPRODUCT(COMPLEX(-1,0),IMDIV(COMPLEX(1,C175*Calculations!$B$248*Calculations!$B$250),IMPRODUCT(COMPLEX(0,C175*Calculations!$B$237),COMPLEX((Calculations!$B$250+Calculations!$B$252),C175*Calculations!$B$248*Calculations!$B$250*Calculations!$B$252))))</f>
        <v>-2,77750536623599+141,45637477608i</v>
      </c>
      <c r="V175" s="1">
        <f t="shared" si="59"/>
        <v>43.014124515264953</v>
      </c>
      <c r="W175" s="1">
        <f t="shared" si="60"/>
        <v>91.124861914038959</v>
      </c>
      <c r="X175" s="1">
        <f>Calculations!$B$216/(Calculations!$B$216+Calculations!$B$218)</f>
        <v>0.80079681274900394</v>
      </c>
      <c r="Y175" s="1" t="str">
        <f t="shared" si="61"/>
        <v>-0,213405506366831+353,998744839651i</v>
      </c>
      <c r="Z175" s="1">
        <f t="shared" si="62"/>
        <v>50.980036021639435</v>
      </c>
      <c r="AA175" s="1">
        <f t="shared" si="63"/>
        <v>90.034540329695247</v>
      </c>
    </row>
    <row r="176" spans="2:94">
      <c r="B176" s="1">
        <v>5.9948425031894104</v>
      </c>
      <c r="C176" s="1">
        <f t="shared" si="44"/>
        <v>37.666706334895395</v>
      </c>
      <c r="D176" s="73" t="str">
        <f>IMDIV(COMPLEX((POWER(V48_Nom,2)/(V12_Min*Calculations!$B$28*np)),((Zo_Boost_Cout*Zo_Boost_Resr*POWER(V48_Nom,2))/(V12_Min*Calculations!$B$28*np))*C176),COMPLEX(1,((Zo_Boost_Cout*Zo_Boost_Resr)+((Zo_Boost_Cout*POWER(V48_Nom,2))/(V12_Min*Calculations!$B$28*np)))*C176))</f>
        <v>3,99070035858793-0,192404048333233i</v>
      </c>
      <c r="E176" s="1">
        <f t="shared" si="45"/>
        <v>12.031065875508176</v>
      </c>
      <c r="F176" s="1">
        <f t="shared" si="46"/>
        <v>-2.7602699040304333</v>
      </c>
      <c r="G176" s="1" t="str">
        <f>IMDIV(IMSUM(COMPLEX(V48_Nom,0),IMPRODUCT(COMPLEX(np*(Calculations!$B$28*(V12_Min/V48_Nom)),0),D176)),IMSUM(IMPRODUCT(COMPLEX(((V12_Min/V48_Nom)^2),0),D176),COMPLEX(Rcs/np,(Lm*C176)/np)))</f>
        <v>94,4927934509202+2,168259566758i</v>
      </c>
      <c r="H176" s="1">
        <f t="shared" si="50"/>
        <v>39.510259860611967</v>
      </c>
      <c r="I176" s="1">
        <f t="shared" si="51"/>
        <v>1.3144952152559659</v>
      </c>
      <c r="J176" s="73" t="str">
        <f>IMPRODUCT(COMPLEX(-1,0),IMDIV(IMSUM(IMSUB(IMPRODUCT(COMPLEX((1-(V12_Min/V48_Nom))*V48_Nom,0),D176),IMPRODUCT(COMPLEX(V48_Nom,0),D176)),IMPRODUCT(COMPLEX(0,Calculations!$B$28*Lm*C176),D176)),IMSUM(IMPRODUCT(COMPLEX(((V12_Min/V48_Nom)^2),0),D176),COMPLEX(Rcs/np,(Lm*C176)/np))))</f>
        <v>47,2449163722747-0,0740084895789305i</v>
      </c>
      <c r="K176" s="1">
        <f t="shared" si="52"/>
        <v>33.487112348764555</v>
      </c>
      <c r="L176" s="1">
        <f t="shared" si="53"/>
        <v>-8.975295033120323E-2</v>
      </c>
      <c r="M176" s="1">
        <f t="shared" si="47"/>
        <v>2.6666666666666665</v>
      </c>
      <c r="N176" s="1">
        <f t="shared" si="48"/>
        <v>0.16</v>
      </c>
      <c r="O176" s="1" t="str">
        <f t="shared" si="49"/>
        <v>0,196133518571226-369,244020343706i</v>
      </c>
      <c r="P176" s="1">
        <f t="shared" si="54"/>
        <v>51.346270644083575</v>
      </c>
      <c r="Q176" s="1">
        <f t="shared" si="55"/>
        <v>-89.969565866583764</v>
      </c>
      <c r="R176" s="1" t="str">
        <f t="shared" si="56"/>
        <v>3,12313524647512-0,0767692887942334i</v>
      </c>
      <c r="S176" s="1">
        <f t="shared" si="57"/>
        <v>9.8944391244425329</v>
      </c>
      <c r="T176" s="1">
        <f t="shared" si="58"/>
        <v>-1.4080948543373186</v>
      </c>
      <c r="U176" s="1" t="str">
        <f>IMPRODUCT(COMPLEX(-1,0),IMDIV(COMPLEX(1,C176*Calculations!$B$248*Calculations!$B$250),IMPRODUCT(COMPLEX(0,C176*Calculations!$B$237),COMPLEX((Calculations!$B$250+Calculations!$B$252),C176*Calculations!$B$248*Calculations!$B$250*Calculations!$B$252))))</f>
        <v>-2,77750529469337+109,524815783617i</v>
      </c>
      <c r="V176" s="1">
        <f t="shared" si="59"/>
        <v>40.793042717788019</v>
      </c>
      <c r="W176" s="1">
        <f t="shared" si="60"/>
        <v>91.452686574490428</v>
      </c>
      <c r="X176" s="1">
        <f>Calculations!$B$216/(Calculations!$B$216+Calculations!$B$218)</f>
        <v>0.80079681274900394</v>
      </c>
      <c r="Y176" s="1" t="str">
        <f t="shared" si="61"/>
        <v>-0,213318233028624+274,091960033325i</v>
      </c>
      <c r="Z176" s="1">
        <f t="shared" si="62"/>
        <v>48.757928561019568</v>
      </c>
      <c r="AA176" s="1">
        <f t="shared" si="63"/>
        <v>90.044591720153122</v>
      </c>
    </row>
    <row r="177" spans="2:27">
      <c r="B177" s="1">
        <v>7.7426368268112711</v>
      </c>
      <c r="C177" s="1">
        <f t="shared" si="44"/>
        <v>48.648421949048156</v>
      </c>
      <c r="D177" s="73" t="str">
        <f>IMDIV(COMPLEX((POWER(V48_Nom,2)/(V12_Min*Calculations!$B$28*np)),((Zo_Boost_Cout*Zo_Boost_Resr*POWER(V48_Nom,2))/(V12_Min*Calculations!$B$28*np))*C177),COMPLEX(1,((Zo_Boost_Cout*Zo_Boost_Resr)+((Zo_Boost_Cout*POWER(V48_Nom,2))/(V12_Min*Calculations!$B$28*np)))*C177))</f>
        <v>3,9845113813763-0,248113033215799i</v>
      </c>
      <c r="E177" s="1">
        <f t="shared" si="45"/>
        <v>12.024308530353533</v>
      </c>
      <c r="F177" s="1">
        <f t="shared" si="46"/>
        <v>-3.5631717601870312</v>
      </c>
      <c r="G177" s="1" t="str">
        <f>IMDIV(IMSUM(COMPLEX(V48_Nom,0),IMPRODUCT(COMPLEX(np*(Calculations!$B$28*(V12_Min/V48_Nom)),0),D177)),IMSUM(IMPRODUCT(COMPLEX(((V12_Min/V48_Nom)^2),0),D177),COMPLEX(Rcs/np,(Lm*C177)/np)))</f>
        <v>94,4958698536069+2,80044603943558i</v>
      </c>
      <c r="H177" s="1">
        <f t="shared" si="50"/>
        <v>39.512069153304637</v>
      </c>
      <c r="I177" s="1">
        <f t="shared" si="51"/>
        <v>1.6975005343750962</v>
      </c>
      <c r="J177" s="73" t="str">
        <f>IMPRODUCT(COMPLEX(-1,0),IMDIV(IMSUM(IMSUB(IMPRODUCT(COMPLEX((1-(V12_Min/V48_Nom))*V48_Nom,0),D177),IMPRODUCT(COMPLEX(V48_Nom,0),D177)),IMPRODUCT(COMPLEX(0,Calculations!$B$28*Lm*C177),D177)),IMSUM(IMPRODUCT(COMPLEX(((V12_Min/V48_Nom)^2),0),D177),COMPLEX(Rcs/np,(Lm*C177)/np))))</f>
        <v>47,245465487656-0,095587783792797i</v>
      </c>
      <c r="K177" s="1">
        <f t="shared" si="52"/>
        <v>33.487220422360508</v>
      </c>
      <c r="L177" s="1">
        <f t="shared" si="53"/>
        <v>-0.11592158220772973</v>
      </c>
      <c r="M177" s="1">
        <f t="shared" si="47"/>
        <v>2.6666666666666665</v>
      </c>
      <c r="N177" s="1">
        <f t="shared" si="48"/>
        <v>0.16</v>
      </c>
      <c r="O177" s="1" t="str">
        <f t="shared" si="49"/>
        <v>0,196133518434364-285,892238278198i</v>
      </c>
      <c r="P177" s="1">
        <f t="shared" si="54"/>
        <v>49.124049340137987</v>
      </c>
      <c r="Q177" s="1">
        <f t="shared" si="55"/>
        <v>-89.960692808129323</v>
      </c>
      <c r="R177" s="1" t="str">
        <f t="shared" si="56"/>
        <v>3,12189062903275-0,0991122962310258i</v>
      </c>
      <c r="S177" s="1">
        <f t="shared" si="57"/>
        <v>9.8927287545821923</v>
      </c>
      <c r="T177" s="1">
        <f t="shared" si="58"/>
        <v>-1.8183883518276001</v>
      </c>
      <c r="U177" s="1" t="str">
        <f>IMPRODUCT(COMPLEX(-1,0),IMDIV(COMPLEX(1,C177*Calculations!$B$248*Calculations!$B$250),IMPRODUCT(COMPLEX(0,C177*Calculations!$B$237),COMPLEX((Calculations!$B$250+Calculations!$B$252),C177*Calculations!$B$248*Calculations!$B$250*Calculations!$B$252))))</f>
        <v>-2,77750517535308+84,8014515736376i</v>
      </c>
      <c r="V177" s="1">
        <f t="shared" si="59"/>
        <v>38.572722172405342</v>
      </c>
      <c r="W177" s="1">
        <f t="shared" si="60"/>
        <v>91.875940229690912</v>
      </c>
      <c r="X177" s="1">
        <f>Calculations!$B$216/(Calculations!$B$216+Calculations!$B$218)</f>
        <v>0.80079681274900394</v>
      </c>
      <c r="Y177" s="1" t="str">
        <f t="shared" si="61"/>
        <v>-0,213172744053048+212,224081770037i</v>
      </c>
      <c r="Z177" s="1">
        <f t="shared" si="62"/>
        <v>46.535897645776565</v>
      </c>
      <c r="AA177" s="1">
        <f t="shared" si="63"/>
        <v>90.057551877863332</v>
      </c>
    </row>
    <row r="178" spans="2:27">
      <c r="B178" s="1">
        <v>10</v>
      </c>
      <c r="C178" s="1">
        <f t="shared" si="44"/>
        <v>62.831853071795862</v>
      </c>
      <c r="D178" s="73" t="str">
        <f>IMDIV(COMPLEX((POWER(V48_Nom,2)/(V12_Min*Calculations!$B$28*np)),((Zo_Boost_Cout*Zo_Boost_Resr*POWER(V48_Nom,2))/(V12_Min*Calculations!$B$28*np))*C178),COMPLEX(1,((Zo_Boost_Cout*Zo_Boost_Resr)+((Zo_Boost_Cout*POWER(V48_Nom,2))/(V12_Min*Calculations!$B$28*np)))*C178))</f>
        <v>3,97423025964305-0,319621380922916i</v>
      </c>
      <c r="E178" s="1">
        <f t="shared" si="45"/>
        <v>12.013059944188459</v>
      </c>
      <c r="F178" s="1">
        <f t="shared" si="46"/>
        <v>-4.598029092491994</v>
      </c>
      <c r="G178" s="1" t="str">
        <f>IMDIV(IMSUM(COMPLEX(V48_Nom,0),IMPRODUCT(COMPLEX(np*(Calculations!$B$28*(V12_Min/V48_Nom)),0),D178)),IMSUM(IMPRODUCT(COMPLEX(((V12_Min/V48_Nom)^2),0),D178),COMPLEX(Rcs/np,(Lm*C178)/np)))</f>
        <v>94,5010018713584+3,61698219687892i</v>
      </c>
      <c r="H178" s="1">
        <f t="shared" si="50"/>
        <v>39.515085755078076</v>
      </c>
      <c r="I178" s="1">
        <f t="shared" si="51"/>
        <v>2.19189957992455</v>
      </c>
      <c r="J178" s="73" t="str">
        <f>IMPRODUCT(COMPLEX(-1,0),IMDIV(IMSUM(IMSUB(IMPRODUCT(COMPLEX((1-(V12_Min/V48_Nom))*V48_Nom,0),D178),IMPRODUCT(COMPLEX(V48_Nom,0),D178)),IMPRODUCT(COMPLEX(0,Calculations!$B$28*Lm*C178),D178)),IMSUM(IMPRODUCT(COMPLEX(((V12_Min/V48_Nom)^2),0),D178),COMPLEX(Rcs/np,(Lm*C178)/np))))</f>
        <v>47,2463814925993-0,123460989175876i</v>
      </c>
      <c r="K178" s="1">
        <f t="shared" si="52"/>
        <v>33.487400702679537</v>
      </c>
      <c r="L178" s="1">
        <f t="shared" si="53"/>
        <v>-0.14972104296361499</v>
      </c>
      <c r="M178" s="1">
        <f t="shared" si="47"/>
        <v>2.6666666666666665</v>
      </c>
      <c r="N178" s="1">
        <f t="shared" si="48"/>
        <v>0.16</v>
      </c>
      <c r="O178" s="1" t="str">
        <f t="shared" si="49"/>
        <v>0,196133518206063-221,355981494083i</v>
      </c>
      <c r="P178" s="1">
        <f t="shared" si="54"/>
        <v>46.901828649693023</v>
      </c>
      <c r="Q178" s="1">
        <f t="shared" si="55"/>
        <v>-89.949232815858196</v>
      </c>
      <c r="R178" s="1" t="str">
        <f t="shared" si="56"/>
        <v>3,11981666275623-0,127924404246127i</v>
      </c>
      <c r="S178" s="1">
        <f t="shared" si="57"/>
        <v>9.8898771852667675</v>
      </c>
      <c r="T178" s="1">
        <f t="shared" si="58"/>
        <v>-2.3480305563096051</v>
      </c>
      <c r="U178" s="1" t="str">
        <f>IMPRODUCT(COMPLEX(-1,0),IMDIV(COMPLEX(1,C178*Calculations!$B$248*Calculations!$B$250),IMPRODUCT(COMPLEX(0,C178*Calculations!$B$237),COMPLEX((Calculations!$B$250+Calculations!$B$252),C178*Calculations!$B$248*Calculations!$B$250*Calculations!$B$252))))</f>
        <v>-2,77750497628154+65,6591547811468i</v>
      </c>
      <c r="V178" s="1">
        <f t="shared" si="59"/>
        <v>36.353670286114799</v>
      </c>
      <c r="W178" s="1">
        <f t="shared" si="60"/>
        <v>92.422274413758061</v>
      </c>
      <c r="X178" s="1">
        <f>Calculations!$B$216/(Calculations!$B$216+Calculations!$B$218)</f>
        <v>0.80079681274900394</v>
      </c>
      <c r="Y178" s="1" t="str">
        <f t="shared" si="61"/>
        <v>-0,212930308721192+164,323374499749i</v>
      </c>
      <c r="Z178" s="1">
        <f t="shared" si="62"/>
        <v>44.313994190170618</v>
      </c>
      <c r="AA178" s="1">
        <f t="shared" si="63"/>
        <v>90.074243857448451</v>
      </c>
    </row>
    <row r="179" spans="2:27">
      <c r="B179" s="1">
        <v>12.915496650148844</v>
      </c>
      <c r="C179" s="1">
        <f t="shared" si="44"/>
        <v>81.150458787142384</v>
      </c>
      <c r="D179" s="73" t="str">
        <f>IMDIV(COMPLEX((POWER(V48_Nom,2)/(V12_Min*Calculations!$B$28*np)),((Zo_Boost_Cout*Zo_Boost_Resr*POWER(V48_Nom,2))/(V12_Min*Calculations!$B$28*np))*C179),COMPLEX(1,((Zo_Boost_Cout*Zo_Boost_Resr)+((Zo_Boost_Cout*POWER(V48_Nom,2))/(V12_Min*Calculations!$B$28*np)))*C179))</f>
        <v>3,95719817022917-0,41103329735095i</v>
      </c>
      <c r="E179" s="1">
        <f t="shared" si="45"/>
        <v>11.99436076512124</v>
      </c>
      <c r="F179" s="1">
        <f t="shared" si="46"/>
        <v>-5.930034693458615</v>
      </c>
      <c r="G179" s="1" t="str">
        <f>IMDIV(IMSUM(COMPLEX(V48_Nom,0),IMPRODUCT(COMPLEX(np*(Calculations!$B$28*(V12_Min/V48_Nom)),0),D179)),IMSUM(IMPRODUCT(COMPLEX(((V12_Min/V48_Nom)^2),0),D179),COMPLEX(Rcs/np,(Lm*C179)/np)))</f>
        <v>94,5095633408821+4,67165661177301i</v>
      </c>
      <c r="H179" s="1">
        <f t="shared" si="50"/>
        <v>39.520113636852386</v>
      </c>
      <c r="I179" s="1">
        <f t="shared" si="51"/>
        <v>2.8298567225338673</v>
      </c>
      <c r="J179" s="73" t="str">
        <f>IMPRODUCT(COMPLEX(-1,0),IMDIV(IMSUM(IMSUB(IMPRODUCT(COMPLEX((1-(V12_Min/V48_Nom))*V48_Nom,0),D179),IMPRODUCT(COMPLEX(V48_Nom,0),D179)),IMPRODUCT(COMPLEX(0,Calculations!$B$28*Lm*C179),D179)),IMSUM(IMPRODUCT(COMPLEX(((V12_Min/V48_Nom)^2),0),D179),COMPLEX(Rcs/np,(Lm*C179)/np))))</f>
        <v>47,2479095512859-0,159465951396594i</v>
      </c>
      <c r="K179" s="1">
        <f t="shared" si="52"/>
        <v>33.487701435877398</v>
      </c>
      <c r="L179" s="1">
        <f t="shared" si="53"/>
        <v>-0.19337768348299342</v>
      </c>
      <c r="M179" s="1">
        <f t="shared" si="47"/>
        <v>2.6666666666666665</v>
      </c>
      <c r="N179" s="1">
        <f t="shared" si="48"/>
        <v>0.16</v>
      </c>
      <c r="O179" s="1" t="str">
        <f t="shared" si="49"/>
        <v>0,196133517825237-171,387902884631i</v>
      </c>
      <c r="P179" s="1">
        <f t="shared" si="54"/>
        <v>44.679608982628125</v>
      </c>
      <c r="Q179" s="1">
        <f t="shared" si="55"/>
        <v>-89.934431674011677</v>
      </c>
      <c r="R179" s="1" t="str">
        <f t="shared" si="56"/>
        <v>3,11636313354953-0,165039960836386i</v>
      </c>
      <c r="S179" s="1">
        <f t="shared" si="57"/>
        <v>9.8851246476302617</v>
      </c>
      <c r="T179" s="1">
        <f t="shared" si="58"/>
        <v>-3.0315041075577955</v>
      </c>
      <c r="U179" s="1" t="str">
        <f>IMPRODUCT(COMPLEX(-1,0),IMDIV(COMPLEX(1,C179*Calculations!$B$248*Calculations!$B$250),IMPRODUCT(COMPLEX(0,C179*Calculations!$B$237),COMPLEX((Calculations!$B$250+Calculations!$B$252),C179*Calculations!$B$248*Calculations!$B$250*Calculations!$B$252))))</f>
        <v>-2,77750464421023+50,8381067715772i</v>
      </c>
      <c r="V179" s="1">
        <f t="shared" si="59"/>
        <v>34.136731357221947</v>
      </c>
      <c r="W179" s="1">
        <f t="shared" si="60"/>
        <v>93.127206107373468</v>
      </c>
      <c r="X179" s="1">
        <f>Calculations!$B$216/(Calculations!$B$216+Calculations!$B$218)</f>
        <v>0.80079681274900394</v>
      </c>
      <c r="Y179" s="1" t="str">
        <f t="shared" si="61"/>
        <v>-0,212526609985469+127,237325087651i</v>
      </c>
      <c r="Z179" s="1">
        <f t="shared" si="62"/>
        <v>42.092302723641239</v>
      </c>
      <c r="AA179" s="1">
        <f t="shared" si="63"/>
        <v>90.095701999815674</v>
      </c>
    </row>
    <row r="180" spans="2:27">
      <c r="B180" s="1">
        <v>16.681005372000598</v>
      </c>
      <c r="C180" s="1">
        <f t="shared" si="44"/>
        <v>104.8098478623379</v>
      </c>
      <c r="D180" s="73" t="str">
        <f>IMDIV(COMPLEX((POWER(V48_Nom,2)/(V12_Min*Calculations!$B$28*np)),((Zo_Boost_Cout*Zo_Boost_Resr*POWER(V48_Nom,2))/(V12_Min*Calculations!$B$28*np))*C180),COMPLEX(1,((Zo_Boost_Cout*Zo_Boost_Resr)+((Zo_Boost_Cout*POWER(V48_Nom,2))/(V12_Min*Calculations!$B$28*np)))*C180))</f>
        <v>3,92911030087703-0,527092323869204i</v>
      </c>
      <c r="E180" s="1">
        <f t="shared" si="45"/>
        <v>11.963346715126429</v>
      </c>
      <c r="F180" s="1">
        <f t="shared" si="46"/>
        <v>-7.6406438589017256</v>
      </c>
      <c r="G180" s="1" t="str">
        <f>IMDIV(IMSUM(COMPLEX(V48_Nom,0),IMPRODUCT(COMPLEX(np*(Calculations!$B$28*(V12_Min/V48_Nom)),0),D180)),IMSUM(IMPRODUCT(COMPLEX(((V12_Min/V48_Nom)^2),0),D180),COMPLEX(Rcs/np,(Lm*C180)/np)))</f>
        <v>94,5238468143301+6,03398779924428i</v>
      </c>
      <c r="H180" s="1">
        <f t="shared" si="50"/>
        <v>39.528489230890152</v>
      </c>
      <c r="I180" s="1">
        <f t="shared" si="51"/>
        <v>3.6525552747445582</v>
      </c>
      <c r="J180" s="73" t="str">
        <f>IMPRODUCT(COMPLEX(-1,0),IMDIV(IMSUM(IMSUB(IMPRODUCT(COMPLEX((1-(V12_Min/V48_Nom))*V48_Nom,0),D180),IMPRODUCT(COMPLEX(V48_Nom,0),D180)),IMPRODUCT(COMPLEX(0,Calculations!$B$28*Lm*C180),D180)),IMSUM(IMPRODUCT(COMPLEX(((V12_Min/V48_Nom)^2),0),D180),COMPLEX(Rcs/np,(Lm*C180)/np))))</f>
        <v>47,2504587025676-0,205979640194162i</v>
      </c>
      <c r="K180" s="1">
        <f t="shared" si="52"/>
        <v>33.488203109959315</v>
      </c>
      <c r="L180" s="1">
        <f t="shared" si="53"/>
        <v>-0.24976877716913787</v>
      </c>
      <c r="M180" s="1">
        <f t="shared" si="47"/>
        <v>2.6666666666666665</v>
      </c>
      <c r="N180" s="1">
        <f t="shared" si="48"/>
        <v>0.16</v>
      </c>
      <c r="O180" s="1" t="str">
        <f t="shared" si="49"/>
        <v>0,196133517189978-132,699435918613i</v>
      </c>
      <c r="P180" s="1">
        <f t="shared" si="54"/>
        <v>42.457391022661696</v>
      </c>
      <c r="Q180" s="1">
        <f t="shared" si="55"/>
        <v>-89.91531528001498</v>
      </c>
      <c r="R180" s="1" t="str">
        <f t="shared" si="56"/>
        <v>3,11061908803721-0,212769004106352i</v>
      </c>
      <c r="S180" s="1">
        <f t="shared" si="57"/>
        <v>9.8772085034486281</v>
      </c>
      <c r="T180" s="1">
        <f t="shared" si="58"/>
        <v>-3.9129853502144285</v>
      </c>
      <c r="U180" s="1" t="str">
        <f>IMPRODUCT(COMPLEX(-1,0),IMDIV(COMPLEX(1,C180*Calculations!$B$248*Calculations!$B$250),IMPRODUCT(COMPLEX(0,C180*Calculations!$B$237),COMPLEX((Calculations!$B$250+Calculations!$B$252),C180*Calculations!$B$248*Calculations!$B$250*Calculations!$B$252))))</f>
        <v>-2,77750409028208+39,3628847589219i</v>
      </c>
      <c r="V180" s="1">
        <f t="shared" si="59"/>
        <v>31.923307918987224</v>
      </c>
      <c r="W180" s="1">
        <f t="shared" si="60"/>
        <v>94.036186244698797</v>
      </c>
      <c r="X180" s="1">
        <f>Calculations!$B$216/(Calculations!$B$216+Calculations!$B$218)</f>
        <v>0.80079681274900394</v>
      </c>
      <c r="Y180" s="1" t="str">
        <f t="shared" si="61"/>
        <v>-0,211855162295673+98,5251609624339i</v>
      </c>
      <c r="Z180" s="1">
        <f t="shared" si="62"/>
        <v>39.870963141224863</v>
      </c>
      <c r="AA180" s="1">
        <f t="shared" si="63"/>
        <v>90.12320089448437</v>
      </c>
    </row>
    <row r="181" spans="2:27">
      <c r="B181" s="1">
        <v>21.544346900318843</v>
      </c>
      <c r="C181" s="1">
        <f t="shared" si="44"/>
        <v>135.3671238968634</v>
      </c>
      <c r="D181" s="73" t="str">
        <f>IMDIV(COMPLEX((POWER(V48_Nom,2)/(V12_Min*Calculations!$B$28*np)),((Zo_Boost_Cout*Zo_Boost_Resr*POWER(V48_Nom,2))/(V12_Min*Calculations!$B$28*np))*C181),COMPLEX(1,((Zo_Boost_Cout*Zo_Boost_Resr)+((Zo_Boost_Cout*POWER(V48_Nom,2))/(V12_Min*Calculations!$B$28*np)))*C181))</f>
        <v>3,88313602579314-0,672780040527007i</v>
      </c>
      <c r="E181" s="1">
        <f t="shared" si="45"/>
        <v>11.912100001769947</v>
      </c>
      <c r="F181" s="1">
        <f t="shared" si="46"/>
        <v>-9.8293113414763216</v>
      </c>
      <c r="G181" s="1" t="str">
        <f>IMDIV(IMSUM(COMPLEX(V48_Nom,0),IMPRODUCT(COMPLEX(np*(Calculations!$B$28*(V12_Min/V48_Nom)),0),D181)),IMSUM(IMPRODUCT(COMPLEX(((V12_Min/V48_Nom)^2),0),D181),COMPLEX(Rcs/np,(Lm*C181)/np)))</f>
        <v>94,5476788774885+7,79386560651098i</v>
      </c>
      <c r="H181" s="1">
        <f t="shared" si="50"/>
        <v>39.542428917250909</v>
      </c>
      <c r="I181" s="1">
        <f t="shared" si="51"/>
        <v>4.7124184557175504</v>
      </c>
      <c r="J181" s="73" t="str">
        <f>IMPRODUCT(COMPLEX(-1,0),IMDIV(IMSUM(IMSUB(IMPRODUCT(COMPLEX((1-(V12_Min/V48_Nom))*V48_Nom,0),D181),IMPRODUCT(COMPLEX(V48_Nom,0),D181)),IMPRODUCT(COMPLEX(0,Calculations!$B$28*Lm*C181),D181)),IMSUM(IMPRODUCT(COMPLEX(((V12_Min/V48_Nom)^2),0),D181),COMPLEX(Rcs/np,(Lm*C181)/np))))</f>
        <v>47,2547114879898-0,266079145083482i</v>
      </c>
      <c r="K181" s="1">
        <f t="shared" si="52"/>
        <v>33.489040010850928</v>
      </c>
      <c r="L181" s="1">
        <f t="shared" si="53"/>
        <v>-0.32261441102699728</v>
      </c>
      <c r="M181" s="1">
        <f t="shared" si="47"/>
        <v>2.6666666666666665</v>
      </c>
      <c r="N181" s="1">
        <f t="shared" si="48"/>
        <v>0.16</v>
      </c>
      <c r="O181" s="1" t="str">
        <f t="shared" si="49"/>
        <v>0,196133516130305-102,744363067773i</v>
      </c>
      <c r="P181" s="1">
        <f t="shared" si="54"/>
        <v>40.235175910301422</v>
      </c>
      <c r="Q181" s="1">
        <f t="shared" si="55"/>
        <v>-89.890625541785795</v>
      </c>
      <c r="R181" s="1" t="str">
        <f t="shared" si="56"/>
        <v>3,10108388011402-0,273969219082846i</v>
      </c>
      <c r="S181" s="1">
        <f t="shared" si="57"/>
        <v>9.8640356357906001</v>
      </c>
      <c r="T181" s="1">
        <f t="shared" si="58"/>
        <v>-5.0487608006057947</v>
      </c>
      <c r="U181" s="1" t="str">
        <f>IMPRODUCT(COMPLEX(-1,0),IMDIV(COMPLEX(1,C181*Calculations!$B$248*Calculations!$B$250),IMPRODUCT(COMPLEX(0,C181*Calculations!$B$237),COMPLEX((Calculations!$B$250+Calculations!$B$252),C181*Calculations!$B$248*Calculations!$B$250*Calculations!$B$252))))</f>
        <v>-2,77750316627472+30,4782659666842i</v>
      </c>
      <c r="V181" s="1">
        <f t="shared" si="59"/>
        <v>29.715723391697317</v>
      </c>
      <c r="W181" s="1">
        <f t="shared" si="60"/>
        <v>95.207017098692347</v>
      </c>
      <c r="X181" s="1">
        <f>Calculations!$B$216/(Calculations!$B$216+Calculations!$B$218)</f>
        <v>0.80079681274900394</v>
      </c>
      <c r="Y181" s="1" t="str">
        <f t="shared" si="61"/>
        <v>-0,210740548094402+76,2972053425174i</v>
      </c>
      <c r="Z181" s="1">
        <f t="shared" si="62"/>
        <v>37.650205746276924</v>
      </c>
      <c r="AA181" s="1">
        <f t="shared" si="63"/>
        <v>90.158256298086556</v>
      </c>
    </row>
    <row r="182" spans="2:27">
      <c r="B182" s="1">
        <v>27.825594022071257</v>
      </c>
      <c r="C182" s="1">
        <f t="shared" si="44"/>
        <v>174.83336352302226</v>
      </c>
      <c r="D182" s="73" t="str">
        <f>IMDIV(COMPLEX((POWER(V48_Nom,2)/(V12_Min*Calculations!$B$28*np)),((Zo_Boost_Cout*Zo_Boost_Resr*POWER(V48_Nom,2))/(V12_Min*Calculations!$B$28*np))*C182),COMPLEX(1,((Zo_Boost_Cout*Zo_Boost_Resr)+((Zo_Boost_Cout*POWER(V48_Nom,2))/(V12_Min*Calculations!$B$28*np)))*C182))</f>
        <v>3,80880053658656-0,852251953518706i</v>
      </c>
      <c r="E182" s="1">
        <f t="shared" si="45"/>
        <v>11.827938501981581</v>
      </c>
      <c r="F182" s="1">
        <f t="shared" si="46"/>
        <v>-12.612666950172235</v>
      </c>
      <c r="G182" s="1" t="str">
        <f>IMDIV(IMSUM(COMPLEX(V48_Nom,0),IMPRODUCT(COMPLEX(np*(Calculations!$B$28*(V12_Min/V48_Nom)),0),D182)),IMSUM(IMPRODUCT(COMPLEX(((V12_Min/V48_Nom)^2),0),D182),COMPLEX(Rcs/np,(Lm*C182)/np)))</f>
        <v>94,5874492820295+10,0676097520195i</v>
      </c>
      <c r="H182" s="1">
        <f t="shared" si="50"/>
        <v>39.565594234483193</v>
      </c>
      <c r="I182" s="1">
        <f t="shared" si="51"/>
        <v>6.0755201856784788</v>
      </c>
      <c r="J182" s="73" t="str">
        <f>IMPRODUCT(COMPLEX(-1,0),IMDIV(IMSUM(IMSUB(IMPRODUCT(COMPLEX((1-(V12_Min/V48_Nom))*V48_Nom,0),D182),IMPRODUCT(COMPLEX(V48_Nom,0),D182)),IMPRODUCT(COMPLEX(0,Calculations!$B$28*Lm*C182),D182)),IMSUM(IMPRODUCT(COMPLEX(((V12_Min/V48_Nom)^2),0),D182),COMPLEX(Rcs/np,(Lm*C182)/np))))</f>
        <v>47,2618070779057-0,343754022292306i</v>
      </c>
      <c r="K182" s="1">
        <f t="shared" si="52"/>
        <v>33.490436207332891</v>
      </c>
      <c r="L182" s="1">
        <f t="shared" si="53"/>
        <v>-0.41672776775352771</v>
      </c>
      <c r="M182" s="1">
        <f t="shared" si="47"/>
        <v>2.6666666666666665</v>
      </c>
      <c r="N182" s="1">
        <f t="shared" si="48"/>
        <v>0.16</v>
      </c>
      <c r="O182" s="1" t="str">
        <f t="shared" si="49"/>
        <v>0,196133514362661-79,5512407073167i</v>
      </c>
      <c r="P182" s="1">
        <f t="shared" si="54"/>
        <v>38.012965548017597</v>
      </c>
      <c r="Q182" s="1">
        <f t="shared" si="55"/>
        <v>-89.858737591969387</v>
      </c>
      <c r="R182" s="1" t="str">
        <f t="shared" si="56"/>
        <v>3,08530613678845-0,352065677277489i</v>
      </c>
      <c r="S182" s="1">
        <f t="shared" si="57"/>
        <v>9.8421505809204017</v>
      </c>
      <c r="T182" s="1">
        <f t="shared" si="58"/>
        <v>-6.5098892234755157</v>
      </c>
      <c r="U182" s="1" t="str">
        <f>IMPRODUCT(COMPLEX(-1,0),IMDIV(COMPLEX(1,C182*Calculations!$B$248*Calculations!$B$250),IMPRODUCT(COMPLEX(0,C182*Calculations!$B$237),COMPLEX((Calculations!$B$250+Calculations!$B$252),C182*Calculations!$B$248*Calculations!$B$250*Calculations!$B$252))))</f>
        <v>-2,77750162493893+23,599523888521i</v>
      </c>
      <c r="V182" s="1">
        <f t="shared" si="59"/>
        <v>27.517809038570924</v>
      </c>
      <c r="W182" s="1">
        <f t="shared" si="60"/>
        <v>96.712439943046888</v>
      </c>
      <c r="X182" s="1">
        <f>Calculations!$B$216/(Calculations!$B$216+Calculations!$B$218)</f>
        <v>0.80079681274900394</v>
      </c>
      <c r="Y182" s="1" t="str">
        <f t="shared" si="61"/>
        <v>-0,208896214630417+59,0904916044695i</v>
      </c>
      <c r="Z182" s="1">
        <f t="shared" si="62"/>
        <v>35.430406338280342</v>
      </c>
      <c r="AA182" s="1">
        <f t="shared" si="63"/>
        <v>90.202550719571377</v>
      </c>
    </row>
    <row r="183" spans="2:27">
      <c r="B183" s="1">
        <v>35.938136638046281</v>
      </c>
      <c r="C183" s="1">
        <f t="shared" si="44"/>
        <v>225.80597209158475</v>
      </c>
      <c r="D183" s="73" t="str">
        <f>IMDIV(COMPLEX((POWER(V48_Nom,2)/(V12_Min*Calculations!$B$28*np)),((Zo_Boost_Cout*Zo_Boost_Resr*POWER(V48_Nom,2))/(V12_Min*Calculations!$B$28*np))*C183),COMPLEX(1,((Zo_Boost_Cout*Zo_Boost_Resr)+((Zo_Boost_Cout*POWER(V48_Nom,2))/(V12_Min*Calculations!$B$28*np)))*C183))</f>
        <v>3,6909541606504-1,0665792399369i</v>
      </c>
      <c r="E183" s="1">
        <f t="shared" si="45"/>
        <v>11.691079507746823</v>
      </c>
      <c r="F183" s="1">
        <f t="shared" si="46"/>
        <v>-16.117767893651425</v>
      </c>
      <c r="G183" s="1" t="str">
        <f>IMDIV(IMSUM(COMPLEX(V48_Nom,0),IMPRODUCT(COMPLEX(np*(Calculations!$B$28*(V12_Min/V48_Nom)),0),D183)),IMSUM(IMPRODUCT(COMPLEX(((V12_Min/V48_Nom)^2),0),D183),COMPLEX(Rcs/np,(Lm*C183)/np)))</f>
        <v>94,6538352208461+13,0059327186261i</v>
      </c>
      <c r="H183" s="1">
        <f t="shared" si="50"/>
        <v>39.603995534829963</v>
      </c>
      <c r="I183" s="1">
        <f t="shared" si="51"/>
        <v>7.8237477030376255</v>
      </c>
      <c r="J183" s="73" t="str">
        <f>IMPRODUCT(COMPLEX(-1,0),IMDIV(IMSUM(IMSUB(IMPRODUCT(COMPLEX((1-(V12_Min/V48_Nom))*V48_Nom,0),D183),IMPRODUCT(COMPLEX(V48_Nom,0),D183)),IMPRODUCT(COMPLEX(0,Calculations!$B$28*Lm*C183),D183)),IMSUM(IMPRODUCT(COMPLEX(((V12_Min/V48_Nom)^2),0),D183),COMPLEX(Rcs/np,(Lm*C183)/np))))</f>
        <v>47,2736474558938-0,444190083999199i</v>
      </c>
      <c r="K183" s="1">
        <f t="shared" si="52"/>
        <v>33.492765653374732</v>
      </c>
      <c r="L183" s="1">
        <f t="shared" si="53"/>
        <v>-0.53834365539442186</v>
      </c>
      <c r="M183" s="1">
        <f t="shared" si="47"/>
        <v>2.6666666666666665</v>
      </c>
      <c r="N183" s="1">
        <f t="shared" si="48"/>
        <v>0.16</v>
      </c>
      <c r="O183" s="1" t="str">
        <f t="shared" si="49"/>
        <v>0,196133511414055-61,5936518111796i</v>
      </c>
      <c r="P183" s="1">
        <f t="shared" si="54"/>
        <v>35.790763109292435</v>
      </c>
      <c r="Q183" s="1">
        <f t="shared" si="55"/>
        <v>-89.817552879034182</v>
      </c>
      <c r="R183" s="1" t="str">
        <f t="shared" si="56"/>
        <v>3,05933747976902-0,450928193920737i</v>
      </c>
      <c r="S183" s="1">
        <f t="shared" si="57"/>
        <v>9.8058879921109092</v>
      </c>
      <c r="T183" s="1">
        <f t="shared" si="58"/>
        <v>-8.3846866550291868</v>
      </c>
      <c r="U183" s="1" t="str">
        <f>IMPRODUCT(COMPLEX(-1,0),IMDIV(COMPLEX(1,C183*Calculations!$B$248*Calculations!$B$250),IMPRODUCT(COMPLEX(0,C183*Calculations!$B$237),COMPLEX((Calculations!$B$250+Calculations!$B$252),C183*Calculations!$B$248*Calculations!$B$250*Calculations!$B$252))))</f>
        <v>-2,77749905383969+18,2739454789894i</v>
      </c>
      <c r="V183" s="1">
        <f t="shared" si="59"/>
        <v>25.335834390454796</v>
      </c>
      <c r="W183" s="1">
        <f t="shared" si="60"/>
        <v>98.642371519290194</v>
      </c>
      <c r="X183" s="1">
        <f>Calculations!$B$216/(Calculations!$B$216+Calculations!$B$218)</f>
        <v>0.80079681274900394</v>
      </c>
      <c r="Y183" s="1" t="str">
        <f t="shared" si="61"/>
        <v>-0,205860616264533+45,7724398675601i</v>
      </c>
      <c r="Z183" s="1">
        <f t="shared" si="62"/>
        <v>33.212169101354732</v>
      </c>
      <c r="AA183" s="1">
        <f t="shared" si="63"/>
        <v>90.257684864261009</v>
      </c>
    </row>
    <row r="184" spans="2:27">
      <c r="B184" s="1">
        <v>46.415888336127786</v>
      </c>
      <c r="C184" s="1">
        <f t="shared" si="44"/>
        <v>291.63962761324643</v>
      </c>
      <c r="D184" s="73" t="str">
        <f>IMDIV(COMPLEX((POWER(V48_Nom,2)/(V12_Min*Calculations!$B$28*np)),((Zo_Boost_Cout*Zo_Boost_Resr*POWER(V48_Nom,2))/(V12_Min*Calculations!$B$28*np))*C184),COMPLEX(1,((Zo_Boost_Cout*Zo_Boost_Resr)+((Zo_Boost_Cout*POWER(V48_Nom,2))/(V12_Min*Calculations!$B$28*np)))*C184))</f>
        <v>3,50984476227185-1,30976313308385i</v>
      </c>
      <c r="E184" s="1">
        <f t="shared" si="45"/>
        <v>11.471966267458239</v>
      </c>
      <c r="F184" s="1">
        <f t="shared" si="46"/>
        <v>-20.463984782689021</v>
      </c>
      <c r="G184" s="1" t="str">
        <f>IMDIV(IMSUM(COMPLEX(V48_Nom,0),IMPRODUCT(COMPLEX(np*(Calculations!$B$28*(V12_Min/V48_Nom)),0),D184)),IMSUM(IMPRODUCT(COMPLEX(((V12_Min/V48_Nom)^2),0),D184),COMPLEX(Rcs/np,(Lm*C184)/np)))</f>
        <v>94,7646987367309+16,8045222496753i</v>
      </c>
      <c r="H184" s="1">
        <f t="shared" si="50"/>
        <v>39.667394782563008</v>
      </c>
      <c r="I184" s="1">
        <f t="shared" si="51"/>
        <v>10.055666640910857</v>
      </c>
      <c r="J184" s="73" t="str">
        <f>IMPRODUCT(COMPLEX(-1,0),IMDIV(IMSUM(IMSUB(IMPRODUCT(COMPLEX((1-(V12_Min/V48_Nom))*V48_Nom,0),D184),IMPRODUCT(COMPLEX(V48_Nom,0),D184)),IMPRODUCT(COMPLEX(0,Calculations!$B$28*Lm*C184),D184)),IMSUM(IMPRODUCT(COMPLEX(((V12_Min/V48_Nom)^2),0),D184),COMPLEX(Rcs/np,(Lm*C184)/np))))</f>
        <v>47,2934101480668-0,574156554135048i</v>
      </c>
      <c r="K184" s="1">
        <f t="shared" si="52"/>
        <v>33.49665265613752</v>
      </c>
      <c r="L184" s="1">
        <f t="shared" si="53"/>
        <v>-0.6955542259806996</v>
      </c>
      <c r="M184" s="1">
        <f t="shared" si="47"/>
        <v>2.6666666666666665</v>
      </c>
      <c r="N184" s="1">
        <f t="shared" si="48"/>
        <v>0.16</v>
      </c>
      <c r="O184" s="1" t="str">
        <f t="shared" si="49"/>
        <v>0,196133506495483-47,6897473375582i</v>
      </c>
      <c r="P184" s="1">
        <f t="shared" si="54"/>
        <v>33.568573887730452</v>
      </c>
      <c r="Q184" s="1">
        <f t="shared" si="55"/>
        <v>-89.764361117167866</v>
      </c>
      <c r="R184" s="1" t="str">
        <f t="shared" si="56"/>
        <v>3,01696748879329-0,574426227299997i</v>
      </c>
      <c r="S184" s="1">
        <f t="shared" si="57"/>
        <v>9.746064773670879</v>
      </c>
      <c r="T184" s="1">
        <f t="shared" si="58"/>
        <v>-10.780004933936704</v>
      </c>
      <c r="U184" s="1" t="str">
        <f>IMPRODUCT(COMPLEX(-1,0),IMDIV(COMPLEX(1,C184*Calculations!$B$248*Calculations!$B$250),IMPRODUCT(COMPLEX(0,C184*Calculations!$B$237),COMPLEX((Calculations!$B$250+Calculations!$B$252),C184*Calculations!$B$248*Calculations!$B$250*Calculations!$B$252))))</f>
        <v>-2,77749476499823+14,1510365916497i</v>
      </c>
      <c r="V184" s="1">
        <f t="shared" si="59"/>
        <v>23.179929939970574</v>
      </c>
      <c r="W184" s="1">
        <f t="shared" si="60"/>
        <v>101.10456841050603</v>
      </c>
      <c r="X184" s="1">
        <f>Calculations!$B$216/(Calculations!$B$216+Calculations!$B$218)</f>
        <v>0.80079681274900394</v>
      </c>
      <c r="Y184" s="1" t="str">
        <f t="shared" si="61"/>
        <v>-0,200907783896821+35,4662363225334i</v>
      </c>
      <c r="Z184" s="1">
        <f t="shared" si="62"/>
        <v>30.996441432430458</v>
      </c>
      <c r="AA184" s="1">
        <f t="shared" si="63"/>
        <v>90.324563476569324</v>
      </c>
    </row>
    <row r="185" spans="2:27">
      <c r="B185" s="1">
        <v>59.948425031894104</v>
      </c>
      <c r="C185" s="1">
        <f t="shared" si="44"/>
        <v>376.66706334895395</v>
      </c>
      <c r="D185" s="73" t="str">
        <f>IMDIV(COMPLEX((POWER(V48_Nom,2)/(V12_Min*Calculations!$B$28*np)),((Zo_Boost_Cout*Zo_Boost_Resr*POWER(V48_Nom,2))/(V12_Min*Calculations!$B$28*np))*C185),COMPLEX(1,((Zo_Boost_Cout*Zo_Boost_Resr)+((Zo_Boost_Cout*POWER(V48_Nom,2))/(V12_Min*Calculations!$B$28*np)))*C185))</f>
        <v>3,24438713508478-1,56331806507823i</v>
      </c>
      <c r="E185" s="1">
        <f t="shared" si="45"/>
        <v>11.129403529491837</v>
      </c>
      <c r="F185" s="1">
        <f t="shared" si="46"/>
        <v>-25.727237293282396</v>
      </c>
      <c r="G185" s="1" t="str">
        <f>IMDIV(IMSUM(COMPLEX(V48_Nom,0),IMPRODUCT(COMPLEX(np*(Calculations!$B$28*(V12_Min/V48_Nom)),0),D185)),IMSUM(IMPRODUCT(COMPLEX(((V12_Min/V48_Nom)^2),0),D185),COMPLEX(Rcs/np,(Lm*C185)/np)))</f>
        <v>94,9499789786717+21,718353890737i</v>
      </c>
      <c r="H185" s="1">
        <f t="shared" si="50"/>
        <v>39.771373878842518</v>
      </c>
      <c r="I185" s="1">
        <f t="shared" si="51"/>
        <v>12.883890924401323</v>
      </c>
      <c r="J185" s="73" t="str">
        <f>IMPRODUCT(COMPLEX(-1,0),IMDIV(IMSUM(IMSUB(IMPRODUCT(COMPLEX((1-(V12_Min/V48_Nom))*V48_Nom,0),D185),IMPRODUCT(COMPLEX(V48_Nom,0),D185)),IMPRODUCT(COMPLEX(0,Calculations!$B$28*Lm*C185),D185)),IMSUM(IMPRODUCT(COMPLEX(((V12_Min/V48_Nom)^2),0),D185),COMPLEX(Rcs/np,(Lm*C185)/np))))</f>
        <v>47,326409037201-0,742550867205624i</v>
      </c>
      <c r="K185" s="1">
        <f t="shared" si="52"/>
        <v>33.503140055591054</v>
      </c>
      <c r="L185" s="1">
        <f t="shared" si="53"/>
        <v>-0.89889642929585567</v>
      </c>
      <c r="M185" s="1">
        <f t="shared" si="47"/>
        <v>2.6666666666666665</v>
      </c>
      <c r="N185" s="1">
        <f t="shared" si="48"/>
        <v>0.16</v>
      </c>
      <c r="O185" s="1" t="str">
        <f t="shared" si="49"/>
        <v>0,19613349829081-36,9244647869965i</v>
      </c>
      <c r="P185" s="1">
        <f t="shared" si="54"/>
        <v>31.346406713365557</v>
      </c>
      <c r="Q185" s="1">
        <f t="shared" si="55"/>
        <v>-89.695662048152087</v>
      </c>
      <c r="R185" s="1" t="str">
        <f t="shared" si="56"/>
        <v>2,94881351198215-0,725342361862011i</v>
      </c>
      <c r="S185" s="1">
        <f t="shared" si="57"/>
        <v>9.64807347819076</v>
      </c>
      <c r="T185" s="1">
        <f t="shared" si="58"/>
        <v>-13.819134668848303</v>
      </c>
      <c r="U185" s="1" t="str">
        <f>IMPRODUCT(COMPLEX(-1,0),IMDIV(COMPLEX(1,C185*Calculations!$B$248*Calculations!$B$250),IMPRODUCT(COMPLEX(0,C185*Calculations!$B$237),COMPLEX((Calculations!$B$250+Calculations!$B$252),C185*Calculations!$B$248*Calculations!$B$250*Calculations!$B$252))))</f>
        <v>-2,77748761080897+10,9594547841525i</v>
      </c>
      <c r="V185" s="1">
        <f t="shared" si="59"/>
        <v>21.06612698026246</v>
      </c>
      <c r="W185" s="1">
        <f t="shared" si="60"/>
        <v>104.22121996479247</v>
      </c>
      <c r="X185" s="1">
        <f>Calculations!$B$216/(Calculations!$B$216+Calculations!$B$218)</f>
        <v>0.80079681274900394</v>
      </c>
      <c r="Y185" s="1" t="str">
        <f t="shared" si="61"/>
        <v>-0,192940923626069+27,4929704095687i</v>
      </c>
      <c r="Z185" s="1">
        <f t="shared" si="62"/>
        <v>28.784647177242256</v>
      </c>
      <c r="AA185" s="1">
        <f t="shared" si="63"/>
        <v>90.402085295944161</v>
      </c>
    </row>
    <row r="186" spans="2:27">
      <c r="B186" s="1">
        <v>77.426368268112768</v>
      </c>
      <c r="C186" s="1">
        <f t="shared" si="44"/>
        <v>486.48421949048191</v>
      </c>
      <c r="D186" s="73" t="str">
        <f>IMDIV(COMPLEX((POWER(V48_Nom,2)/(V12_Min*Calculations!$B$28*np)),((Zo_Boost_Cout*Zo_Boost_Resr*POWER(V48_Nom,2))/(V12_Min*Calculations!$B$28*np))*C186),COMPLEX(1,((Zo_Boost_Cout*Zo_Boost_Resr)+((Zo_Boost_Cout*POWER(V48_Nom,2))/(V12_Min*Calculations!$B$28*np)))*C186))</f>
        <v>2,88112403761694-1,79233355513238i</v>
      </c>
      <c r="E186" s="1">
        <f t="shared" si="45"/>
        <v>10.612011524318966</v>
      </c>
      <c r="F186" s="1">
        <f t="shared" si="46"/>
        <v>-31.885546661984474</v>
      </c>
      <c r="G186" s="1" t="str">
        <f>IMDIV(IMSUM(COMPLEX(V48_Nom,0),IMPRODUCT(COMPLEX(np*(Calculations!$B$28*(V12_Min/V48_Nom)),0),D186)),IMSUM(IMPRODUCT(COMPLEX(((V12_Min/V48_Nom)^2),0),D186),COMPLEX(Rcs/np,(Lm*C186)/np)))</f>
        <v>95,2600185697724+28,0815749097945i</v>
      </c>
      <c r="H186" s="1">
        <f t="shared" si="50"/>
        <v>39.940110580649218</v>
      </c>
      <c r="I186" s="1">
        <f t="shared" si="51"/>
        <v>16.424920040702581</v>
      </c>
      <c r="J186" s="73" t="str">
        <f>IMPRODUCT(COMPLEX(-1,0),IMDIV(IMSUM(IMSUB(IMPRODUCT(COMPLEX((1-(V12_Min/V48_Nom))*V48_Nom,0),D186),IMPRODUCT(COMPLEX(V48_Nom,0),D186)),IMPRODUCT(COMPLEX(0,Calculations!$B$28*Lm*C186),D186)),IMSUM(IMPRODUCT(COMPLEX(((V12_Min/V48_Nom)^2),0),D186),COMPLEX(Rcs/np,(Lm*C186)/np))))</f>
        <v>47,3815457333426-0,961199932674832i</v>
      </c>
      <c r="K186" s="1">
        <f t="shared" si="52"/>
        <v>33.513971408421497</v>
      </c>
      <c r="L186" s="1">
        <f t="shared" si="53"/>
        <v>-1.1621644166126224</v>
      </c>
      <c r="M186" s="1">
        <f t="shared" si="47"/>
        <v>2.6666666666666665</v>
      </c>
      <c r="N186" s="1">
        <f t="shared" si="48"/>
        <v>0.16</v>
      </c>
      <c r="O186" s="1" t="str">
        <f t="shared" si="49"/>
        <v>0,196133484604595-28,5893048759468i</v>
      </c>
      <c r="P186" s="1">
        <f t="shared" si="54"/>
        <v>29.124276314940762</v>
      </c>
      <c r="Q186" s="1">
        <f t="shared" si="55"/>
        <v>-89.606935368175229</v>
      </c>
      <c r="R186" s="1" t="str">
        <f t="shared" si="56"/>
        <v>2,84165365376369-0,903191607095369i</v>
      </c>
      <c r="S186" s="1">
        <f t="shared" si="57"/>
        <v>9.4893842614229271</v>
      </c>
      <c r="T186" s="1">
        <f t="shared" si="58"/>
        <v>-17.632345702238879</v>
      </c>
      <c r="U186" s="1" t="str">
        <f>IMPRODUCT(COMPLEX(-1,0),IMDIV(COMPLEX(1,C186*Calculations!$B$248*Calculations!$B$250),IMPRODUCT(COMPLEX(0,C186*Calculations!$B$237),COMPLEX((Calculations!$B$250+Calculations!$B$252),C186*Calculations!$B$248*Calculations!$B$250*Calculations!$B$252))))</f>
        <v>-2,77747567698403+8,48915135988355i</v>
      </c>
      <c r="V186" s="1">
        <f t="shared" si="59"/>
        <v>19.018943691929067</v>
      </c>
      <c r="W186" s="1">
        <f t="shared" si="60"/>
        <v>108.1170315713449</v>
      </c>
      <c r="X186" s="1">
        <f>Calculations!$B$216/(Calculations!$B$216+Calculations!$B$218)</f>
        <v>0.80079681274900394</v>
      </c>
      <c r="Y186" s="1" t="str">
        <f t="shared" si="61"/>
        <v>-0,180414433755417+21,3266771338863i</v>
      </c>
      <c r="Z186" s="1">
        <f t="shared" si="62"/>
        <v>26.57877467214103</v>
      </c>
      <c r="AA186" s="1">
        <f t="shared" si="63"/>
        <v>90.484685869106031</v>
      </c>
    </row>
    <row r="187" spans="2:27">
      <c r="B187" s="1">
        <v>100</v>
      </c>
      <c r="C187" s="1">
        <f t="shared" si="44"/>
        <v>628.31853071795865</v>
      </c>
      <c r="D187" s="73" t="str">
        <f>IMDIV(COMPLEX((POWER(V48_Nom,2)/(V12_Min*Calculations!$B$28*np)),((Zo_Boost_Cout*Zo_Boost_Resr*POWER(V48_Nom,2))/(V12_Min*Calculations!$B$28*np))*C187),COMPLEX(1,((Zo_Boost_Cout*Zo_Boost_Resr)+((Zo_Boost_Cout*POWER(V48_Nom,2))/(V12_Min*Calculations!$B$28*np)))*C187))</f>
        <v>2,42809504148689-1,9496293969609i</v>
      </c>
      <c r="E187" s="1">
        <f t="shared" si="45"/>
        <v>9.8662397361116447</v>
      </c>
      <c r="F187" s="1">
        <f t="shared" si="46"/>
        <v>-38.762586041820661</v>
      </c>
      <c r="G187" s="1" t="str">
        <f>IMDIV(IMSUM(COMPLEX(V48_Nom,0),IMPRODUCT(COMPLEX(np*(Calculations!$B$28*(V12_Min/V48_Nom)),0),D187)),IMSUM(IMPRODUCT(COMPLEX(((V12_Min/V48_Nom)^2),0),D187),COMPLEX(Rcs/np,(Lm*C187)/np)))</f>
        <v>95,7799191114906+36,3362329690511i</v>
      </c>
      <c r="H187" s="1">
        <f t="shared" si="50"/>
        <v>40.209458079979179</v>
      </c>
      <c r="I187" s="1">
        <f t="shared" si="51"/>
        <v>20.775349930862635</v>
      </c>
      <c r="J187" s="73" t="str">
        <f>IMPRODUCT(COMPLEX(-1,0),IMDIV(IMSUM(IMSUB(IMPRODUCT(COMPLEX((1-(V12_Min/V48_Nom))*V48_Nom,0),D187),IMPRODUCT(COMPLEX(V48_Nom,0),D187)),IMPRODUCT(COMPLEX(0,Calculations!$B$28*Lm*C187),D187)),IMSUM(IMPRODUCT(COMPLEX(((V12_Min/V48_Nom)^2),0),D187),COMPLEX(Rcs/np,(Lm*C187)/np))))</f>
        <v>47,4737738567614-1,24610962874257i</v>
      </c>
      <c r="K187" s="1">
        <f t="shared" si="52"/>
        <v>33.532066294262563</v>
      </c>
      <c r="L187" s="1">
        <f t="shared" si="53"/>
        <v>-1.5035761133073897</v>
      </c>
      <c r="M187" s="1">
        <f t="shared" si="47"/>
        <v>2.6666666666666665</v>
      </c>
      <c r="N187" s="1">
        <f t="shared" si="48"/>
        <v>0.16</v>
      </c>
      <c r="O187" s="1" t="str">
        <f t="shared" si="49"/>
        <v>0,196133461774615-22,1357028270774i</v>
      </c>
      <c r="P187" s="1">
        <f t="shared" si="54"/>
        <v>26.9022072596957</v>
      </c>
      <c r="Q187" s="1">
        <f t="shared" si="55"/>
        <v>-89.492343857356786</v>
      </c>
      <c r="R187" s="1" t="str">
        <f t="shared" si="56"/>
        <v>2,67905401206769-1,1006223747791i</v>
      </c>
      <c r="S187" s="1">
        <f t="shared" si="57"/>
        <v>9.23694663855904</v>
      </c>
      <c r="T187" s="1">
        <f t="shared" si="58"/>
        <v>-22.334084211426028</v>
      </c>
      <c r="U187" s="1" t="str">
        <f>IMPRODUCT(COMPLEX(-1,0),IMDIV(COMPLEX(1,C187*Calculations!$B$248*Calculations!$B$250),IMPRODUCT(COMPLEX(0,C187*Calculations!$B$237),COMPLEX((Calculations!$B$250+Calculations!$B$252),C187*Calculations!$B$248*Calculations!$B$250*Calculations!$B$252))))</f>
        <v>-2,77745577039247+6,57754735176046i</v>
      </c>
      <c r="V187" s="1">
        <f t="shared" si="59"/>
        <v>17.073861130816731</v>
      </c>
      <c r="W187" s="1">
        <f t="shared" si="60"/>
        <v>112.89254112871568</v>
      </c>
      <c r="X187" s="1">
        <f>Calculations!$B$216/(Calculations!$B$216+Calculations!$B$218)</f>
        <v>0.80079681274900394</v>
      </c>
      <c r="Y187" s="1" t="str">
        <f t="shared" si="61"/>
        <v>-0,16140719496924+16,5593045905124i</v>
      </c>
      <c r="Z187" s="1">
        <f t="shared" si="62"/>
        <v>24.381254488164767</v>
      </c>
      <c r="AA187" s="1">
        <f t="shared" si="63"/>
        <v>90.558456917289661</v>
      </c>
    </row>
    <row r="188" spans="2:27">
      <c r="B188" s="1">
        <v>129.15496650148842</v>
      </c>
      <c r="C188" s="1">
        <f t="shared" si="44"/>
        <v>811.50458787142372</v>
      </c>
      <c r="D188" s="73" t="str">
        <f>IMDIV(COMPLEX((POWER(V48_Nom,2)/(V12_Min*Calculations!$B$28*np)),((Zo_Boost_Cout*Zo_Boost_Resr*POWER(V48_Nom,2))/(V12_Min*Calculations!$B$28*np))*C188),COMPLEX(1,((Zo_Boost_Cout*Zo_Boost_Resr)+((Zo_Boost_Cout*POWER(V48_Nom,2))/(V12_Min*Calculations!$B$28*np)))*C188))</f>
        <v>1,92425016585792-1,99337809474797i</v>
      </c>
      <c r="E188" s="1">
        <f t="shared" si="45"/>
        <v>8.8515165232728634</v>
      </c>
      <c r="F188" s="1">
        <f t="shared" si="46"/>
        <v>-46.010899277679336</v>
      </c>
      <c r="G188" s="1" t="str">
        <f>IMDIV(IMSUM(COMPLEX(V48_Nom,0),IMPRODUCT(COMPLEX(np*(Calculations!$B$28*(V12_Min/V48_Nom)),0),D188)),IMSUM(IMPRODUCT(COMPLEX(((V12_Min/V48_Nom)^2),0),D188),COMPLEX(Rcs/np,(Lm*C188)/np)))</f>
        <v>96,6548110124164+47,0760714864891i</v>
      </c>
      <c r="H188" s="1">
        <f t="shared" si="50"/>
        <v>40.628943006621711</v>
      </c>
      <c r="I188" s="1">
        <f t="shared" si="51"/>
        <v>25.968563367593088</v>
      </c>
      <c r="J188" s="73" t="str">
        <f>IMPRODUCT(COMPLEX(-1,0),IMDIV(IMSUM(IMSUB(IMPRODUCT(COMPLEX((1-(V12_Min/V48_Nom))*V48_Nom,0),D188),IMPRODUCT(COMPLEX(V48_Nom,0),D188)),IMPRODUCT(COMPLEX(0,Calculations!$B$28*Lm*C188),D188)),IMSUM(IMPRODUCT(COMPLEX(((V12_Min/V48_Nom)^2),0),D188),COMPLEX(Rcs/np,(Lm*C188)/np))))</f>
        <v>47,6283313225939-1,61955663111007i</v>
      </c>
      <c r="K188" s="1">
        <f t="shared" si="52"/>
        <v>33.562326064272547</v>
      </c>
      <c r="L188" s="1">
        <f t="shared" si="53"/>
        <v>-1.9475387189267519</v>
      </c>
      <c r="M188" s="1">
        <f t="shared" si="47"/>
        <v>2.6666666666666665</v>
      </c>
      <c r="N188" s="1">
        <f t="shared" si="48"/>
        <v>0.16</v>
      </c>
      <c r="O188" s="1" t="str">
        <f t="shared" si="49"/>
        <v>0,196133423691926-17,138925484845i</v>
      </c>
      <c r="P188" s="1">
        <f t="shared" si="54"/>
        <v>24.680240523290617</v>
      </c>
      <c r="Q188" s="1">
        <f t="shared" si="55"/>
        <v>-89.344350560892039</v>
      </c>
      <c r="R188" s="1" t="str">
        <f t="shared" si="56"/>
        <v>2,44518676853101-1,2991005598836i</v>
      </c>
      <c r="S188" s="1">
        <f t="shared" si="57"/>
        <v>8.8460283866540106</v>
      </c>
      <c r="T188" s="1">
        <f t="shared" si="58"/>
        <v>-27.981212067558232</v>
      </c>
      <c r="U188" s="1" t="str">
        <f>IMPRODUCT(COMPLEX(-1,0),IMDIV(COMPLEX(1,C188*Calculations!$B$248*Calculations!$B$250),IMPRODUCT(COMPLEX(0,C188*Calculations!$B$237),COMPLEX((Calculations!$B$250+Calculations!$B$252),C188*Calculations!$B$248*Calculations!$B$250*Calculations!$B$252))))</f>
        <v>-2,77742256483135+5,09883363826482i</v>
      </c>
      <c r="V188" s="1">
        <f t="shared" si="59"/>
        <v>15.277868445047499</v>
      </c>
      <c r="W188" s="1">
        <f t="shared" si="60"/>
        <v>118.5778915299839</v>
      </c>
      <c r="X188" s="1">
        <f>Calculations!$B$216/(Calculations!$B$216+Calculations!$B$218)</f>
        <v>0.80079681274900394</v>
      </c>
      <c r="Y188" s="1" t="str">
        <f t="shared" si="61"/>
        <v>-0,134068819347832+12,8734107689345i</v>
      </c>
      <c r="Z188" s="1">
        <f t="shared" si="62"/>
        <v>22.194343550490487</v>
      </c>
      <c r="AA188" s="1">
        <f t="shared" si="63"/>
        <v>90.596679462425683</v>
      </c>
    </row>
    <row r="189" spans="2:27">
      <c r="B189" s="1">
        <v>166.81005372000601</v>
      </c>
      <c r="C189" s="1">
        <f t="shared" si="44"/>
        <v>1048.0984786233792</v>
      </c>
      <c r="D189" s="73" t="str">
        <f>IMDIV(COMPLEX((POWER(V48_Nom,2)/(V12_Min*Calculations!$B$28*np)),((Zo_Boost_Cout*Zo_Boost_Resr*POWER(V48_Nom,2))/(V12_Min*Calculations!$B$28*np))*C189),COMPLEX(1,((Zo_Boost_Cout*Zo_Boost_Resr)+((Zo_Boost_Cout*POWER(V48_Nom,2))/(V12_Min*Calculations!$B$28*np)))*C189))</f>
        <v>1,43051448502696-1,91051183456991i</v>
      </c>
      <c r="E189" s="1">
        <f t="shared" si="45"/>
        <v>7.5560254858909097</v>
      </c>
      <c r="F189" s="1">
        <f t="shared" si="46"/>
        <v>-53.175606200373664</v>
      </c>
      <c r="G189" s="1" t="str">
        <f>IMDIV(IMSUM(COMPLEX(V48_Nom,0),IMPRODUCT(COMPLEX(np*(Calculations!$B$28*(V12_Min/V48_Nom)),0),D189)),IMSUM(IMPRODUCT(COMPLEX(((V12_Min/V48_Nom)^2),0),D189),COMPLEX(Rcs/np,(Lm*C189)/np)))</f>
        <v>98,1358116462619+61,1179640090773i</v>
      </c>
      <c r="H189" s="1">
        <f t="shared" si="50"/>
        <v>41.260028556544285</v>
      </c>
      <c r="I189" s="1">
        <f t="shared" si="51"/>
        <v>31.914221489632791</v>
      </c>
      <c r="J189" s="73" t="str">
        <f>IMPRODUCT(COMPLEX(-1,0),IMDIV(IMSUM(IMSUB(IMPRODUCT(COMPLEX((1-(V12_Min/V48_Nom))*V48_Nom,0),D189),IMPRODUCT(COMPLEX(V48_Nom,0),D189)),IMPRODUCT(COMPLEX(0,Calculations!$B$28*Lm*C189),D189)),IMSUM(IMPRODUCT(COMPLEX(((V12_Min/V48_Nom)^2),0),D189),COMPLEX(Rcs/np,(Lm*C189)/np))))</f>
        <v>47,8881445293793-2,11387790371387i</v>
      </c>
      <c r="K189" s="1">
        <f t="shared" si="52"/>
        <v>33.61301426435282</v>
      </c>
      <c r="L189" s="1">
        <f t="shared" si="53"/>
        <v>-2.5275088371834644</v>
      </c>
      <c r="M189" s="1">
        <f t="shared" si="47"/>
        <v>2.6666666666666665</v>
      </c>
      <c r="N189" s="1">
        <f t="shared" si="48"/>
        <v>0.16</v>
      </c>
      <c r="O189" s="1" t="str">
        <f t="shared" si="49"/>
        <v>0,196133360166202-13,270118204646i</v>
      </c>
      <c r="P189" s="1">
        <f t="shared" si="54"/>
        <v>22.458444443433248</v>
      </c>
      <c r="Q189" s="1">
        <f t="shared" si="55"/>
        <v>-89.153225660453444</v>
      </c>
      <c r="R189" s="1" t="str">
        <f t="shared" si="56"/>
        <v>2,13345878345712-1,4671228462472i</v>
      </c>
      <c r="S189" s="1">
        <f t="shared" si="57"/>
        <v>8.2634021336470358</v>
      </c>
      <c r="T189" s="1">
        <f t="shared" si="58"/>
        <v>-34.515268647906815</v>
      </c>
      <c r="U189" s="1" t="str">
        <f>IMPRODUCT(COMPLEX(-1,0),IMDIV(COMPLEX(1,C189*Calculations!$B$248*Calculations!$B$250),IMPRODUCT(COMPLEX(0,C189*Calculations!$B$237),COMPLEX((Calculations!$B$250+Calculations!$B$252),C189*Calculations!$B$248*Calculations!$B$250*Calculations!$B$252))))</f>
        <v>-2,77736717638384+3,95569098546786i</v>
      </c>
      <c r="V189" s="1">
        <f t="shared" si="59"/>
        <v>13.684962555952453</v>
      </c>
      <c r="W189" s="1">
        <f t="shared" si="60"/>
        <v>125.07343552879506</v>
      </c>
      <c r="X189" s="1">
        <f>Calculations!$B$216/(Calculations!$B$216+Calculations!$B$218)</f>
        <v>0.80079681274900394</v>
      </c>
      <c r="Y189" s="1" t="str">
        <f t="shared" si="61"/>
        <v>-0,0976281663481626+10,0212053601998i</v>
      </c>
      <c r="Z189" s="1">
        <f t="shared" si="62"/>
        <v>20.018811408388501</v>
      </c>
      <c r="AA189" s="1">
        <f t="shared" si="63"/>
        <v>90.558166880888237</v>
      </c>
    </row>
    <row r="190" spans="2:27">
      <c r="B190" s="1">
        <v>215.44346900318828</v>
      </c>
      <c r="C190" s="1">
        <f t="shared" si="44"/>
        <v>1353.6712389686331</v>
      </c>
      <c r="D190" s="73" t="str">
        <f>IMDIV(COMPLEX((POWER(V48_Nom,2)/(V12_Min*Calculations!$B$28*np)),((Zo_Boost_Cout*Zo_Boost_Resr*POWER(V48_Nom,2))/(V12_Min*Calculations!$B$28*np))*C190),COMPLEX(1,((Zo_Boost_Cout*Zo_Boost_Resr)+((Zo_Boost_Cout*POWER(V48_Nom,2))/(V12_Min*Calculations!$B$28*np)))*C190))</f>
        <v>1,00319147955776-1,72524764070231i</v>
      </c>
      <c r="E190" s="1">
        <f t="shared" si="45"/>
        <v>6.0019641120672436</v>
      </c>
      <c r="F190" s="1">
        <f t="shared" si="46"/>
        <v>-59.82299219365607</v>
      </c>
      <c r="G190" s="1" t="str">
        <f>IMDIV(IMSUM(COMPLEX(V48_Nom,0),IMPRODUCT(COMPLEX(np*(Calculations!$B$28*(V12_Min/V48_Nom)),0),D190)),IMSUM(IMPRODUCT(COMPLEX(((V12_Min/V48_Nom)^2),0),D190),COMPLEX(Rcs/np,(Lm*C190)/np)))</f>
        <v>100,66787020845+79,6278873850227i</v>
      </c>
      <c r="H190" s="1">
        <f t="shared" si="50"/>
        <v>42.168154203197325</v>
      </c>
      <c r="I190" s="1">
        <f t="shared" si="51"/>
        <v>38.343857567258041</v>
      </c>
      <c r="J190" s="73" t="str">
        <f>IMPRODUCT(COMPLEX(-1,0),IMDIV(IMSUM(IMSUB(IMPRODUCT(COMPLEX((1-(V12_Min/V48_Nom))*V48_Nom,0),D190),IMPRODUCT(COMPLEX(V48_Nom,0),D190)),IMPRODUCT(COMPLEX(0,Calculations!$B$28*Lm*C190),D190)),IMSUM(IMPRODUCT(COMPLEX(((V12_Min/V48_Nom)^2),0),D190),COMPLEX(Rcs/np,(Lm*C190)/np))))</f>
        <v>48,3271651746236-2,77892648332351i</v>
      </c>
      <c r="K190" s="1">
        <f t="shared" si="52"/>
        <v>33.698162767514368</v>
      </c>
      <c r="L190" s="1">
        <f t="shared" si="53"/>
        <v>-3.2910189709572242</v>
      </c>
      <c r="M190" s="1">
        <f t="shared" si="47"/>
        <v>2.6666666666666665</v>
      </c>
      <c r="N190" s="1">
        <f t="shared" si="48"/>
        <v>0.16</v>
      </c>
      <c r="O190" s="1" t="str">
        <f t="shared" si="49"/>
        <v>0,196133254199003-10,2746618277377i</v>
      </c>
      <c r="P190" s="1">
        <f t="shared" si="54"/>
        <v>20.236932975867138</v>
      </c>
      <c r="Q190" s="1">
        <f t="shared" si="55"/>
        <v>-88.906412375001196</v>
      </c>
      <c r="R190" s="1" t="str">
        <f t="shared" si="56"/>
        <v>1,75755807324161-1,56666548260831i</v>
      </c>
      <c r="S190" s="1">
        <f t="shared" si="57"/>
        <v>7.4378022206636807</v>
      </c>
      <c r="T190" s="1">
        <f t="shared" si="58"/>
        <v>-41.713415624799531</v>
      </c>
      <c r="U190" s="1" t="str">
        <f>IMPRODUCT(COMPLEX(-1,0),IMDIV(COMPLEX(1,C190*Calculations!$B$248*Calculations!$B$250),IMPRODUCT(COMPLEX(0,C190*Calculations!$B$237),COMPLEX((Calculations!$B$250+Calculations!$B$252),C190*Calculations!$B$248*Calculations!$B$250*Calculations!$B$252))))</f>
        <v>-2,77727478780072+3,07288505948204i</v>
      </c>
      <c r="V190" s="1">
        <f t="shared" si="59"/>
        <v>12.344129450365937</v>
      </c>
      <c r="W190" s="1">
        <f t="shared" si="60"/>
        <v>132.10728798741965</v>
      </c>
      <c r="X190" s="1">
        <f>Calculations!$B$216/(Calculations!$B$216+Calculations!$B$218)</f>
        <v>0.80079681274900394</v>
      </c>
      <c r="Y190" s="1" t="str">
        <f t="shared" si="61"/>
        <v>-0,0536844335037614+7,80923797820948i</v>
      </c>
      <c r="Z190" s="1">
        <f t="shared" si="62"/>
        <v>17.852378389818632</v>
      </c>
      <c r="AA190" s="1">
        <f t="shared" si="63"/>
        <v>90.393872362620115</v>
      </c>
    </row>
    <row r="191" spans="2:27">
      <c r="B191" s="1">
        <v>278.25594022071277</v>
      </c>
      <c r="C191" s="1">
        <f t="shared" si="44"/>
        <v>1748.3336352302238</v>
      </c>
      <c r="D191" s="73" t="str">
        <f>IMDIV(COMPLEX((POWER(V48_Nom,2)/(V12_Min*Calculations!$B$28*np)),((Zo_Boost_Cout*Zo_Boost_Resr*POWER(V48_Nom,2))/(V12_Min*Calculations!$B$28*np))*C191),COMPLEX(1,((Zo_Boost_Cout*Zo_Boost_Resr)+((Zo_Boost_Cout*POWER(V48_Nom,2))/(V12_Min*Calculations!$B$28*np)))*C191))</f>
        <v>0,671328493408958-1,48372110646566i</v>
      </c>
      <c r="E191" s="1">
        <f t="shared" si="45"/>
        <v>4.2359157694105516</v>
      </c>
      <c r="F191" s="1">
        <f t="shared" si="46"/>
        <v>-65.65502094408447</v>
      </c>
      <c r="G191" s="1" t="str">
        <f>IMDIV(IMSUM(COMPLEX(V48_Nom,0),IMPRODUCT(COMPLEX(np*(Calculations!$B$28*(V12_Min/V48_Nom)),0),D191)),IMSUM(IMPRODUCT(COMPLEX(((V12_Min/V48_Nom)^2),0),D191),COMPLEX(Rcs/np,(Lm*C191)/np)))</f>
        <v>105,070343624798+104,36249892885i</v>
      </c>
      <c r="H191" s="1">
        <f t="shared" si="50"/>
        <v>43.410645398898055</v>
      </c>
      <c r="I191" s="1">
        <f t="shared" si="51"/>
        <v>44.806351483811255</v>
      </c>
      <c r="J191" s="73" t="str">
        <f>IMPRODUCT(COMPLEX(-1,0),IMDIV(IMSUM(IMSUB(IMPRODUCT(COMPLEX((1-(V12_Min/V48_Nom))*V48_Nom,0),D191),IMPRODUCT(COMPLEX(V48_Nom,0),D191)),IMPRODUCT(COMPLEX(0,Calculations!$B$28*Lm*C191),D191)),IMSUM(IMPRODUCT(COMPLEX(((V12_Min/V48_Nom)^2),0),D191),COMPLEX(Rcs/np,(Lm*C191)/np))))</f>
        <v>49,0754924071106-3,69806550015759i</v>
      </c>
      <c r="K191" s="1">
        <f t="shared" si="52"/>
        <v>33.841884196243292</v>
      </c>
      <c r="L191" s="1">
        <f t="shared" si="53"/>
        <v>-4.3093578580560825</v>
      </c>
      <c r="M191" s="1">
        <f t="shared" si="47"/>
        <v>2.6666666666666665</v>
      </c>
      <c r="N191" s="1">
        <f t="shared" si="48"/>
        <v>0.16</v>
      </c>
      <c r="O191" s="1" t="str">
        <f t="shared" si="49"/>
        <v>0,196133077435314-7,95541534198742i</v>
      </c>
      <c r="P191" s="1">
        <f t="shared" si="54"/>
        <v>18.015896103370565</v>
      </c>
      <c r="Q191" s="1">
        <f t="shared" si="55"/>
        <v>-88.587714017481332</v>
      </c>
      <c r="R191" s="1" t="str">
        <f t="shared" si="56"/>
        <v>1,35537687302837-1,56991108203357i</v>
      </c>
      <c r="S191" s="1">
        <f t="shared" si="57"/>
        <v>6.3363681541899499</v>
      </c>
      <c r="T191" s="1">
        <f t="shared" si="58"/>
        <v>-49.194437847334193</v>
      </c>
      <c r="U191" s="1" t="str">
        <f>IMPRODUCT(COMPLEX(-1,0),IMDIV(COMPLEX(1,C191*Calculations!$B$248*Calculations!$B$250),IMPRODUCT(COMPLEX(0,C191*Calculations!$B$237),COMPLEX((Calculations!$B$250+Calculations!$B$252),C191*Calculations!$B$248*Calculations!$B$250*Calculations!$B$252))))</f>
        <v>-2,77712068803299+2,39231482438419i</v>
      </c>
      <c r="V191" s="1">
        <f t="shared" si="59"/>
        <v>11.282560809372825</v>
      </c>
      <c r="W191" s="1">
        <f t="shared" si="60"/>
        <v>139.25716960477021</v>
      </c>
      <c r="X191" s="1">
        <f>Calculations!$B$216/(Calculations!$B$216+Calculations!$B$218)</f>
        <v>0.80079681274900394</v>
      </c>
      <c r="Y191" s="1" t="str">
        <f t="shared" si="61"/>
        <v>-0,00666551207401488+6,08791421028864i</v>
      </c>
      <c r="Z191" s="1">
        <f t="shared" si="62"/>
        <v>15.689375682351788</v>
      </c>
      <c r="AA191" s="1">
        <f t="shared" si="63"/>
        <v>90.062731757435998</v>
      </c>
    </row>
    <row r="192" spans="2:27">
      <c r="B192" s="1">
        <v>359.38136638046274</v>
      </c>
      <c r="C192" s="1">
        <f t="shared" si="44"/>
        <v>2258.0597209158473</v>
      </c>
      <c r="D192" s="73" t="str">
        <f>IMDIV(COMPLEX((POWER(V48_Nom,2)/(V12_Min*Calculations!$B$28*np)),((Zo_Boost_Cout*Zo_Boost_Resr*POWER(V48_Nom,2))/(V12_Min*Calculations!$B$28*np))*C192),COMPLEX(1,((Zo_Boost_Cout*Zo_Boost_Resr)+((Zo_Boost_Cout*POWER(V48_Nom,2))/(V12_Min*Calculations!$B$28*np)))*C192))</f>
        <v>0,43463775709643-1,23047809319772i</v>
      </c>
      <c r="E192" s="1">
        <f t="shared" si="45"/>
        <v>2.3121115873371507</v>
      </c>
      <c r="F192" s="1">
        <f t="shared" si="46"/>
        <v>-70.545417599097448</v>
      </c>
      <c r="G192" s="1" t="str">
        <f>IMDIV(IMSUM(COMPLEX(V48_Nom,0),IMPRODUCT(COMPLEX(np*(Calculations!$B$28*(V12_Min/V48_Nom)),0),D192)),IMSUM(IMPRODUCT(COMPLEX(((V12_Min/V48_Nom)^2),0),D192),COMPLEX(Rcs/np,(Lm*C192)/np)))</f>
        <v>112,948001290806+138,174897208614i</v>
      </c>
      <c r="H192" s="1">
        <f t="shared" si="50"/>
        <v>45.031033444274456</v>
      </c>
      <c r="I192" s="1">
        <f t="shared" si="51"/>
        <v>50.736481399928607</v>
      </c>
      <c r="J192" s="73" t="str">
        <f>IMPRODUCT(COMPLEX(-1,0),IMDIV(IMSUM(IMSUB(IMPRODUCT(COMPLEX((1-(V12_Min/V48_Nom))*V48_Nom,0),D192),IMPRODUCT(COMPLEX(V48_Nom,0),D192)),IMPRODUCT(COMPLEX(0,Calculations!$B$28*Lm*C192),D192)),IMSUM(IMPRODUCT(COMPLEX(((V12_Min/V48_Nom)^2),0),D192),COMPLEX(Rcs/np,(Lm*C192)/np))))</f>
        <v>50,3699088780425-5,02599213091399i</v>
      </c>
      <c r="K192" s="1">
        <f t="shared" si="52"/>
        <v>34.086449455779515</v>
      </c>
      <c r="L192" s="1">
        <f t="shared" si="53"/>
        <v>-5.6982056542885839</v>
      </c>
      <c r="M192" s="1">
        <f t="shared" si="47"/>
        <v>2.6666666666666665</v>
      </c>
      <c r="N192" s="1">
        <f t="shared" si="48"/>
        <v>0.16</v>
      </c>
      <c r="O192" s="1" t="str">
        <f t="shared" si="49"/>
        <v>0,196132782576417-6,15974137183955i</v>
      </c>
      <c r="P192" s="1">
        <f t="shared" si="54"/>
        <v>15.795650439243277</v>
      </c>
      <c r="Q192" s="1">
        <f t="shared" si="55"/>
        <v>-88.176256998340705</v>
      </c>
      <c r="R192" s="1" t="str">
        <f t="shared" si="56"/>
        <v>0,976573904287174-1,47593396430475i</v>
      </c>
      <c r="S192" s="1">
        <f t="shared" si="57"/>
        <v>4.9583252152626924</v>
      </c>
      <c r="T192" s="1">
        <f t="shared" si="58"/>
        <v>-56.508786823155823</v>
      </c>
      <c r="U192" s="1" t="str">
        <f>IMPRODUCT(COMPLEX(-1,0),IMDIV(COMPLEX(1,C192*Calculations!$B$248*Calculations!$B$250),IMPRODUCT(COMPLEX(0,C192*Calculations!$B$237),COMPLEX((Calculations!$B$250+Calculations!$B$252),C192*Calculations!$B$248*Calculations!$B$250*Calculations!$B$252))))</f>
        <v>-2,77686367217896+1,8691883337053i</v>
      </c>
      <c r="V192" s="1">
        <f t="shared" si="59"/>
        <v>10.494055384868128</v>
      </c>
      <c r="W192" s="1">
        <f t="shared" si="60"/>
        <v>146.0543472299901</v>
      </c>
      <c r="X192" s="1">
        <f>Calculations!$B$216/(Calculations!$B$216+Calculations!$B$218)</f>
        <v>0.80079681274900394</v>
      </c>
      <c r="Y192" s="1" t="str">
        <f t="shared" si="61"/>
        <v>0,0376261985113555+4,74381457903753i</v>
      </c>
      <c r="Z192" s="1">
        <f t="shared" si="62"/>
        <v>13.522827318919839</v>
      </c>
      <c r="AA192" s="1">
        <f t="shared" si="63"/>
        <v>89.545560406834269</v>
      </c>
    </row>
    <row r="193" spans="2:27">
      <c r="B193" s="1">
        <v>464.15888336127819</v>
      </c>
      <c r="C193" s="1">
        <f t="shared" si="44"/>
        <v>2916.3962761324665</v>
      </c>
      <c r="D193" s="73" t="str">
        <f>IMDIV(COMPLEX((POWER(V48_Nom,2)/(V12_Min*Calculations!$B$28*np)),((Zo_Boost_Cout*Zo_Boost_Resr*POWER(V48_Nom,2))/(V12_Min*Calculations!$B$28*np))*C193),COMPLEX(1,((Zo_Boost_Cout*Zo_Boost_Resr)+((Zo_Boost_Cout*POWER(V48_Nom,2))/(V12_Min*Calculations!$B$28*np)))*C193))</f>
        <v>0,275888853669073-0,99513442018468i</v>
      </c>
      <c r="E193" s="1">
        <f t="shared" si="45"/>
        <v>0.27923057952921965</v>
      </c>
      <c r="F193" s="1">
        <f t="shared" si="46"/>
        <v>-74.504616493931593</v>
      </c>
      <c r="G193" s="1" t="str">
        <f>IMDIV(IMSUM(COMPLEX(V48_Nom,0),IMPRODUCT(COMPLEX(np*(Calculations!$B$28*(V12_Min/V48_Nom)),0),D193)),IMSUM(IMPRODUCT(COMPLEX(((V12_Min/V48_Nom)^2),0),D193),COMPLEX(Rcs/np,(Lm*C193)/np)))</f>
        <v>127,765172432487+186,17894826042i</v>
      </c>
      <c r="H193" s="1">
        <f t="shared" si="50"/>
        <v>47.074555418176715</v>
      </c>
      <c r="I193" s="1">
        <f t="shared" si="51"/>
        <v>55.540165787580953</v>
      </c>
      <c r="J193" s="73" t="str">
        <f>IMPRODUCT(COMPLEX(-1,0),IMDIV(IMSUM(IMSUB(IMPRODUCT(COMPLEX((1-(V12_Min/V48_Nom))*V48_Nom,0),D193),IMPRODUCT(COMPLEX(V48_Nom,0),D193)),IMPRODUCT(COMPLEX(0,Calculations!$B$28*Lm*C193),D193)),IMSUM(IMPRODUCT(COMPLEX(((V12_Min/V48_Nom)^2),0),D193),COMPLEX(Rcs/np,(Lm*C193)/np))))</f>
        <v>52,6652283923455-7,08990453707421i</v>
      </c>
      <c r="K193" s="1">
        <f t="shared" si="52"/>
        <v>34.508482411597178</v>
      </c>
      <c r="L193" s="1">
        <f t="shared" si="53"/>
        <v>-7.6671831315679633</v>
      </c>
      <c r="M193" s="1">
        <f t="shared" si="47"/>
        <v>2.6666666666666665</v>
      </c>
      <c r="N193" s="1">
        <f t="shared" si="48"/>
        <v>0.16</v>
      </c>
      <c r="O193" s="1" t="str">
        <f t="shared" si="49"/>
        <v>0,196132290724108-4,76946060152564i</v>
      </c>
      <c r="P193" s="1">
        <f t="shared" si="54"/>
        <v>13.576723300905405</v>
      </c>
      <c r="Q193" s="1">
        <f t="shared" si="55"/>
        <v>-87.645179324358367</v>
      </c>
      <c r="R193" s="1" t="str">
        <f t="shared" si="56"/>
        <v>0,660285400750482-1,31131676161973i</v>
      </c>
      <c r="S193" s="1">
        <f t="shared" si="57"/>
        <v>3.3355376127962479</v>
      </c>
      <c r="T193" s="1">
        <f t="shared" si="58"/>
        <v>-63.273441324085162</v>
      </c>
      <c r="U193" s="1" t="str">
        <f>IMPRODUCT(COMPLEX(-1,0),IMDIV(COMPLEX(1,C193*Calculations!$B$248*Calculations!$B$250),IMPRODUCT(COMPLEX(0,C193*Calculations!$B$237),COMPLEX((Calculations!$B$250+Calculations!$B$252),C193*Calculations!$B$248*Calculations!$B$250*Calculations!$B$252))))</f>
        <v>-2,77643504974271+1,46907399400206i</v>
      </c>
      <c r="V193" s="1">
        <f t="shared" si="59"/>
        <v>9.9417500402248766</v>
      </c>
      <c r="W193" s="1">
        <f t="shared" si="60"/>
        <v>152.11568008107966</v>
      </c>
      <c r="X193" s="1">
        <f>Calculations!$B$216/(Calculations!$B$216+Calculations!$B$218)</f>
        <v>0.80079681274900394</v>
      </c>
      <c r="Y193" s="1" t="str">
        <f t="shared" si="61"/>
        <v>0,0746197067984715+3,69230908269608i</v>
      </c>
      <c r="Z193" s="1">
        <f t="shared" si="62"/>
        <v>11.347734371810144</v>
      </c>
      <c r="AA193" s="1">
        <f t="shared" si="63"/>
        <v>88.842238756994504</v>
      </c>
    </row>
    <row r="194" spans="2:27">
      <c r="B194" s="1">
        <v>599.48425031894124</v>
      </c>
      <c r="C194" s="1">
        <f t="shared" si="44"/>
        <v>3766.6706334895407</v>
      </c>
      <c r="D194" s="73" t="str">
        <f>IMDIV(COMPLEX((POWER(V48_Nom,2)/(V12_Min*Calculations!$B$28*np)),((Zo_Boost_Cout*Zo_Boost_Resr*POWER(V48_Nom,2))/(V12_Min*Calculations!$B$28*np))*C194),COMPLEX(1,((Zo_Boost_Cout*Zo_Boost_Resr)+((Zo_Boost_Cout*POWER(V48_Nom,2))/(V12_Min*Calculations!$B$28*np)))*C194))</f>
        <v>0,173757921866162-0,791626723134233i</v>
      </c>
      <c r="E194" s="1">
        <f t="shared" si="45"/>
        <v>-1.8252408700277802</v>
      </c>
      <c r="F194" s="1">
        <f t="shared" si="46"/>
        <v>-77.620195816638159</v>
      </c>
      <c r="G194" s="1" t="str">
        <f>IMDIV(IMSUM(COMPLEX(V48_Nom,0),IMPRODUCT(COMPLEX(np*(Calculations!$B$28*(V12_Min/V48_Nom)),0),D194)),IMSUM(IMPRODUCT(COMPLEX(((V12_Min/V48_Nom)^2),0),D194),COMPLEX(Rcs/np,(Lm*C194)/np)))</f>
        <v>158,23336982859+258,733420111372i</v>
      </c>
      <c r="H194" s="1">
        <f t="shared" si="50"/>
        <v>49.636970975745513</v>
      </c>
      <c r="I194" s="1">
        <f t="shared" si="51"/>
        <v>58.551331797197143</v>
      </c>
      <c r="J194" s="73" t="str">
        <f>IMPRODUCT(COMPLEX(-1,0),IMDIV(IMSUM(IMSUB(IMPRODUCT(COMPLEX((1-(V12_Min/V48_Nom))*V48_Nom,0),D194),IMPRODUCT(COMPLEX(V48_Nom,0),D194)),IMPRODUCT(COMPLEX(0,Calculations!$B$28*Lm*C194),D194)),IMSUM(IMPRODUCT(COMPLEX(((V12_Min/V48_Nom)^2),0),D194),COMPLEX(Rcs/np,(Lm*C194)/np))))</f>
        <v>56,9095612487318-10,7107842665488i</v>
      </c>
      <c r="K194" s="1">
        <f t="shared" si="52"/>
        <v>35.254878285744439</v>
      </c>
      <c r="L194" s="1">
        <f t="shared" si="53"/>
        <v>-10.658788921788343</v>
      </c>
      <c r="M194" s="1">
        <f t="shared" si="47"/>
        <v>2.6666666666666665</v>
      </c>
      <c r="N194" s="1">
        <f t="shared" si="48"/>
        <v>0.16</v>
      </c>
      <c r="O194" s="1" t="str">
        <f t="shared" si="49"/>
        <v>0,196131470270496-3,69307399840374i</v>
      </c>
      <c r="P194" s="1">
        <f t="shared" si="54"/>
        <v>11.359992015822725</v>
      </c>
      <c r="Q194" s="1">
        <f t="shared" si="55"/>
        <v>-86.9599963662817</v>
      </c>
      <c r="R194" s="1" t="str">
        <f t="shared" si="56"/>
        <v>0,421694617689984-1,11404010070115i</v>
      </c>
      <c r="S194" s="1">
        <f t="shared" si="57"/>
        <v>1.5195536875523477</v>
      </c>
      <c r="T194" s="1">
        <f t="shared" si="58"/>
        <v>-69.26697635687492</v>
      </c>
      <c r="U194" s="1" t="str">
        <f>IMPRODUCT(COMPLEX(-1,0),IMDIV(COMPLEX(1,C194*Calculations!$B$248*Calculations!$B$250),IMPRODUCT(COMPLEX(0,C194*Calculations!$B$237),COMPLEX((Calculations!$B$250+Calculations!$B$252),C194*Calculations!$B$248*Calculations!$B$250*Calculations!$B$252))))</f>
        <v>-2,77572035880624+1,16563272371658i</v>
      </c>
      <c r="V194" s="1">
        <f t="shared" si="59"/>
        <v>9.5728746523538035</v>
      </c>
      <c r="W194" s="1">
        <f t="shared" si="60"/>
        <v>157.22057421338948</v>
      </c>
      <c r="X194" s="1">
        <f>Calculations!$B$216/(Calculations!$B$216+Calculations!$B$218)</f>
        <v>0.80079681274900394</v>
      </c>
      <c r="Y194" s="1" t="str">
        <f t="shared" si="61"/>
        <v>0,102546245175789+2,86989948845141i</v>
      </c>
      <c r="Z194" s="1">
        <f t="shared" si="62"/>
        <v>9.1628750586951639</v>
      </c>
      <c r="AA194" s="1">
        <f t="shared" si="63"/>
        <v>87.953597856514577</v>
      </c>
    </row>
    <row r="195" spans="2:27">
      <c r="B195" s="1">
        <v>774.26368268112776</v>
      </c>
      <c r="C195" s="1">
        <f t="shared" si="44"/>
        <v>4864.8421949048197</v>
      </c>
      <c r="D195" s="73" t="str">
        <f>IMDIV(COMPLEX((POWER(V48_Nom,2)/(V12_Min*Calculations!$B$28*np)),((Zo_Boost_Cout*Zo_Boost_Resr*POWER(V48_Nom,2))/(V12_Min*Calculations!$B$28*np))*C195),COMPLEX(1,((Zo_Boost_Cout*Zo_Boost_Resr)+((Zo_Boost_Cout*POWER(V48_Nom,2))/(V12_Min*Calculations!$B$28*np)))*C195))</f>
        <v>0,109801493782918-0,623173037337237i</v>
      </c>
      <c r="E195" s="1">
        <f t="shared" si="45"/>
        <v>-3.9750484382972955</v>
      </c>
      <c r="F195" s="1">
        <f t="shared" si="46"/>
        <v>-80.007198497020738</v>
      </c>
      <c r="G195" s="1" t="str">
        <f>IMDIV(IMSUM(COMPLEX(V48_Nom,0),IMPRODUCT(COMPLEX(np*(Calculations!$B$28*(V12_Min/V48_Nom)),0),D195)),IMSUM(IMPRODUCT(COMPLEX(((V12_Min/V48_Nom)^2),0),D195),COMPLEX(Rcs/np,(Lm*C195)/np)))</f>
        <v>232,2875964422+379,888709577202i</v>
      </c>
      <c r="H195" s="1">
        <f t="shared" si="50"/>
        <v>52.972634882672168</v>
      </c>
      <c r="I195" s="1">
        <f t="shared" si="51"/>
        <v>58.555789347389101</v>
      </c>
      <c r="J195" s="73" t="str">
        <f>IMPRODUCT(COMPLEX(-1,0),IMDIV(IMSUM(IMSUB(IMPRODUCT(COMPLEX((1-(V12_Min/V48_Nom))*V48_Nom,0),D195),IMPRODUCT(COMPLEX(V48_Nom,0),D195)),IMPRODUCT(COMPLEX(0,Calculations!$B$28*Lm*C195),D195)),IMSUM(IMPRODUCT(COMPLEX(((V12_Min/V48_Nom)^2),0),D195),COMPLEX(Rcs/np,(Lm*C195)/np))))</f>
        <v>65,3003213190605-18,5234951395199i</v>
      </c>
      <c r="K195" s="1">
        <f t="shared" si="52"/>
        <v>36.634419518310494</v>
      </c>
      <c r="L195" s="1">
        <f t="shared" si="53"/>
        <v>-15.836847909508982</v>
      </c>
      <c r="M195" s="1">
        <f t="shared" si="47"/>
        <v>2.6666666666666665</v>
      </c>
      <c r="N195" s="1">
        <f t="shared" si="48"/>
        <v>0.16</v>
      </c>
      <c r="O195" s="1" t="str">
        <f t="shared" si="49"/>
        <v>0,196130101686659-2,85974095474635i</v>
      </c>
      <c r="P195" s="1">
        <f t="shared" si="54"/>
        <v>9.1469137059241259</v>
      </c>
      <c r="Q195" s="1">
        <f t="shared" si="55"/>
        <v>-86.076617491612552</v>
      </c>
      <c r="R195" s="1" t="str">
        <f t="shared" si="56"/>
        <v>0,255132588306313-0,916323957585454i</v>
      </c>
      <c r="S195" s="1">
        <f t="shared" si="57"/>
        <v>-0.43475136586836877</v>
      </c>
      <c r="T195" s="1">
        <f t="shared" si="58"/>
        <v>-74.441172640017967</v>
      </c>
      <c r="U195" s="1" t="str">
        <f>IMPRODUCT(COMPLEX(-1,0),IMDIV(COMPLEX(1,C195*Calculations!$B$248*Calculations!$B$250),IMPRODUCT(COMPLEX(0,C195*Calculations!$B$237),COMPLEX((Calculations!$B$250+Calculations!$B$252),C195*Calculations!$B$248*Calculations!$B$250*Calculations!$B$252))))</f>
        <v>-2,77452900091147+0,938880657208505i</v>
      </c>
      <c r="V195" s="1">
        <f t="shared" si="59"/>
        <v>9.3346238684448437</v>
      </c>
      <c r="W195" s="1">
        <f t="shared" si="60"/>
        <v>161.30455052572194</v>
      </c>
      <c r="X195" s="1">
        <f>Calculations!$B$216/(Calculations!$B$216+Calculations!$B$218)</f>
        <v>0.80079681274900394</v>
      </c>
      <c r="Y195" s="1" t="str">
        <f t="shared" si="61"/>
        <v>0,122078330319648+2,22774181591142i</v>
      </c>
      <c r="Z195" s="1">
        <f t="shared" si="62"/>
        <v>6.9703192213655027</v>
      </c>
      <c r="AA195" s="1">
        <f t="shared" si="63"/>
        <v>86.863377885703997</v>
      </c>
    </row>
    <row r="196" spans="2:27">
      <c r="B196" s="1">
        <v>1000</v>
      </c>
      <c r="C196" s="1">
        <f t="shared" si="44"/>
        <v>6283.1853071795858</v>
      </c>
      <c r="D196" s="73" t="str">
        <f>IMDIV(COMPLEX((POWER(V48_Nom,2)/(V12_Min*Calculations!$B$28*np)),((Zo_Boost_Cout*Zo_Boost_Resr*POWER(V48_Nom,2))/(V12_Min*Calculations!$B$28*np))*C196),COMPLEX(1,((Zo_Boost_Cout*Zo_Boost_Resr)+((Zo_Boost_Cout*POWER(V48_Nom,2))/(V12_Min*Calculations!$B$28*np)))*C196))</f>
        <v>0,0704251763234034-0,487384084661467i</v>
      </c>
      <c r="E196" s="1">
        <f t="shared" si="45"/>
        <v>-6.1528297134234622</v>
      </c>
      <c r="F196" s="1">
        <f t="shared" si="46"/>
        <v>-81.777882761660095</v>
      </c>
      <c r="G196" s="1" t="str">
        <f>IMDIV(IMSUM(COMPLEX(V48_Nom,0),IMPRODUCT(COMPLEX(np*(Calculations!$B$28*(V12_Min/V48_Nom)),0),D196)),IMSUM(IMPRODUCT(COMPLEX(((V12_Min/V48_Nom)^2),0),D196),COMPLEX(Rcs/np,(Lm*C196)/np)))</f>
        <v>483,984430084593+603,475002597586i</v>
      </c>
      <c r="H196" s="1">
        <f t="shared" si="50"/>
        <v>57.770082823196027</v>
      </c>
      <c r="I196" s="1">
        <f t="shared" si="51"/>
        <v>51.270532700322228</v>
      </c>
      <c r="J196" s="73" t="str">
        <f>IMPRODUCT(COMPLEX(-1,0),IMDIV(IMSUM(IMSUB(IMPRODUCT(COMPLEX((1-(V12_Min/V48_Nom))*V48_Nom,0),D196),IMPRODUCT(COMPLEX(V48_Nom,0),D196)),IMPRODUCT(COMPLEX(0,Calculations!$B$28*Lm*C196),D196)),IMSUM(IMPRODUCT(COMPLEX(((V12_Min/V48_Nom)^2),0),D196),COMPLEX(Rcs/np,(Lm*C196)/np))))</f>
        <v>82,5687174459293-43,0951345659713i</v>
      </c>
      <c r="K196" s="1">
        <f t="shared" si="52"/>
        <v>39.382586559497284</v>
      </c>
      <c r="L196" s="1">
        <f t="shared" si="53"/>
        <v>-27.561430897884783</v>
      </c>
      <c r="M196" s="1">
        <f t="shared" si="47"/>
        <v>2.6666666666666665</v>
      </c>
      <c r="N196" s="1">
        <f t="shared" si="48"/>
        <v>0.16</v>
      </c>
      <c r="O196" s="1" t="str">
        <f t="shared" si="49"/>
        <v>0,196127818793729-2,21461702898019i</v>
      </c>
      <c r="P196" s="1">
        <f t="shared" si="54"/>
        <v>6.9399014535809576</v>
      </c>
      <c r="Q196" s="1">
        <f t="shared" si="55"/>
        <v>-84.939054641303841</v>
      </c>
      <c r="R196" s="1" t="str">
        <f t="shared" si="56"/>
        <v>0,145027419750664-0,737521074951739i</v>
      </c>
      <c r="S196" s="1">
        <f t="shared" si="57"/>
        <v>-2.4797439092314359</v>
      </c>
      <c r="T196" s="1">
        <f t="shared" si="58"/>
        <v>-78.875200602494573</v>
      </c>
      <c r="U196" s="1" t="str">
        <f>IMPRODUCT(COMPLEX(-1,0),IMDIV(COMPLEX(1,C196*Calculations!$B$248*Calculations!$B$250),IMPRODUCT(COMPLEX(0,C196*Calculations!$B$237),COMPLEX((Calculations!$B$250+Calculations!$B$252),C196*Calculations!$B$248*Calculations!$B$250*Calculations!$B$252))))</f>
        <v>-2,77254397033432+0,773865710370343i</v>
      </c>
      <c r="V196" s="1">
        <f t="shared" si="59"/>
        <v>9.1833802113672398</v>
      </c>
      <c r="W196" s="1">
        <f t="shared" si="60"/>
        <v>164.40464858564076</v>
      </c>
      <c r="X196" s="1">
        <f>Calculations!$B$216/(Calculations!$B$216+Calculations!$B$218)</f>
        <v>0.80079681274900394</v>
      </c>
      <c r="Y196" s="1" t="str">
        <f t="shared" si="61"/>
        <v>0,135052278310652+1,7273518433014i</v>
      </c>
      <c r="Z196" s="1">
        <f t="shared" si="62"/>
        <v>4.7740830209248122</v>
      </c>
      <c r="AA196" s="1">
        <f t="shared" si="63"/>
        <v>85.529447983146156</v>
      </c>
    </row>
    <row r="197" spans="2:27">
      <c r="B197" s="1">
        <v>1291.5496650148843</v>
      </c>
      <c r="C197" s="1">
        <f t="shared" si="44"/>
        <v>8115.0458787142379</v>
      </c>
      <c r="D197" s="73" t="str">
        <f>IMDIV(COMPLEX((POWER(V48_Nom,2)/(V12_Min*Calculations!$B$28*np)),((Zo_Boost_Cout*Zo_Boost_Resr*POWER(V48_Nom,2))/(V12_Min*Calculations!$B$28*np))*C197),COMPLEX(1,((Zo_Boost_Cout*Zo_Boost_Resr)+((Zo_Boost_Cout*POWER(V48_Nom,2))/(V12_Min*Calculations!$B$28*np)))*C197))</f>
        <v>0,0464351913960911-0,379667595584548i</v>
      </c>
      <c r="E197" s="1">
        <f t="shared" si="45"/>
        <v>-8.3474466039846895</v>
      </c>
      <c r="F197" s="1">
        <f t="shared" si="46"/>
        <v>-83.027078306105537</v>
      </c>
      <c r="G197" s="1" t="str">
        <f>IMDIV(IMSUM(COMPLEX(V48_Nom,0),IMPRODUCT(COMPLEX(np*(Calculations!$B$28*(V12_Min/V48_Nom)),0),D197)),IMSUM(IMPRODUCT(COMPLEX(((V12_Min/V48_Nom)^2),0),D197),COMPLEX(Rcs/np,(Lm*C197)/np)))</f>
        <v>1685,24499327618+279,010365253185i</v>
      </c>
      <c r="H197" s="1">
        <f t="shared" si="50"/>
        <v>64.650700276399789</v>
      </c>
      <c r="I197" s="1">
        <f t="shared" si="51"/>
        <v>9.4006573882688489</v>
      </c>
      <c r="J197" s="73" t="str">
        <f>IMPRODUCT(COMPLEX(-1,0),IMDIV(IMSUM(IMSUB(IMPRODUCT(COMPLEX((1-(V12_Min/V48_Nom))*V48_Nom,0),D197),IMPRODUCT(COMPLEX(V48_Nom,0),D197)),IMPRODUCT(COMPLEX(0,Calculations!$B$28*Lm*C197),D197)),IMSUM(IMPRODUCT(COMPLEX(((V12_Min/V48_Nom)^2),0),D197),COMPLEX(Rcs/np,(Lm*C197)/np))))</f>
        <v>46,4417221831257-154,552606779483i</v>
      </c>
      <c r="K197" s="1">
        <f t="shared" si="52"/>
        <v>44.156967111400107</v>
      </c>
      <c r="L197" s="1">
        <f t="shared" si="53"/>
        <v>-73.274931232266837</v>
      </c>
      <c r="M197" s="1">
        <f t="shared" si="47"/>
        <v>2.6666666666666665</v>
      </c>
      <c r="N197" s="1">
        <f t="shared" si="48"/>
        <v>0.16</v>
      </c>
      <c r="O197" s="1" t="str">
        <f t="shared" si="49"/>
        <v>0,196124010817067-1,71524444677084i</v>
      </c>
      <c r="P197" s="1">
        <f t="shared" si="54"/>
        <v>4.7429322645100083</v>
      </c>
      <c r="Q197" s="1">
        <f t="shared" si="55"/>
        <v>-83.477030401026994</v>
      </c>
      <c r="R197" s="1" t="str">
        <f t="shared" si="56"/>
        <v>0,0748127523882538-0,585575347911572i</v>
      </c>
      <c r="S197" s="1">
        <f t="shared" si="57"/>
        <v>-4.5780290517650712</v>
      </c>
      <c r="T197" s="1">
        <f t="shared" si="58"/>
        <v>-82.719367509606528</v>
      </c>
      <c r="U197" s="1" t="str">
        <f>IMPRODUCT(COMPLEX(-1,0),IMDIV(COMPLEX(1,C197*Calculations!$B$248*Calculations!$B$250),IMPRODUCT(COMPLEX(0,C197*Calculations!$B$237),COMPLEX((Calculations!$B$250+Calculations!$B$252),C197*Calculations!$B$248*Calculations!$B$250*Calculations!$B$252))))</f>
        <v>-2,76923905299131+0,659665905778596i</v>
      </c>
      <c r="V197" s="1">
        <f t="shared" si="59"/>
        <v>9.0869107434624734</v>
      </c>
      <c r="W197" s="1">
        <f t="shared" si="60"/>
        <v>166.60117267398354</v>
      </c>
      <c r="X197" s="1">
        <f>Calculations!$B$216/(Calculations!$B$216+Calculations!$B$218)</f>
        <v>0.80079681274900394</v>
      </c>
      <c r="Y197" s="1" t="str">
        <f t="shared" si="61"/>
        <v>0,143430474254911+1,33809106907853i</v>
      </c>
      <c r="Z197" s="1">
        <f t="shared" si="62"/>
        <v>2.5793284104864216</v>
      </c>
      <c r="AA197" s="1">
        <f t="shared" si="63"/>
        <v>83.881805164377027</v>
      </c>
    </row>
    <row r="198" spans="2:27">
      <c r="B198" s="1">
        <v>1668.1005372000604</v>
      </c>
      <c r="C198" s="1">
        <f t="shared" si="44"/>
        <v>10480.984786233794</v>
      </c>
      <c r="D198" s="73" t="str">
        <f>IMDIV(COMPLEX((POWER(V48_Nom,2)/(V12_Min*Calculations!$B$28*np)),((Zo_Boost_Cout*Zo_Boost_Resr*POWER(V48_Nom,2))/(V12_Min*Calculations!$B$28*np))*C198),COMPLEX(1,((Zo_Boost_Cout*Zo_Boost_Resr)+((Zo_Boost_Cout*POWER(V48_Nom,2))/(V12_Min*Calculations!$B$28*np)))*C198))</f>
        <v>0,0319126234558246-0,295042639832692i</v>
      </c>
      <c r="E198" s="1">
        <f t="shared" si="45"/>
        <v>-10.551790314471434</v>
      </c>
      <c r="F198" s="1">
        <f t="shared" si="46"/>
        <v>-83.826730309229319</v>
      </c>
      <c r="G198" s="1" t="str">
        <f>IMDIV(IMSUM(COMPLEX(V48_Nom,0),IMPRODUCT(COMPLEX(np*(Calculations!$B$28*(V12_Min/V48_Nom)),0),D198)),IMSUM(IMPRODUCT(COMPLEX(((V12_Min/V48_Nom)^2),0),D198),COMPLEX(Rcs/np,(Lm*C198)/np)))</f>
        <v>479,118356507332-935,60378242151i</v>
      </c>
      <c r="H198" s="1">
        <f t="shared" si="50"/>
        <v>60.433264471397401</v>
      </c>
      <c r="I198" s="1">
        <f t="shared" si="51"/>
        <v>-62.883224779983053</v>
      </c>
      <c r="J198" s="73" t="str">
        <f>IMPRODUCT(COMPLEX(-1,0),IMDIV(IMSUM(IMSUB(IMPRODUCT(COMPLEX((1-(V12_Min/V48_Nom))*V48_Nom,0),D198),IMPRODUCT(COMPLEX(V48_Nom,0),D198)),IMPRODUCT(COMPLEX(0,Calculations!$B$28*Lm*C198),D198)),IMSUM(IMPRODUCT(COMPLEX(((V12_Min/V48_Nom)^2),0),D198),COMPLEX(Rcs/np,(Lm*C198)/np))))</f>
        <v>-66,5510131972388-40,0151161512154i</v>
      </c>
      <c r="K198" s="1">
        <f t="shared" si="52"/>
        <v>37.803350925106372</v>
      </c>
      <c r="L198" s="1">
        <f t="shared" si="53"/>
        <v>-148.9827766035223</v>
      </c>
      <c r="M198" s="1">
        <f t="shared" si="47"/>
        <v>2.6666666666666665</v>
      </c>
      <c r="N198" s="1">
        <f t="shared" si="48"/>
        <v>0.16</v>
      </c>
      <c r="O198" s="1" t="str">
        <f t="shared" si="49"/>
        <v>0,196117659058202-1,32875780712981i</v>
      </c>
      <c r="P198" s="1">
        <f t="shared" si="54"/>
        <v>2.5625084403326532</v>
      </c>
      <c r="Q198" s="1">
        <f t="shared" si="55"/>
        <v>-81.604060609090084</v>
      </c>
      <c r="R198" s="1" t="str">
        <f t="shared" si="56"/>
        <v>0,0310050875345993-0,461309784772309i</v>
      </c>
      <c r="S198" s="1">
        <f t="shared" si="57"/>
        <v>-6.700572389706025</v>
      </c>
      <c r="T198" s="1">
        <f t="shared" si="58"/>
        <v>-86.154876833092544</v>
      </c>
      <c r="U198" s="1" t="str">
        <f>IMPRODUCT(COMPLEX(-1,0),IMDIV(COMPLEX(1,C198*Calculations!$B$248*Calculations!$B$250),IMPRODUCT(COMPLEX(0,C198*Calculations!$B$237),COMPLEX((Calculations!$B$250+Calculations!$B$252),C198*Calculations!$B$248*Calculations!$B$250*Calculations!$B$252))))</f>
        <v>-2,7637436172434+0,588632943838188i</v>
      </c>
      <c r="V198" s="1">
        <f t="shared" si="59"/>
        <v>9.0226227622540449</v>
      </c>
      <c r="W198" s="1">
        <f t="shared" si="60"/>
        <v>167.97657477593222</v>
      </c>
      <c r="X198" s="1">
        <f>Calculations!$B$216/(Calculations!$B$216+Calculations!$B$218)</f>
        <v>0.80079681274900394</v>
      </c>
      <c r="Y198" s="1" t="str">
        <f t="shared" si="61"/>
        <v>0,148829708346887+1,03558450369066i</v>
      </c>
      <c r="Z198" s="1">
        <f t="shared" si="62"/>
        <v>0.39249709133704602</v>
      </c>
      <c r="AA198" s="1">
        <f t="shared" si="63"/>
        <v>81.821697942839734</v>
      </c>
    </row>
    <row r="199" spans="2:27">
      <c r="B199" s="1">
        <v>2154.4346900318833</v>
      </c>
      <c r="C199" s="1">
        <f t="shared" si="44"/>
        <v>13536.712389686336</v>
      </c>
      <c r="D199" s="73" t="str">
        <f>IMDIV(COMPLEX((POWER(V48_Nom,2)/(V12_Min*Calculations!$B$28*np)),((Zo_Boost_Cout*Zo_Boost_Resr*POWER(V48_Nom,2))/(V12_Min*Calculations!$B$28*np))*C199),COMPLEX(1,((Zo_Boost_Cout*Zo_Boost_Resr)+((Zo_Boost_Cout*POWER(V48_Nom,2))/(V12_Min*Calculations!$B$28*np)))*C199))</f>
        <v>0,0231553086269341-0,228944955089036i</v>
      </c>
      <c r="E199" s="1">
        <f t="shared" si="45"/>
        <v>-12.761179536029141</v>
      </c>
      <c r="F199" s="1">
        <f t="shared" si="46"/>
        <v>-84.224789318747838</v>
      </c>
      <c r="G199" s="1" t="str">
        <f>IMDIV(IMSUM(COMPLEX(V48_Nom,0),IMPRODUCT(COMPLEX(np*(Calculations!$B$28*(V12_Min/V48_Nom)),0),D199)),IMSUM(IMPRODUCT(COMPLEX(((V12_Min/V48_Nom)^2),0),D199),COMPLEX(Rcs/np,(Lm*C199)/np)))</f>
        <v>96,2623454433353-519,112946316141i</v>
      </c>
      <c r="H199" s="1">
        <f t="shared" si="50"/>
        <v>54.452066032452166</v>
      </c>
      <c r="I199" s="1">
        <f t="shared" si="51"/>
        <v>-79.494616963130355</v>
      </c>
      <c r="J199" s="73" t="str">
        <f>IMPRODUCT(COMPLEX(-1,0),IMDIV(IMSUM(IMSUB(IMPRODUCT(COMPLEX((1-(V12_Min/V48_Nom))*V48_Nom,0),D199),IMPRODUCT(COMPLEX(V48_Nom,0),D199)),IMPRODUCT(COMPLEX(0,Calculations!$B$28*Lm*C199),D199)),IMSUM(IMPRODUCT(COMPLEX(((V12_Min/V48_Nom)^2),0),D199),COMPLEX(Rcs/np,(Lm*C199)/np))))</f>
        <v>-29,8873022338366-5,92873266102432i</v>
      </c>
      <c r="K199" s="1">
        <f t="shared" si="52"/>
        <v>29.677354619404589</v>
      </c>
      <c r="L199" s="1">
        <f t="shared" si="53"/>
        <v>-168.77991690640425</v>
      </c>
      <c r="M199" s="1">
        <f t="shared" si="47"/>
        <v>2.6666666666666665</v>
      </c>
      <c r="N199" s="1">
        <f t="shared" si="48"/>
        <v>0.16</v>
      </c>
      <c r="O199" s="1" t="str">
        <f t="shared" si="49"/>
        <v>0,196107064601325-1,02972108822935i</v>
      </c>
      <c r="P199" s="1">
        <f t="shared" si="54"/>
        <v>0.40912129298675126</v>
      </c>
      <c r="Q199" s="1">
        <f t="shared" si="55"/>
        <v>-79.217328291597127</v>
      </c>
      <c r="R199" s="1" t="str">
        <f t="shared" si="56"/>
        <v>0,00395805688316184-0,362105491159692i</v>
      </c>
      <c r="S199" s="1">
        <f t="shared" si="57"/>
        <v>-8.8227789228136579</v>
      </c>
      <c r="T199" s="1">
        <f t="shared" si="58"/>
        <v>-89.373743484148989</v>
      </c>
      <c r="U199" s="1" t="str">
        <f>IMPRODUCT(COMPLEX(-1,0),IMDIV(COMPLEX(1,C199*Calculations!$B$248*Calculations!$B$250),IMPRODUCT(COMPLEX(0,C199*Calculations!$B$237),COMPLEX((Calculations!$B$250+Calculations!$B$252),C199*Calculations!$B$248*Calculations!$B$250*Calculations!$B$252))))</f>
        <v>-2,75462505425645+0,555809084882922i</v>
      </c>
      <c r="V199" s="1">
        <f t="shared" si="59"/>
        <v>8.9745569962667844</v>
      </c>
      <c r="W199" s="1">
        <f t="shared" si="60"/>
        <v>168.59242015355323</v>
      </c>
      <c r="X199" s="1">
        <f>Calculations!$B$216/(Calculations!$B$216+Calculations!$B$218)</f>
        <v>0.80079681274900394</v>
      </c>
      <c r="Y199" s="1" t="str">
        <f t="shared" si="61"/>
        <v>0,152438527339522+0,800528371408369i</v>
      </c>
      <c r="Z199" s="1">
        <f t="shared" si="62"/>
        <v>-1.777775207757851</v>
      </c>
      <c r="AA199" s="1">
        <f t="shared" si="63"/>
        <v>79.218676669404246</v>
      </c>
    </row>
    <row r="200" spans="2:27">
      <c r="B200" s="1">
        <v>2782.5594022071282</v>
      </c>
      <c r="C200" s="1">
        <f t="shared" si="44"/>
        <v>17483.336352302242</v>
      </c>
      <c r="D200" s="73" t="str">
        <f>IMDIV(COMPLEX((POWER(V48_Nom,2)/(V12_Min*Calculations!$B$28*np)),((Zo_Boost_Cout*Zo_Boost_Resr*POWER(V48_Nom,2))/(V12_Min*Calculations!$B$28*np))*C200),COMPLEX(1,((Zo_Boost_Cout*Zo_Boost_Resr)+((Zo_Boost_Cout*POWER(V48_Nom,2))/(V12_Min*Calculations!$B$28*np)))*C200))</f>
        <v>0,0178868799255224-0,177498598852104i</v>
      </c>
      <c r="E200" s="1">
        <f t="shared" si="45"/>
        <v>-14.972221299429558</v>
      </c>
      <c r="F200" s="1">
        <f t="shared" si="46"/>
        <v>-84.245618657389471</v>
      </c>
      <c r="G200" s="1" t="str">
        <f>IMDIV(IMSUM(COMPLEX(V48_Nom,0),IMPRODUCT(COMPLEX(np*(Calculations!$B$28*(V12_Min/V48_Nom)),0),D200)),IMSUM(IMPRODUCT(COMPLEX(((V12_Min/V48_Nom)^2),0),D200),COMPLEX(Rcs/np,(Lm*C200)/np)))</f>
        <v>31,9199619768972-329,267610244857i</v>
      </c>
      <c r="H200" s="1">
        <f t="shared" si="50"/>
        <v>50.391603819059902</v>
      </c>
      <c r="I200" s="1">
        <f t="shared" si="51"/>
        <v>-84.462917144012053</v>
      </c>
      <c r="J200" s="73" t="str">
        <f>IMPRODUCT(COMPLEX(-1,0),IMDIV(IMSUM(IMSUB(IMPRODUCT(COMPLEX((1-(V12_Min/V48_Nom))*V48_Nom,0),D200),IMPRODUCT(COMPLEX(V48_Nom,0),D200)),IMPRODUCT(COMPLEX(0,Calculations!$B$28*Lm*C200),D200)),IMSUM(IMPRODUCT(COMPLEX(((V12_Min/V48_Nom)^2),0),D200),COMPLEX(Rcs/np,(Lm*C200)/np))))</f>
        <v>-14,911026315018-0,814933765516032i</v>
      </c>
      <c r="K200" s="1">
        <f t="shared" si="52"/>
        <v>23.483103604596387</v>
      </c>
      <c r="L200" s="1">
        <f t="shared" si="53"/>
        <v>-176.87172041844107</v>
      </c>
      <c r="M200" s="1">
        <f t="shared" si="47"/>
        <v>2.6666666666666665</v>
      </c>
      <c r="N200" s="1">
        <f t="shared" si="48"/>
        <v>0.16</v>
      </c>
      <c r="O200" s="1" t="str">
        <f t="shared" si="49"/>
        <v>0,196089394529098-0,798453591547553i</v>
      </c>
      <c r="P200" s="1">
        <f t="shared" si="54"/>
        <v>-1.7006667455819138</v>
      </c>
      <c r="Q200" s="1">
        <f t="shared" si="55"/>
        <v>-76.202004423360705</v>
      </c>
      <c r="R200" s="1" t="str">
        <f t="shared" si="56"/>
        <v>-0,0127724251233901-0,284158522726614i</v>
      </c>
      <c r="S200" s="1">
        <f t="shared" si="57"/>
        <v>-10.920020882154098</v>
      </c>
      <c r="T200" s="1">
        <f t="shared" si="58"/>
        <v>-92.573612115838998</v>
      </c>
      <c r="U200" s="1" t="str">
        <f>IMPRODUCT(COMPLEX(-1,0),IMDIV(COMPLEX(1,C200*Calculations!$B$248*Calculations!$B$250),IMPRODUCT(COMPLEX(0,C200*Calculations!$B$237),COMPLEX((Calculations!$B$250+Calculations!$B$252),C200*Calculations!$B$248*Calculations!$B$250*Calculations!$B$252))))</f>
        <v>-2,73954754119315+0,558433566400824i</v>
      </c>
      <c r="V200" s="1">
        <f t="shared" si="59"/>
        <v>8.9303837736141354</v>
      </c>
      <c r="W200" s="1">
        <f t="shared" si="60"/>
        <v>168.47858669910863</v>
      </c>
      <c r="X200" s="1">
        <f>Calculations!$B$216/(Calculations!$B$216+Calculations!$B$218)</f>
        <v>0.80079681274900394</v>
      </c>
      <c r="Y200" s="1" t="str">
        <f t="shared" si="61"/>
        <v>0,155093780658826+0,61768119321768i</v>
      </c>
      <c r="Z200" s="1">
        <f t="shared" si="62"/>
        <v>-3.9191903897509488</v>
      </c>
      <c r="AA200" s="1">
        <f t="shared" si="63"/>
        <v>75.904974583269578</v>
      </c>
    </row>
    <row r="201" spans="2:27">
      <c r="B201" s="1">
        <v>3593.813663804628</v>
      </c>
      <c r="C201" s="1">
        <f t="shared" ref="C201:C228" si="64">2*PI()*B201</f>
        <v>22580.597209158477</v>
      </c>
      <c r="D201" s="73" t="str">
        <f>IMDIV(COMPLEX((POWER(V48_Nom,2)/(V12_Min*Calculations!$B$28*np)),((Zo_Boost_Cout*Zo_Boost_Resr*POWER(V48_Nom,2))/(V12_Min*Calculations!$B$28*np))*C201),COMPLEX(1,((Zo_Boost_Cout*Zo_Boost_Resr)+((Zo_Boost_Cout*POWER(V48_Nom,2))/(V12_Min*Calculations!$B$28*np)))*C201))</f>
        <v>0,014721842184544-0,137539950624981i</v>
      </c>
      <c r="E201" s="1">
        <f t="shared" ref="E201:E228" si="65">20*LOG(IMABS(D201))</f>
        <v>-17.18194896427644</v>
      </c>
      <c r="F201" s="1">
        <f t="shared" ref="F201:F223" si="66">IMARGUMENT(D201)*(180/PI())</f>
        <v>-83.890501692252855</v>
      </c>
      <c r="G201" s="1" t="str">
        <f>IMDIV(IMSUM(COMPLEX(V48_Nom,0),IMPRODUCT(COMPLEX(np*(Calculations!$B$28*(V12_Min/V48_Nom)),0),D201)),IMSUM(IMPRODUCT(COMPLEX(((V12_Min/V48_Nom)^2),0),D201),COMPLEX(Rcs/np,(Lm*C201)/np)))</f>
        <v>13,606671031382-228,69785831471i</v>
      </c>
      <c r="H201" s="1">
        <f t="shared" si="50"/>
        <v>47.200587992961346</v>
      </c>
      <c r="I201" s="1">
        <f t="shared" si="51"/>
        <v>-86.595128199533178</v>
      </c>
      <c r="J201" s="73" t="str">
        <f>IMPRODUCT(COMPLEX(-1,0),IMDIV(IMSUM(IMSUB(IMPRODUCT(COMPLEX((1-(V12_Min/V48_Nom))*V48_Nom,0),D201),IMPRODUCT(COMPLEX(V48_Nom,0),D201)),IMPRODUCT(COMPLEX(0,Calculations!$B$28*Lm*C201),D201)),IMSUM(IMPRODUCT(COMPLEX(((V12_Min/V48_Nom)^2),0),D201),COMPLEX(Rcs/np,(Lm*C201)/np))))</f>
        <v>-8,11405660549851+0,315786488408848i</v>
      </c>
      <c r="K201" s="1">
        <f t="shared" si="52"/>
        <v>18.191333707820508</v>
      </c>
      <c r="L201" s="1">
        <f t="shared" si="53"/>
        <v>177.77126199138775</v>
      </c>
      <c r="M201" s="1">
        <f t="shared" ref="M201:M228" si="67">1/(Kff*V48_Nom)</f>
        <v>2.6666666666666665</v>
      </c>
      <c r="N201" s="1">
        <f t="shared" ref="N201:N228" si="68">Rcs*Acs/np</f>
        <v>0.16</v>
      </c>
      <c r="O201" s="1" t="str">
        <f t="shared" ref="O201:O228" si="69">IMPRODUCT(COMPLEX(gm/(IL_Comp_Ccomp+IL_Comp_Chf),0),IMDIV(COMPLEX(1,C201*IL_Comp_Rcomp*IL_Comp_Ccomp),IMPRODUCT(COMPLEX(0,C201),COMPLEX(1,C201*IL_Comp_Rcomp*IL_Comp_Chf))))</f>
        <v>0,196059926157169-0,619734633009713i</v>
      </c>
      <c r="P201" s="1">
        <f t="shared" si="54"/>
        <v>-3.7416248345585785</v>
      </c>
      <c r="Q201" s="1">
        <f t="shared" si="55"/>
        <v>-72.444655015974959</v>
      </c>
      <c r="R201" s="1" t="str">
        <f t="shared" si="56"/>
        <v>-0,023348152903592-0,223607187899288i</v>
      </c>
      <c r="S201" s="1">
        <f t="shared" si="57"/>
        <v>-12.96319129312409</v>
      </c>
      <c r="T201" s="1">
        <f t="shared" si="58"/>
        <v>-95.960991232034772</v>
      </c>
      <c r="U201" s="1" t="str">
        <f>IMPRODUCT(COMPLEX(-1,0),IMDIV(COMPLEX(1,C201*Calculations!$B$248*Calculations!$B$250),IMPRODUCT(COMPLEX(0,C201*Calculations!$B$237),COMPLEX((Calculations!$B$250+Calculations!$B$252),C201*Calculations!$B$248*Calculations!$B$250*Calculations!$B$252))))</f>
        <v>-2,71476071065222+0,59541628182028i</v>
      </c>
      <c r="V201" s="1">
        <f t="shared" si="59"/>
        <v>8.8786735634545835</v>
      </c>
      <c r="W201" s="1">
        <f t="shared" si="60"/>
        <v>167.62944793773258</v>
      </c>
      <c r="X201" s="1">
        <f>Calculations!$B$216/(Calculations!$B$216+Calculations!$B$218)</f>
        <v>0.80079681274900394</v>
      </c>
      <c r="Y201" s="1" t="str">
        <f t="shared" si="61"/>
        <v>0,157375799696523+0,47498313038158i</v>
      </c>
      <c r="Z201" s="1">
        <f t="shared" si="62"/>
        <v>-6.0140710108804987</v>
      </c>
      <c r="AA201" s="1">
        <f t="shared" si="63"/>
        <v>71.668456705697793</v>
      </c>
    </row>
    <row r="202" spans="2:27">
      <c r="B202" s="1">
        <v>4641.5888336127782</v>
      </c>
      <c r="C202" s="1">
        <f t="shared" si="64"/>
        <v>29163.962761324641</v>
      </c>
      <c r="D202" s="73" t="str">
        <f>IMDIV(COMPLEX((POWER(V48_Nom,2)/(V12_Min*Calculations!$B$28*np)),((Zo_Boost_Cout*Zo_Boost_Resr*POWER(V48_Nom,2))/(V12_Min*Calculations!$B$28*np))*C202),COMPLEX(1,((Zo_Boost_Cout*Zo_Boost_Resr)+((Zo_Boost_Cout*POWER(V48_Nom,2))/(V12_Min*Calculations!$B$28*np)))*C202))</f>
        <v>0,0128220386204579-0,106542954086634i</v>
      </c>
      <c r="E202" s="1">
        <f t="shared" si="65"/>
        <v>-19.387056698450952</v>
      </c>
      <c r="F202" s="1">
        <f t="shared" si="66"/>
        <v>-83.137673722436261</v>
      </c>
      <c r="G202" s="1" t="str">
        <f>IMDIV(IMSUM(COMPLEX(V48_Nom,0),IMPRODUCT(COMPLEX(np*(Calculations!$B$28*(V12_Min/V48_Nom)),0),D202)),IMSUM(IMPRODUCT(COMPLEX(((V12_Min/V48_Nom)^2),0),D202),COMPLEX(Rcs/np,(Lm*C202)/np)))</f>
        <v>6,66034728821174-166,562988267128i</v>
      </c>
      <c r="H202" s="1">
        <f t="shared" si="50"/>
        <v>44.438508711748327</v>
      </c>
      <c r="I202" s="1">
        <f t="shared" si="51"/>
        <v>-87.710135990879465</v>
      </c>
      <c r="J202" s="73" t="str">
        <f>IMPRODUCT(COMPLEX(-1,0),IMDIV(IMSUM(IMSUB(IMPRODUCT(COMPLEX((1-(V12_Min/V48_Nom))*V48_Nom,0),D202),IMPRODUCT(COMPLEX(V48_Nom,0),D202)),IMPRODUCT(COMPLEX(0,Calculations!$B$28*Lm*C202),D202)),IMSUM(IMPRODUCT(COMPLEX(((V12_Min/V48_Nom)^2),0),D202),COMPLEX(Rcs/np,(Lm*C202)/np))))</f>
        <v>-4,63910938644133+0,553987807940018i</v>
      </c>
      <c r="K202" s="1">
        <f t="shared" si="52"/>
        <v>13.390186881570303</v>
      </c>
      <c r="L202" s="1">
        <f t="shared" si="53"/>
        <v>173.19016685198471</v>
      </c>
      <c r="M202" s="1">
        <f t="shared" si="67"/>
        <v>2.6666666666666665</v>
      </c>
      <c r="N202" s="1">
        <f t="shared" si="68"/>
        <v>0.16</v>
      </c>
      <c r="O202" s="1" t="str">
        <f t="shared" si="69"/>
        <v>0,196010789655002-0,481801697872715i</v>
      </c>
      <c r="P202" s="1">
        <f t="shared" si="54"/>
        <v>-5.6774747634796814</v>
      </c>
      <c r="Q202" s="1">
        <f t="shared" si="55"/>
        <v>-67.862094163818597</v>
      </c>
      <c r="R202" s="1" t="str">
        <f t="shared" si="56"/>
        <v>-0,030431248575377-0,176982662259205i</v>
      </c>
      <c r="S202" s="1">
        <f t="shared" si="57"/>
        <v>-14.914847761995802</v>
      </c>
      <c r="T202" s="1">
        <f t="shared" si="58"/>
        <v>-99.756309424419754</v>
      </c>
      <c r="U202" s="1" t="str">
        <f>IMPRODUCT(COMPLEX(-1,0),IMDIV(COMPLEX(1,C202*Calculations!$B$248*Calculations!$B$250),IMPRODUCT(COMPLEX(0,C202*Calculations!$B$237),COMPLEX((Calculations!$B$250+Calculations!$B$252),C202*Calculations!$B$248*Calculations!$B$250*Calculations!$B$252))))</f>
        <v>-2,67439707593959+0,666577526216395i</v>
      </c>
      <c r="V202" s="1">
        <f t="shared" si="59"/>
        <v>8.8062642350517564</v>
      </c>
      <c r="W202" s="1">
        <f t="shared" si="60"/>
        <v>166.00452936488006</v>
      </c>
      <c r="X202" s="1">
        <f>Calculations!$B$216/(Calculations!$B$216+Calculations!$B$218)</f>
        <v>0.80079681274900394</v>
      </c>
      <c r="Y202" s="1" t="str">
        <f t="shared" si="61"/>
        <v>0,15964517684152+0,362790688193774i</v>
      </c>
      <c r="Z202" s="1">
        <f t="shared" si="62"/>
        <v>-8.0381368081550182</v>
      </c>
      <c r="AA202" s="1">
        <f t="shared" si="63"/>
        <v>66.248219940460288</v>
      </c>
    </row>
    <row r="203" spans="2:27">
      <c r="B203" s="1">
        <v>5994.8425031894185</v>
      </c>
      <c r="C203" s="1">
        <f t="shared" si="64"/>
        <v>37666.706334895447</v>
      </c>
      <c r="D203" s="73" t="str">
        <f>IMDIV(COMPLEX((POWER(V48_Nom,2)/(V12_Min*Calculations!$B$28*np)),((Zo_Boost_Cout*Zo_Boost_Resr*POWER(V48_Nom,2))/(V12_Min*Calculations!$B$28*np))*C203),COMPLEX(1,((Zo_Boost_Cout*Zo_Boost_Resr)+((Zo_Boost_Cout*POWER(V48_Nom,2))/(V12_Min*Calculations!$B$28*np)))*C203))</f>
        <v>0,0116822676634723-0,0825159211778781i</v>
      </c>
      <c r="E203" s="1">
        <f t="shared" si="65"/>
        <v>-21.583056996078231</v>
      </c>
      <c r="F203" s="1">
        <f t="shared" si="66"/>
        <v>-81.941850861834212</v>
      </c>
      <c r="G203" s="1" t="str">
        <f>IMDIV(IMSUM(COMPLEX(V48_Nom,0),IMPRODUCT(COMPLEX(np*(Calculations!$B$28*(V12_Min/V48_Nom)),0),D203)),IMSUM(IMPRODUCT(COMPLEX(((V12_Min/V48_Nom)^2),0),D203),COMPLEX(Rcs/np,(Lm*C203)/np)))</f>
        <v>3,53514572479009-124,486935749535i</v>
      </c>
      <c r="H203" s="1">
        <f t="shared" si="50"/>
        <v>41.905976410837354</v>
      </c>
      <c r="I203" s="1">
        <f t="shared" si="51"/>
        <v>-88.373367390923477</v>
      </c>
      <c r="J203" s="73" t="str">
        <f>IMPRODUCT(COMPLEX(-1,0),IMDIV(IMSUM(IMSUB(IMPRODUCT(COMPLEX((1-(V12_Min/V48_Nom))*V48_Nom,0),D203),IMPRODUCT(COMPLEX(V48_Nom,0),D203)),IMPRODUCT(COMPLEX(0,Calculations!$B$28*Lm*C203),D203)),IMSUM(IMPRODUCT(COMPLEX(((V12_Min/V48_Nom)^2),0),D203),COMPLEX(Rcs/np,(Lm*C203)/np))))</f>
        <v>-2,73854494776317+0,545892533390319i</v>
      </c>
      <c r="K203" s="1">
        <f t="shared" si="52"/>
        <v>8.9196246179679015</v>
      </c>
      <c r="L203" s="1">
        <f t="shared" si="53"/>
        <v>168.72661435340922</v>
      </c>
      <c r="M203" s="1">
        <f t="shared" si="67"/>
        <v>2.6666666666666665</v>
      </c>
      <c r="N203" s="1">
        <f t="shared" si="68"/>
        <v>0.16</v>
      </c>
      <c r="O203" s="1" t="str">
        <f t="shared" si="69"/>
        <v>0,195928879814448-0,375576050211407i</v>
      </c>
      <c r="P203" s="1">
        <f t="shared" si="54"/>
        <v>-7.4606743914787437</v>
      </c>
      <c r="Q203" s="1">
        <f t="shared" si="55"/>
        <v>-62.450047461606331</v>
      </c>
      <c r="R203" s="1" t="str">
        <f t="shared" si="56"/>
        <v>-0,0357329641366067-0,14131066278305i</v>
      </c>
      <c r="S203" s="1">
        <f t="shared" si="57"/>
        <v>-16.72732059488564</v>
      </c>
      <c r="T203" s="1">
        <f t="shared" si="58"/>
        <v>-104.19080437312667</v>
      </c>
      <c r="U203" s="1" t="str">
        <f>IMPRODUCT(COMPLEX(-1,0),IMDIV(COMPLEX(1,C203*Calculations!$B$248*Calculations!$B$250),IMPRODUCT(COMPLEX(0,C203*Calculations!$B$237),COMPLEX((Calculations!$B$250+Calculations!$B$252),C203*Calculations!$B$248*Calculations!$B$250*Calculations!$B$252))))</f>
        <v>-2,60967283018155+0,771330947897347i</v>
      </c>
      <c r="V203" s="1">
        <f t="shared" si="59"/>
        <v>8.695452206778528</v>
      </c>
      <c r="W203" s="1">
        <f t="shared" si="60"/>
        <v>163.53410434331394</v>
      </c>
      <c r="X203" s="1">
        <f>Calculations!$B$216/(Calculations!$B$216+Calculations!$B$218)</f>
        <v>0.80079681274900394</v>
      </c>
      <c r="Y203" s="1" t="str">
        <f t="shared" si="61"/>
        <v>0,161960060786626+0,273242007539528i</v>
      </c>
      <c r="Z203" s="1">
        <f t="shared" si="62"/>
        <v>-9.9614216693180904</v>
      </c>
      <c r="AA203" s="1">
        <f t="shared" si="63"/>
        <v>59.343299970187104</v>
      </c>
    </row>
    <row r="204" spans="2:27">
      <c r="B204" s="1">
        <v>7742.6368268112792</v>
      </c>
      <c r="C204" s="1">
        <f t="shared" si="64"/>
        <v>48648.421949048206</v>
      </c>
      <c r="D204" s="73" t="str">
        <f>IMDIV(COMPLEX((POWER(V48_Nom,2)/(V12_Min*Calculations!$B$28*np)),((Zo_Boost_Cout*Zo_Boost_Resr*POWER(V48_Nom,2))/(V12_Min*Calculations!$B$28*np))*C204),COMPLEX(1,((Zo_Boost_Cout*Zo_Boost_Resr)+((Zo_Boost_Cout*POWER(V48_Nom,2))/(V12_Min*Calculations!$B$28*np)))*C204))</f>
        <v>0,010998680460536-0,0639000314319933i</v>
      </c>
      <c r="E204" s="1">
        <f t="shared" si="65"/>
        <v>-23.763181827761862</v>
      </c>
      <c r="F204" s="1">
        <f t="shared" si="66"/>
        <v>-80.233760623292568</v>
      </c>
      <c r="G204" s="1" t="str">
        <f>IMDIV(IMSUM(COMPLEX(V48_Nom,0),IMPRODUCT(COMPLEX(np*(Calculations!$B$28*(V12_Min/V48_Nom)),0),D204)),IMSUM(IMPRODUCT(COMPLEX(((V12_Min/V48_Nom)^2),0),D204),COMPLEX(Rcs/np,(Lm*C204)/np)))</f>
        <v>1,96957117513415-94,409926726702i</v>
      </c>
      <c r="H204" s="1">
        <f t="shared" si="50"/>
        <v>39.502242933122851</v>
      </c>
      <c r="I204" s="1">
        <f t="shared" si="51"/>
        <v>-88.804874097993661</v>
      </c>
      <c r="J204" s="73" t="str">
        <f>IMPRODUCT(COMPLEX(-1,0),IMDIV(IMSUM(IMSUB(IMPRODUCT(COMPLEX((1-(V12_Min/V48_Nom))*V48_Nom,0),D204),IMPRODUCT(COMPLEX(V48_Nom,0),D204)),IMPRODUCT(COMPLEX(0,Calculations!$B$28*Lm*C204),D204)),IMSUM(IMPRODUCT(COMPLEX(((V12_Min/V48_Nom)^2),0),D204),COMPLEX(Rcs/np,(Lm*C204)/np))))</f>
        <v>-1,65866636793266+0,470715384311962i</v>
      </c>
      <c r="K204" s="1">
        <f t="shared" si="52"/>
        <v>4.7315796311471043</v>
      </c>
      <c r="L204" s="1">
        <f t="shared" si="53"/>
        <v>164.1565097579435</v>
      </c>
      <c r="M204" s="1">
        <f t="shared" si="67"/>
        <v>2.6666666666666665</v>
      </c>
      <c r="N204" s="1">
        <f t="shared" si="68"/>
        <v>0.16</v>
      </c>
      <c r="O204" s="1" t="str">
        <f t="shared" si="69"/>
        <v>0,19579239820023-0,294064672542886i</v>
      </c>
      <c r="P204" s="1">
        <f t="shared" si="54"/>
        <v>-9.0375515835967164</v>
      </c>
      <c r="Q204" s="1">
        <f t="shared" si="55"/>
        <v>-56.343764912486414</v>
      </c>
      <c r="R204" s="1" t="str">
        <f t="shared" si="56"/>
        <v>-0,0403431256337728-0,114063790839972i</v>
      </c>
      <c r="S204" s="1">
        <f t="shared" si="57"/>
        <v>-18.345148106447663</v>
      </c>
      <c r="T204" s="1">
        <f t="shared" si="58"/>
        <v>-109.47813469046172</v>
      </c>
      <c r="U204" s="1" t="str">
        <f>IMPRODUCT(COMPLEX(-1,0),IMDIV(COMPLEX(1,C204*Calculations!$B$248*Calculations!$B$250),IMPRODUCT(COMPLEX(0,C204*Calculations!$B$237),COMPLEX((Calculations!$B$250+Calculations!$B$252),C204*Calculations!$B$248*Calculations!$B$250*Calculations!$B$252))))</f>
        <v>-2,50840735673072+0,906389061321959i</v>
      </c>
      <c r="V204" s="1">
        <f t="shared" si="59"/>
        <v>8.5209240796639456</v>
      </c>
      <c r="W204" s="1">
        <f t="shared" si="60"/>
        <v>160.13316178935645</v>
      </c>
      <c r="X204" s="1">
        <f>Calculations!$B$216/(Calculations!$B$216+Calculations!$B$218)</f>
        <v>0.80079681274900394</v>
      </c>
      <c r="Y204" s="1" t="str">
        <f t="shared" si="61"/>
        <v>0,163829546829284+0,199840353567425i</v>
      </c>
      <c r="Z204" s="1">
        <f t="shared" si="62"/>
        <v>-11.75377730799471</v>
      </c>
      <c r="AA204" s="1">
        <f t="shared" si="63"/>
        <v>50.655027098894713</v>
      </c>
    </row>
    <row r="205" spans="2:27">
      <c r="B205" s="1">
        <v>10000</v>
      </c>
      <c r="C205" s="1">
        <f t="shared" si="64"/>
        <v>62831.853071795864</v>
      </c>
      <c r="D205" s="73" t="str">
        <f>IMDIV(COMPLEX((POWER(V48_Nom,2)/(V12_Min*Calculations!$B$28*np)),((Zo_Boost_Cout*Zo_Boost_Resr*POWER(V48_Nom,2))/(V12_Min*Calculations!$B$28*np))*C205),COMPLEX(1,((Zo_Boost_Cout*Zo_Boost_Resr)+((Zo_Boost_Cout*POWER(V48_Nom,2))/(V12_Min*Calculations!$B$28*np)))*C205))</f>
        <v>0,0105887683415693-0,049480557788713i</v>
      </c>
      <c r="E205" s="1">
        <f t="shared" si="65"/>
        <v>-25.916841052627063</v>
      </c>
      <c r="F205" s="1">
        <f t="shared" si="66"/>
        <v>-77.92097401070879</v>
      </c>
      <c r="G205" s="1" t="str">
        <f>IMDIV(IMSUM(COMPLEX(V48_Nom,0),IMPRODUCT(COMPLEX(np*(Calculations!$B$28*(V12_Min/V48_Nom)),0),D205)),IMSUM(IMPRODUCT(COMPLEX(((V12_Min/V48_Nom)^2),0),D205),COMPLEX(Rcs/np,(Lm*C205)/np)))</f>
        <v>1,12983307490668-72,2080384434497i</v>
      </c>
      <c r="H205" s="1">
        <f t="shared" si="50"/>
        <v>37.172774083393627</v>
      </c>
      <c r="I205" s="1">
        <f t="shared" si="51"/>
        <v>-89.103570931871161</v>
      </c>
      <c r="J205" s="73" t="str">
        <f>IMPRODUCT(COMPLEX(-1,0),IMDIV(IMSUM(IMSUB(IMPRODUCT(COMPLEX((1-(V12_Min/V48_Nom))*V48_Nom,0),D205),IMPRODUCT(COMPLEX(V48_Nom,0),D205)),IMPRODUCT(COMPLEX(0,Calculations!$B$28*Lm*C205),D205)),IMSUM(IMPRODUCT(COMPLEX(((V12_Min/V48_Nom)^2),0),D205),COMPLEX(Rcs/np,(Lm*C205)/np))))</f>
        <v>-1,03146141473683+0,385193879372215i</v>
      </c>
      <c r="K205" s="1">
        <f t="shared" si="52"/>
        <v>0.83605438987024105</v>
      </c>
      <c r="L205" s="1">
        <f t="shared" si="53"/>
        <v>159.52211646169911</v>
      </c>
      <c r="M205" s="1">
        <f t="shared" si="67"/>
        <v>2.6666666666666665</v>
      </c>
      <c r="N205" s="1">
        <f t="shared" si="68"/>
        <v>0.16</v>
      </c>
      <c r="O205" s="1" t="str">
        <f t="shared" si="69"/>
        <v>0,195565155785564-0,231898835653792i</v>
      </c>
      <c r="P205" s="1">
        <f t="shared" si="54"/>
        <v>-10.361045558497048</v>
      </c>
      <c r="Q205" s="1">
        <f t="shared" si="55"/>
        <v>-49.858361861287335</v>
      </c>
      <c r="R205" s="1" t="str">
        <f t="shared" si="56"/>
        <v>-0,0448907575854429-0,0930943505367758i</v>
      </c>
      <c r="S205" s="1">
        <f t="shared" si="57"/>
        <v>-19.713580696613768</v>
      </c>
      <c r="T205" s="1">
        <f t="shared" si="58"/>
        <v>-115.74369525321858</v>
      </c>
      <c r="U205" s="1" t="str">
        <f>IMPRODUCT(COMPLEX(-1,0),IMDIV(COMPLEX(1,C205*Calculations!$B$248*Calculations!$B$250),IMPRODUCT(COMPLEX(0,C205*Calculations!$B$237),COMPLEX((Calculations!$B$250+Calculations!$B$252),C205*Calculations!$B$248*Calculations!$B$250*Calculations!$B$252))))</f>
        <v>-2,35591200008414+1,0622708047221i</v>
      </c>
      <c r="V205" s="1">
        <f t="shared" si="59"/>
        <v>8.2469457689943724</v>
      </c>
      <c r="W205" s="1">
        <f t="shared" si="60"/>
        <v>155.72958704582052</v>
      </c>
      <c r="X205" s="1">
        <f>Calculations!$B$216/(Calculations!$B$216+Calculations!$B$218)</f>
        <v>0.80079681274900394</v>
      </c>
      <c r="Y205" s="1" t="str">
        <f t="shared" si="61"/>
        <v>0,163883135915487+0,13744552682604i</v>
      </c>
      <c r="Z205" s="1">
        <f t="shared" si="62"/>
        <v>-13.396188208830377</v>
      </c>
      <c r="AA205" s="1">
        <f t="shared" si="63"/>
        <v>39.985891792601969</v>
      </c>
    </row>
    <row r="206" spans="2:27">
      <c r="B206" s="1">
        <v>12915.496650148847</v>
      </c>
      <c r="C206" s="1">
        <f t="shared" si="64"/>
        <v>81150.458787142401</v>
      </c>
      <c r="D206" s="73" t="str">
        <f>IMDIV(COMPLEX((POWER(V48_Nom,2)/(V12_Min*Calculations!$B$28*np)),((Zo_Boost_Cout*Zo_Boost_Resr*POWER(V48_Nom,2))/(V12_Min*Calculations!$B$28*np))*C206),COMPLEX(1,((Zo_Boost_Cout*Zo_Boost_Resr)+((Zo_Boost_Cout*POWER(V48_Nom,2))/(V12_Min*Calculations!$B$28*np)))*C206))</f>
        <v>0,0103429920896313-0,0383133591260203i</v>
      </c>
      <c r="E206" s="1">
        <f t="shared" si="65"/>
        <v>-28.027495063271495</v>
      </c>
      <c r="F206" s="1">
        <f t="shared" si="66"/>
        <v>-74.892675779267194</v>
      </c>
      <c r="G206" s="1" t="str">
        <f>IMDIV(IMSUM(COMPLEX(V48_Nom,0),IMPRODUCT(COMPLEX(np*(Calculations!$B$28*(V12_Min/V48_Nom)),0),D206)),IMSUM(IMPRODUCT(COMPLEX(((V12_Min/V48_Nom)^2),0),D206),COMPLEX(Rcs/np,(Lm*C206)/np)))</f>
        <v>0,659619330132923-55,5021563760449i</v>
      </c>
      <c r="H206" s="1">
        <f t="shared" si="50"/>
        <v>34.886810501556539</v>
      </c>
      <c r="I206" s="1">
        <f t="shared" si="51"/>
        <v>-89.319096284386958</v>
      </c>
      <c r="J206" s="73" t="str">
        <f>IMPRODUCT(COMPLEX(-1,0),IMDIV(IMSUM(IMSUB(IMPRODUCT(COMPLEX((1-(V12_Min/V48_Nom))*V48_Nom,0),D206),IMPRODUCT(COMPLEX(V48_Nom,0),D206)),IMPRODUCT(COMPLEX(0,Calculations!$B$28*Lm*C206),D206)),IMSUM(IMPRODUCT(COMPLEX(((V12_Min/V48_Nom)^2),0),D206),COMPLEX(Rcs/np,(Lm*C206)/np))))</f>
        <v>-0,662461933738197+0,307455953833708i</v>
      </c>
      <c r="K206" s="1">
        <f t="shared" si="52"/>
        <v>-2.7295922038788238</v>
      </c>
      <c r="L206" s="1">
        <f t="shared" si="53"/>
        <v>155.10346101454354</v>
      </c>
      <c r="M206" s="1">
        <f t="shared" si="67"/>
        <v>2.6666666666666665</v>
      </c>
      <c r="N206" s="1">
        <f t="shared" si="68"/>
        <v>0.16</v>
      </c>
      <c r="O206" s="1" t="str">
        <f t="shared" si="69"/>
        <v>0,195187264159247-0,184978211147251i</v>
      </c>
      <c r="P206" s="1">
        <f t="shared" si="54"/>
        <v>-11.407715692886466</v>
      </c>
      <c r="Q206" s="1">
        <f t="shared" si="55"/>
        <v>-43.461735374626834</v>
      </c>
      <c r="R206" s="1" t="str">
        <f t="shared" si="56"/>
        <v>-0,0496275964696988-0,076629707978898i</v>
      </c>
      <c r="S206" s="1">
        <f t="shared" si="57"/>
        <v>-20.790938499700765</v>
      </c>
      <c r="T206" s="1">
        <f t="shared" si="58"/>
        <v>-122.92825138823763</v>
      </c>
      <c r="U206" s="1" t="str">
        <f>IMPRODUCT(COMPLEX(-1,0),IMDIV(COMPLEX(1,C206*Calculations!$B$248*Calculations!$B$250),IMPRODUCT(COMPLEX(0,C206*Calculations!$B$237),COMPLEX((Calculations!$B$250+Calculations!$B$252),C206*Calculations!$B$248*Calculations!$B$250*Calculations!$B$252))))</f>
        <v>-2,13899638031445+1,21949763452732i</v>
      </c>
      <c r="V206" s="1">
        <f t="shared" si="59"/>
        <v>7.82650318569842</v>
      </c>
      <c r="W206" s="1">
        <f t="shared" si="60"/>
        <v>150.31140747693513</v>
      </c>
      <c r="X206" s="1">
        <f>Calculations!$B$216/(Calculations!$B$216+Calculations!$B$218)</f>
        <v>0.80079681274900394</v>
      </c>
      <c r="Y206" s="1" t="str">
        <f t="shared" si="61"/>
        <v>0,159841443674353+0,082794327607003i</v>
      </c>
      <c r="Z206" s="1">
        <f t="shared" si="62"/>
        <v>-14.893988595213335</v>
      </c>
      <c r="AA206" s="1">
        <f t="shared" si="63"/>
        <v>27.383156088697501</v>
      </c>
    </row>
    <row r="207" spans="2:27">
      <c r="B207" s="1">
        <v>16681.005372000593</v>
      </c>
      <c r="C207" s="1">
        <f t="shared" si="64"/>
        <v>104809.84786233788</v>
      </c>
      <c r="D207" s="73" t="str">
        <f>IMDIV(COMPLEX((POWER(V48_Nom,2)/(V12_Min*Calculations!$B$28*np)),((Zo_Boost_Cout*Zo_Boost_Resr*POWER(V48_Nom,2))/(V12_Min*Calculations!$B$28*np))*C207),COMPLEX(1,((Zo_Boost_Cout*Zo_Boost_Resr)+((Zo_Boost_Cout*POWER(V48_Nom,2))/(V12_Min*Calculations!$B$28*np)))*C207))</f>
        <v>0,0101956385782209-0,0296657381631315i</v>
      </c>
      <c r="E207" s="1">
        <f t="shared" si="65"/>
        <v>-30.070017826123046</v>
      </c>
      <c r="F207" s="1">
        <f t="shared" si="66"/>
        <v>-71.032975849270869</v>
      </c>
      <c r="G207" s="1" t="str">
        <f>IMDIV(IMSUM(COMPLEX(V48_Nom,0),IMPRODUCT(COMPLEX(np*(Calculations!$B$28*(V12_Min/V48_Nom)),0),D207)),IMSUM(IMPRODUCT(COMPLEX(((V12_Min/V48_Nom)^2),0),D207),COMPLEX(Rcs/np,(Lm*C207)/np)))</f>
        <v>0,389194748965502-42,7868814937319i</v>
      </c>
      <c r="H207" s="1">
        <f t="shared" si="50"/>
        <v>32.626572002885624</v>
      </c>
      <c r="I207" s="1">
        <f t="shared" si="51"/>
        <v>-89.478844898995405</v>
      </c>
      <c r="J207" s="73" t="str">
        <f>IMPRODUCT(COMPLEX(-1,0),IMDIV(IMSUM(IMSUB(IMPRODUCT(COMPLEX((1-(V12_Min/V48_Nom))*V48_Nom,0),D207),IMPRODUCT(COMPLEX(V48_Nom,0),D207)),IMPRODUCT(COMPLEX(0,Calculations!$B$28*Lm*C207),D207)),IMSUM(IMPRODUCT(COMPLEX(((V12_Min/V48_Nom)^2),0),D207),COMPLEX(Rcs/np,(Lm*C207)/np))))</f>
        <v>-0,443716731759533+0,242218691511824i</v>
      </c>
      <c r="K207" s="1">
        <f t="shared" si="52"/>
        <v>-5.9251658185758069</v>
      </c>
      <c r="L207" s="1">
        <f t="shared" si="53"/>
        <v>151.37049766662784</v>
      </c>
      <c r="M207" s="1">
        <f t="shared" si="67"/>
        <v>2.6666666666666665</v>
      </c>
      <c r="N207" s="1">
        <f t="shared" si="68"/>
        <v>0.16</v>
      </c>
      <c r="O207" s="1" t="str">
        <f t="shared" si="69"/>
        <v>0,194560142373857-0,150195598916259i</v>
      </c>
      <c r="P207" s="1">
        <f t="shared" si="54"/>
        <v>-12.188741484388938</v>
      </c>
      <c r="Q207" s="1">
        <f t="shared" si="55"/>
        <v>-37.667249160779718</v>
      </c>
      <c r="R207" s="1" t="str">
        <f t="shared" si="56"/>
        <v>-0,0545573314506765-0,0633169875313602i</v>
      </c>
      <c r="S207" s="1">
        <f t="shared" si="57"/>
        <v>-21.557998094637409</v>
      </c>
      <c r="T207" s="1">
        <f t="shared" si="58"/>
        <v>-130.74996081601569</v>
      </c>
      <c r="U207" s="1" t="str">
        <f>IMPRODUCT(COMPLEX(-1,0),IMDIV(COMPLEX(1,C207*Calculations!$B$248*Calculations!$B$250),IMPRODUCT(COMPLEX(0,C207*Calculations!$B$237),COMPLEX((Calculations!$B$250+Calculations!$B$252),C207*Calculations!$B$248*Calculations!$B$250*Calculations!$B$252))))</f>
        <v>-1,85421358839709+1,34778759798853i</v>
      </c>
      <c r="V207" s="1">
        <f t="shared" si="59"/>
        <v>7.2054292126020991</v>
      </c>
      <c r="W207" s="1">
        <f t="shared" si="60"/>
        <v>143.98741083232315</v>
      </c>
      <c r="X207" s="1">
        <f>Calculations!$B$216/(Calculations!$B$216+Calculations!$B$218)</f>
        <v>0.80079681274900394</v>
      </c>
      <c r="Y207" s="1" t="str">
        <f t="shared" si="61"/>
        <v>0,149347641305647+0,035132176548357i</v>
      </c>
      <c r="Z207" s="1">
        <f t="shared" si="62"/>
        <v>-16.282122163246267</v>
      </c>
      <c r="AA207" s="1">
        <f t="shared" si="63"/>
        <v>13.237450016307434</v>
      </c>
    </row>
    <row r="208" spans="2:27">
      <c r="B208" s="1">
        <v>21544.346900318837</v>
      </c>
      <c r="C208" s="1">
        <f t="shared" si="64"/>
        <v>135367.12389686337</v>
      </c>
      <c r="D208" s="73" t="str">
        <f>IMDIV(COMPLEX((POWER(V48_Nom,2)/(V12_Min*Calculations!$B$28*np)),((Zo_Boost_Cout*Zo_Boost_Resr*POWER(V48_Nom,2))/(V12_Min*Calculations!$B$28*np))*C208),COMPLEX(1,((Zo_Boost_Cout*Zo_Boost_Resr)+((Zo_Boost_Cout*POWER(V48_Nom,2))/(V12_Min*Calculations!$B$28*np)))*C208))</f>
        <v>0,010107297250316-0,022969612256236i</v>
      </c>
      <c r="E208" s="1">
        <f t="shared" si="65"/>
        <v>-32.00824551805956</v>
      </c>
      <c r="F208" s="1">
        <f t="shared" si="66"/>
        <v>-66.249109815877247</v>
      </c>
      <c r="G208" s="1" t="str">
        <f>IMDIV(IMSUM(COMPLEX(V48_Nom,0),IMPRODUCT(COMPLEX(np*(Calculations!$B$28*(V12_Min/V48_Nom)),0),D208)),IMSUM(IMPRODUCT(COMPLEX(((V12_Min/V48_Nom)^2),0),D208),COMPLEX(Rcs/np,(Lm*C208)/np)))</f>
        <v>0,231100911939303-33,0423440400066i</v>
      </c>
      <c r="H208" s="1">
        <f t="shared" si="50"/>
        <v>30.381629415591895</v>
      </c>
      <c r="I208" s="1">
        <f t="shared" si="51"/>
        <v>-89.599275070192405</v>
      </c>
      <c r="J208" s="73" t="str">
        <f>IMPRODUCT(COMPLEX(-1,0),IMDIV(IMSUM(IMSUB(IMPRODUCT(COMPLEX((1-(V12_Min/V48_Nom))*V48_Nom,0),D208),IMPRODUCT(COMPLEX(V48_Nom,0),D208)),IMPRODUCT(COMPLEX(0,Calculations!$B$28*Lm*C208),D208)),IMSUM(IMPRODUCT(COMPLEX(((V12_Min/V48_Nom)^2),0),D208),COMPLEX(Rcs/np,(Lm*C208)/np))))</f>
        <v>-0,313457128491365+0,189445139278487i</v>
      </c>
      <c r="K208" s="1">
        <f t="shared" si="52"/>
        <v>-8.724260534504328</v>
      </c>
      <c r="L208" s="1">
        <f t="shared" si="53"/>
        <v>148.85235235263363</v>
      </c>
      <c r="M208" s="1">
        <f t="shared" si="67"/>
        <v>2.6666666666666665</v>
      </c>
      <c r="N208" s="1">
        <f t="shared" si="68"/>
        <v>0.16</v>
      </c>
      <c r="O208" s="1" t="str">
        <f t="shared" si="69"/>
        <v>0,193522959991227-0,125221062986581i</v>
      </c>
      <c r="P208" s="1">
        <f t="shared" si="54"/>
        <v>-12.746483262941222</v>
      </c>
      <c r="Q208" s="1">
        <f t="shared" si="55"/>
        <v>-32.905310574094628</v>
      </c>
      <c r="R208" s="1" t="str">
        <f t="shared" si="56"/>
        <v>-0,0596538213102628-0,0521855786466742i</v>
      </c>
      <c r="S208" s="1">
        <f t="shared" si="57"/>
        <v>-22.019080814848415</v>
      </c>
      <c r="T208" s="1">
        <f t="shared" si="58"/>
        <v>-138.82033940584614</v>
      </c>
      <c r="U208" s="1" t="str">
        <f>IMPRODUCT(COMPLEX(-1,0),IMDIV(COMPLEX(1,C208*Calculations!$B$248*Calculations!$B$250),IMPRODUCT(COMPLEX(0,C208*Calculations!$B$237),COMPLEX((Calculations!$B$250+Calculations!$B$252),C208*Calculations!$B$248*Calculations!$B$250*Calculations!$B$252))))</f>
        <v>-1,51724994431765+1,41327095848541i</v>
      </c>
      <c r="V208" s="1">
        <f t="shared" si="59"/>
        <v>6.3340605364813012</v>
      </c>
      <c r="W208" s="1">
        <f t="shared" si="60"/>
        <v>137.03208203654617</v>
      </c>
      <c r="X208" s="1">
        <f>Calculations!$B$216/(Calculations!$B$216+Calculations!$B$218)</f>
        <v>0.80079681274900394</v>
      </c>
      <c r="Y208" s="1" t="str">
        <f t="shared" si="61"/>
        <v>0,131540582002792-0,0041068439515895i</v>
      </c>
      <c r="Z208" s="1">
        <f t="shared" si="62"/>
        <v>-17.614573559578123</v>
      </c>
      <c r="AA208" s="1">
        <f t="shared" si="63"/>
        <v>-1.7882573692999599</v>
      </c>
    </row>
    <row r="209" spans="1:37">
      <c r="B209" s="1">
        <v>27825.594022071291</v>
      </c>
      <c r="C209" s="1">
        <f t="shared" si="64"/>
        <v>174833.36352302248</v>
      </c>
      <c r="D209" s="73" t="str">
        <f>IMDIV(COMPLEX((POWER(V48_Nom,2)/(V12_Min*Calculations!$B$28*np)),((Zo_Boost_Cout*Zo_Boost_Resr*POWER(V48_Nom,2))/(V12_Min*Calculations!$B$28*np))*C209),COMPLEX(1,((Zo_Boost_Cout*Zo_Boost_Resr)+((Zo_Boost_Cout*POWER(V48_Nom,2))/(V12_Min*Calculations!$B$28*np)))*C209))</f>
        <v>0,0100543361399868-0,0177847726439759i</v>
      </c>
      <c r="E209" s="1">
        <f t="shared" si="65"/>
        <v>-33.794602355084251</v>
      </c>
      <c r="F209" s="1">
        <f t="shared" si="66"/>
        <v>-60.519048979082847</v>
      </c>
      <c r="G209" s="1" t="str">
        <f>IMDIV(IMSUM(COMPLEX(V48_Nom,0),IMPRODUCT(COMPLEX(np*(Calculations!$B$28*(V12_Min/V48_Nom)),0),D209)),IMSUM(IMPRODUCT(COMPLEX(((V12_Min/V48_Nom)^2),0),D209),COMPLEX(Rcs/np,(Lm*C209)/np)))</f>
        <v>0,137750816155296-25,5437272477847i</v>
      </c>
      <c r="H209" s="1">
        <f t="shared" si="50"/>
        <v>28.145811662844974</v>
      </c>
      <c r="I209" s="1">
        <f t="shared" si="51"/>
        <v>-89.691021447048342</v>
      </c>
      <c r="J209" s="73" t="str">
        <f>IMPRODUCT(COMPLEX(-1,0),IMDIV(IMSUM(IMSUB(IMPRODUCT(COMPLEX((1-(V12_Min/V48_Nom))*V48_Nom,0),D209),IMPRODUCT(COMPLEX(V48_Nom,0),D209)),IMPRODUCT(COMPLEX(0,Calculations!$B$28*Lm*C209),D209)),IMSUM(IMPRODUCT(COMPLEX(((V12_Min/V48_Nom)^2),0),D209),COMPLEX(Rcs/np,(Lm*C209)/np))))</f>
        <v>-0,235680582633441+0,147556005986164i</v>
      </c>
      <c r="K209" s="1">
        <f t="shared" si="52"/>
        <v>-11.117187597531512</v>
      </c>
      <c r="L209" s="1">
        <f t="shared" si="53"/>
        <v>147.94994750957341</v>
      </c>
      <c r="M209" s="1">
        <f t="shared" si="67"/>
        <v>2.6666666666666665</v>
      </c>
      <c r="N209" s="1">
        <f t="shared" si="68"/>
        <v>0.16</v>
      </c>
      <c r="O209" s="1" t="str">
        <f t="shared" si="69"/>
        <v>0,191817226855604-0,108325143003434i</v>
      </c>
      <c r="P209" s="1">
        <f t="shared" si="54"/>
        <v>-13.140059502839478</v>
      </c>
      <c r="Q209" s="1">
        <f t="shared" si="55"/>
        <v>-29.454765846585847</v>
      </c>
      <c r="R209" s="1" t="str">
        <f t="shared" si="56"/>
        <v>-0,0650360179857174-0,0424154781403958i</v>
      </c>
      <c r="S209" s="1">
        <f t="shared" si="57"/>
        <v>-22.197722624963877</v>
      </c>
      <c r="T209" s="1">
        <f t="shared" si="58"/>
        <v>-146.88823538929051</v>
      </c>
      <c r="U209" s="1" t="str">
        <f>IMPRODUCT(COMPLEX(-1,0),IMDIV(COMPLEX(1,C209*Calculations!$B$248*Calculations!$B$250),IMPRODUCT(COMPLEX(0,C209*Calculations!$B$237),COMPLEX((Calculations!$B$250+Calculations!$B$252),C209*Calculations!$B$248*Calculations!$B$250*Calculations!$B$252))))</f>
        <v>-1,1643016908665+1,39409101612071i</v>
      </c>
      <c r="V209" s="1">
        <f t="shared" si="59"/>
        <v>5.183939249127544</v>
      </c>
      <c r="W209" s="1">
        <f t="shared" si="60"/>
        <v>129.86758833946521</v>
      </c>
      <c r="X209" s="1">
        <f>Calculations!$B$216/(Calculations!$B$216+Calculations!$B$218)</f>
        <v>0.80079681274900394</v>
      </c>
      <c r="Y209" s="1" t="str">
        <f t="shared" si="61"/>
        <v>0,107989518439542-0,0330582661814992i</v>
      </c>
      <c r="Z209" s="1">
        <f t="shared" si="62"/>
        <v>-18.943336657047304</v>
      </c>
      <c r="AA209" s="1">
        <f t="shared" si="63"/>
        <v>-17.020647049825246</v>
      </c>
    </row>
    <row r="210" spans="1:37">
      <c r="B210" s="1">
        <v>35938.136638046322</v>
      </c>
      <c r="C210" s="1">
        <f t="shared" si="64"/>
        <v>225805.97209158502</v>
      </c>
      <c r="D210" s="73" t="str">
        <f>IMDIV(COMPLEX((POWER(V48_Nom,2)/(V12_Min*Calculations!$B$28*np)),((Zo_Boost_Cout*Zo_Boost_Resr*POWER(V48_Nom,2))/(V12_Min*Calculations!$B$28*np))*C210),COMPLEX(1,((Zo_Boost_Cout*Zo_Boost_Resr)+((Zo_Boost_Cout*POWER(V48_Nom,2))/(V12_Min*Calculations!$B$28*np)))*C210))</f>
        <v>0,0100225861143808-0,0137702131386843i</v>
      </c>
      <c r="E210" s="1">
        <f t="shared" si="65"/>
        <v>-35.374956843941305</v>
      </c>
      <c r="F210" s="1">
        <f t="shared" si="66"/>
        <v>-53.95117229279608</v>
      </c>
      <c r="G210" s="1" t="str">
        <f>IMDIV(IMSUM(COMPLEX(V48_Nom,0),IMPRODUCT(COMPLEX(np*(Calculations!$B$28*(V12_Min/V48_Nom)),0),D210)),IMSUM(IMPRODUCT(COMPLEX(((V12_Min/V48_Nom)^2),0),D210),COMPLEX(Rcs/np,(Lm*C210)/np)))</f>
        <v>0,0822965297886285-19,7591672533059i</v>
      </c>
      <c r="H210" s="1">
        <f t="shared" si="50"/>
        <v>25.915448084077774</v>
      </c>
      <c r="I210" s="1">
        <f t="shared" si="51"/>
        <v>-89.761365623353527</v>
      </c>
      <c r="J210" s="73" t="str">
        <f>IMPRODUCT(COMPLEX(-1,0),IMDIV(IMSUM(IMSUB(IMPRODUCT(COMPLEX((1-(V12_Min/V48_Nom))*V48_Nom,0),D210),IMPRODUCT(COMPLEX(V48_Nom,0),D210)),IMPRODUCT(COMPLEX(0,Calculations!$B$28*Lm*C210),D210)),IMSUM(IMPRODUCT(COMPLEX(((V12_Min/V48_Nom)^2),0),D210),COMPLEX(Rcs/np,(Lm*C210)/np))))</f>
        <v>-0,189166412339895+0,114651357788438i</v>
      </c>
      <c r="K210" s="1">
        <f t="shared" si="52"/>
        <v>-13.104348548738411</v>
      </c>
      <c r="L210" s="1">
        <f t="shared" si="53"/>
        <v>148.7804791785166</v>
      </c>
      <c r="M210" s="1">
        <f t="shared" si="67"/>
        <v>2.6666666666666665</v>
      </c>
      <c r="N210" s="1">
        <f t="shared" si="68"/>
        <v>0.16</v>
      </c>
      <c r="O210" s="1" t="str">
        <f t="shared" si="69"/>
        <v>0,189037836485141-0,0982180923565859i</v>
      </c>
      <c r="P210" s="1">
        <f t="shared" si="54"/>
        <v>-13.431154374934462</v>
      </c>
      <c r="Q210" s="1">
        <f t="shared" si="55"/>
        <v>-27.45496423569249</v>
      </c>
      <c r="R210" s="1" t="str">
        <f t="shared" si="56"/>
        <v>-0,0708957874355435-0,0329762373579058i</v>
      </c>
      <c r="S210" s="1">
        <f t="shared" si="57"/>
        <v>-22.136997896324292</v>
      </c>
      <c r="T210" s="1">
        <f t="shared" si="58"/>
        <v>-155.05512965585135</v>
      </c>
      <c r="U210" s="1" t="str">
        <f>IMPRODUCT(COMPLEX(-1,0),IMDIV(COMPLEX(1,C210*Calculations!$B$248*Calculations!$B$250),IMPRODUCT(COMPLEX(0,C210*Calculations!$B$237),COMPLEX((Calculations!$B$250+Calculations!$B$252),C210*Calculations!$B$248*Calculations!$B$250*Calculations!$B$252))))</f>
        <v>-0,838810096068615+1,29349411713891i</v>
      </c>
      <c r="V210" s="1">
        <f t="shared" si="59"/>
        <v>3.7597973992996674</v>
      </c>
      <c r="W210" s="1">
        <f t="shared" si="60"/>
        <v>122.96275899807094</v>
      </c>
      <c r="X210" s="1">
        <f>Calculations!$B$216/(Calculations!$B$216+Calculations!$B$218)</f>
        <v>0.80079681274900394</v>
      </c>
      <c r="Y210" s="1" t="str">
        <f t="shared" si="61"/>
        <v>0,081779509684449-0,0512850163883649i</v>
      </c>
      <c r="Z210" s="1">
        <f t="shared" si="62"/>
        <v>-20.306753778235603</v>
      </c>
      <c r="AA210" s="1">
        <f t="shared" si="63"/>
        <v>-32.092370657780343</v>
      </c>
    </row>
    <row r="211" spans="1:37">
      <c r="B211" s="1">
        <v>46415.888336127755</v>
      </c>
      <c r="C211" s="1">
        <f t="shared" si="64"/>
        <v>291639.62761324627</v>
      </c>
      <c r="D211" s="73" t="str">
        <f>IMDIV(COMPLEX((POWER(V48_Nom,2)/(V12_Min*Calculations!$B$28*np)),((Zo_Boost_Cout*Zo_Boost_Resr*POWER(V48_Nom,2))/(V12_Min*Calculations!$B$28*np))*C211),COMPLEX(1,((Zo_Boost_Cout*Zo_Boost_Resr)+((Zo_Boost_Cout*POWER(V48_Nom,2))/(V12_Min*Calculations!$B$28*np)))*C211))</f>
        <v>0,0100035522318232-0,0106618267972496i</v>
      </c>
      <c r="E211" s="1">
        <f t="shared" si="65"/>
        <v>-36.701028004843479</v>
      </c>
      <c r="F211" s="1">
        <f t="shared" si="66"/>
        <v>-46.824481682165953</v>
      </c>
      <c r="G211" s="1" t="str">
        <f>IMDIV(IMSUM(COMPLEX(V48_Nom,0),IMPRODUCT(COMPLEX(np*(Calculations!$B$28*(V12_Min/V48_Nom)),0),D211)),IMSUM(IMPRODUCT(COMPLEX(((V12_Min/V48_Nom)^2),0),D211),COMPLEX(Rcs/np,(Lm*C211)/np)))</f>
        <v>0,0492340545684108-15,2902706029378i</v>
      </c>
      <c r="H211" s="1">
        <f t="shared" si="50"/>
        <v>23.688348458082544</v>
      </c>
      <c r="I211" s="1">
        <f t="shared" si="51"/>
        <v>-89.815510538745414</v>
      </c>
      <c r="J211" s="73" t="str">
        <f>IMPRODUCT(COMPLEX(-1,0),IMDIV(IMSUM(IMSUB(IMPRODUCT(COMPLEX((1-(V12_Min/V48_Nom))*V48_Nom,0),D211),IMPRODUCT(COMPLEX(V48_Nom,0),D211)),IMPRODUCT(COMPLEX(0,Calculations!$B$28*Lm*C211),D211)),IMSUM(IMPRODUCT(COMPLEX(((V12_Min/V48_Nom)^2),0),D211),COMPLEX(Rcs/np,(Lm*C211)/np))))</f>
        <v>-0,161321916306477+0,0889573190375723i</v>
      </c>
      <c r="K211" s="1">
        <f t="shared" si="52"/>
        <v>-14.693116394923674</v>
      </c>
      <c r="L211" s="1">
        <f t="shared" si="53"/>
        <v>151.12645567853477</v>
      </c>
      <c r="M211" s="1">
        <f t="shared" si="67"/>
        <v>2.6666666666666665</v>
      </c>
      <c r="N211" s="1">
        <f t="shared" si="68"/>
        <v>0.16</v>
      </c>
      <c r="O211" s="1" t="str">
        <f t="shared" si="69"/>
        <v>0,184576544241137-0,0938756963710584i</v>
      </c>
      <c r="P211" s="1">
        <f t="shared" si="54"/>
        <v>-13.677336059600778</v>
      </c>
      <c r="Q211" s="1">
        <f t="shared" si="55"/>
        <v>-26.957904872164299</v>
      </c>
      <c r="R211" s="1" t="str">
        <f t="shared" si="56"/>
        <v>-0,0770441516292609-0,0223654947669894i</v>
      </c>
      <c r="S211" s="1">
        <f t="shared" si="57"/>
        <v>-21.913828406151627</v>
      </c>
      <c r="T211" s="1">
        <f t="shared" si="58"/>
        <v>-163.81227670230285</v>
      </c>
      <c r="U211" s="1" t="str">
        <f>IMPRODUCT(COMPLEX(-1,0),IMDIV(COMPLEX(1,C211*Calculations!$B$248*Calculations!$B$250),IMPRODUCT(COMPLEX(0,C211*Calculations!$B$237),COMPLEX((Calculations!$B$250+Calculations!$B$252),C211*Calculations!$B$248*Calculations!$B$250*Calculations!$B$252))))</f>
        <v>-0,572045979806596+1,13736605857798i</v>
      </c>
      <c r="V211" s="1">
        <f t="shared" si="59"/>
        <v>2.097396513450243</v>
      </c>
      <c r="W211" s="1">
        <f t="shared" si="60"/>
        <v>116.70042000899021</v>
      </c>
      <c r="X211" s="1">
        <f>Calculations!$B$216/(Calculations!$B$216+Calculations!$B$218)</f>
        <v>0.80079681274900394</v>
      </c>
      <c r="Y211" s="1" t="str">
        <f t="shared" si="61"/>
        <v>0,0556638283646197-0,0599262775025905i</v>
      </c>
      <c r="Z211" s="1">
        <f t="shared" si="62"/>
        <v>-21.745985173912366</v>
      </c>
      <c r="AA211" s="1">
        <f t="shared" si="63"/>
        <v>-47.11185669331266</v>
      </c>
    </row>
    <row r="212" spans="1:37">
      <c r="B212" s="1">
        <v>59948.425031894149</v>
      </c>
      <c r="C212" s="1">
        <f t="shared" si="64"/>
        <v>376667.06334895425</v>
      </c>
      <c r="D212" s="73" t="str">
        <f>IMDIV(COMPLEX((POWER(V48_Nom,2)/(V12_Min*Calculations!$B$28*np)),((Zo_Boost_Cout*Zo_Boost_Resr*POWER(V48_Nom,2))/(V12_Min*Calculations!$B$28*np))*C212),COMPLEX(1,((Zo_Boost_Cout*Zo_Boost_Resr)+((Zo_Boost_Cout*POWER(V48_Nom,2))/(V12_Min*Calculations!$B$28*np)))*C212))</f>
        <v>0,00999214163194251-0,00825508888799916i</v>
      </c>
      <c r="E212" s="1">
        <f t="shared" si="65"/>
        <v>-37.74718154811687</v>
      </c>
      <c r="F212" s="1">
        <f t="shared" si="66"/>
        <v>-39.562091202245441</v>
      </c>
      <c r="G212" s="1" t="str">
        <f>IMDIV(IMSUM(COMPLEX(V48_Nom,0),IMPRODUCT(COMPLEX(np*(Calculations!$B$28*(V12_Min/V48_Nom)),0),D212)),IMSUM(IMPRODUCT(COMPLEX(((V12_Min/V48_Nom)^2),0),D212),COMPLEX(Rcs/np,(Lm*C212)/np)))</f>
        <v>0,0294786471362835-11,8347428500585i</v>
      </c>
      <c r="H212" s="1">
        <f t="shared" si="50"/>
        <v>21.463203462068243</v>
      </c>
      <c r="I212" s="1">
        <f t="shared" si="51"/>
        <v>-89.857284725573351</v>
      </c>
      <c r="J212" s="73" t="str">
        <f>IMPRODUCT(COMPLEX(-1,0),IMDIV(IMSUM(IMSUB(IMPRODUCT(COMPLEX((1-(V12_Min/V48_Nom))*V48_Nom,0),D212),IMPRODUCT(COMPLEX(V48_Nom,0),D212)),IMPRODUCT(COMPLEX(0,Calculations!$B$28*Lm*C212),D212)),IMSUM(IMPRODUCT(COMPLEX(((V12_Min/V48_Nom)^2),0),D212),COMPLEX(Rcs/np,(Lm*C212)/np))))</f>
        <v>-0,144643937808937+0,0689630146974744i</v>
      </c>
      <c r="K212" s="1">
        <f t="shared" si="52"/>
        <v>-15.904427607752329</v>
      </c>
      <c r="L212" s="1">
        <f t="shared" si="53"/>
        <v>154.50923140911021</v>
      </c>
      <c r="M212" s="1">
        <f t="shared" si="67"/>
        <v>2.6666666666666665</v>
      </c>
      <c r="N212" s="1">
        <f t="shared" si="68"/>
        <v>0.16</v>
      </c>
      <c r="O212" s="1" t="str">
        <f t="shared" si="69"/>
        <v>0,177585506051604-0,0943165456880946i</v>
      </c>
      <c r="P212" s="1">
        <f t="shared" si="54"/>
        <v>-13.932723827923436</v>
      </c>
      <c r="Q212" s="1">
        <f t="shared" si="55"/>
        <v>-27.972993599103322</v>
      </c>
      <c r="R212" s="1" t="str">
        <f t="shared" si="56"/>
        <v>-0,082090432362586-0,00888142608034449i</v>
      </c>
      <c r="S212" s="1">
        <f t="shared" si="57"/>
        <v>-21.663609144805129</v>
      </c>
      <c r="T212" s="1">
        <f t="shared" si="58"/>
        <v>-173.82514417719989</v>
      </c>
      <c r="U212" s="1" t="str">
        <f>IMPRODUCT(COMPLEX(-1,0),IMDIV(COMPLEX(1,C212*Calculations!$B$248*Calculations!$B$250),IMPRODUCT(COMPLEX(0,C212*Calculations!$B$237),COMPLEX((Calculations!$B$250+Calculations!$B$252),C212*Calculations!$B$248*Calculations!$B$250*Calculations!$B$252))))</f>
        <v>-0,373763938674445+0,958808889488464i</v>
      </c>
      <c r="V212" s="1">
        <f t="shared" si="59"/>
        <v>0.24901688498211982</v>
      </c>
      <c r="W212" s="1">
        <f t="shared" si="60"/>
        <v>111.29688623458313</v>
      </c>
      <c r="X212" s="1">
        <f>Calculations!$B$216/(Calculations!$B$216+Calculations!$B$218)</f>
        <v>0.80079681274900394</v>
      </c>
      <c r="Y212" s="1" t="str">
        <f t="shared" si="61"/>
        <v>0,0313896603765098-0,0603716548970958i</v>
      </c>
      <c r="Z212" s="1">
        <f t="shared" si="62"/>
        <v>-23.344145541033996</v>
      </c>
      <c r="AA212" s="1">
        <f t="shared" si="63"/>
        <v>-62.528257942616726</v>
      </c>
    </row>
    <row r="213" spans="1:37">
      <c r="B213" s="1">
        <v>77426.368268112885</v>
      </c>
      <c r="C213" s="1">
        <f t="shared" si="64"/>
        <v>486484.21949048265</v>
      </c>
      <c r="D213" s="73" t="str">
        <f>IMDIV(COMPLEX((POWER(V48_Nom,2)/(V12_Min*Calculations!$B$28*np)),((Zo_Boost_Cout*Zo_Boost_Resr*POWER(V48_Nom,2))/(V12_Min*Calculations!$B$28*np))*C213),COMPLEX(1,((Zo_Boost_Cout*Zo_Boost_Resr)+((Zo_Boost_Cout*POWER(V48_Nom,2))/(V12_Min*Calculations!$B$28*np)))*C213))</f>
        <v>0,00998530112573757-0,00639162648112677i</v>
      </c>
      <c r="E213" s="1">
        <f t="shared" si="65"/>
        <v>-38.52140946872386</v>
      </c>
      <c r="F213" s="1">
        <f t="shared" si="66"/>
        <v>-32.623450968762022</v>
      </c>
      <c r="G213" s="1" t="str">
        <f>IMDIV(IMSUM(COMPLEX(V48_Nom,0),IMPRODUCT(COMPLEX(np*(Calculations!$B$28*(V12_Min/V48_Nom)),0),D213)),IMSUM(IMPRODUCT(COMPLEX(((V12_Min/V48_Nom)^2),0),D213),COMPLEX(Rcs/np,(Lm*C213)/np)))</f>
        <v>0,0176589174679094-9,16137516254886i</v>
      </c>
      <c r="H213" s="1">
        <f t="shared" si="50"/>
        <v>19.239229497100887</v>
      </c>
      <c r="I213" s="1">
        <f t="shared" si="51"/>
        <v>-89.889560227512703</v>
      </c>
      <c r="J213" s="73" t="str">
        <f>IMPRODUCT(COMPLEX(-1,0),IMDIV(IMSUM(IMSUB(IMPRODUCT(COMPLEX((1-(V12_Min/V48_Nom))*V48_Nom,0),D213),IMPRODUCT(COMPLEX(V48_Nom,0),D213)),IMPRODUCT(COMPLEX(0,Calculations!$B$28*Lm*C213),D213)),IMSUM(IMPRODUCT(COMPLEX(((V12_Min/V48_Nom)^2),0),D213),COMPLEX(Rcs/np,(Lm*C213)/np))))</f>
        <v>-0,134650907575891+0,0534357021454277i</v>
      </c>
      <c r="K213" s="1">
        <f t="shared" si="52"/>
        <v>-16.780653405139432</v>
      </c>
      <c r="L213" s="1">
        <f t="shared" si="53"/>
        <v>158.35453466980624</v>
      </c>
      <c r="M213" s="1">
        <f t="shared" si="67"/>
        <v>2.6666666666666665</v>
      </c>
      <c r="N213" s="1">
        <f t="shared" si="68"/>
        <v>0.16</v>
      </c>
      <c r="O213" s="1" t="str">
        <f t="shared" si="69"/>
        <v>0,167032221613433-0,0983090502960094i</v>
      </c>
      <c r="P213" s="1">
        <f t="shared" si="54"/>
        <v>-14.252231686660338</v>
      </c>
      <c r="Q213" s="1">
        <f t="shared" si="55"/>
        <v>-30.479508829211039</v>
      </c>
      <c r="R213" s="1" t="str">
        <f t="shared" si="56"/>
        <v>-0,0829194729762821+0,00794368667459639i</v>
      </c>
      <c r="S213" s="1">
        <f t="shared" si="57"/>
        <v>-21.587193131634066</v>
      </c>
      <c r="T213" s="1">
        <f t="shared" si="58"/>
        <v>174.5277634874968</v>
      </c>
      <c r="U213" s="1" t="str">
        <f>IMPRODUCT(COMPLEX(-1,0),IMDIV(COMPLEX(1,C213*Calculations!$B$248*Calculations!$B$250),IMPRODUCT(COMPLEX(0,C213*Calculations!$B$237),COMPLEX((Calculations!$B$250+Calculations!$B$252),C213*Calculations!$B$248*Calculations!$B$250*Calculations!$B$252))))</f>
        <v>-0,236829944019911+0,784178477140889i</v>
      </c>
      <c r="V213" s="1">
        <f t="shared" si="59"/>
        <v>-1.7326174817341893</v>
      </c>
      <c r="W213" s="1">
        <f t="shared" si="60"/>
        <v>106.80485475167058</v>
      </c>
      <c r="X213" s="1">
        <f>Calculations!$B$216/(Calculations!$B$216+Calculations!$B$218)</f>
        <v>0.80079681274900394</v>
      </c>
      <c r="Y213" s="1" t="str">
        <f t="shared" si="61"/>
        <v>0,0107375209194285-0,0535772858636606i</v>
      </c>
      <c r="Z213" s="1">
        <f t="shared" si="62"/>
        <v>-25.249363894579236</v>
      </c>
      <c r="AA213" s="1">
        <f t="shared" si="63"/>
        <v>-78.667381760832725</v>
      </c>
    </row>
    <row r="214" spans="1:37">
      <c r="B214" s="1">
        <v>100000</v>
      </c>
      <c r="C214" s="1">
        <f t="shared" si="64"/>
        <v>628318.53071795858</v>
      </c>
      <c r="D214" s="73" t="str">
        <f>IMDIV(COMPLEX((POWER(V48_Nom,2)/(V12_Min*Calculations!$B$28*np)),((Zo_Boost_Cout*Zo_Boost_Resr*POWER(V48_Nom,2))/(V12_Min*Calculations!$B$28*np))*C214),COMPLEX(1,((Zo_Boost_Cout*Zo_Boost_Resr)+((Zo_Boost_Cout*POWER(V48_Nom,2))/(V12_Min*Calculations!$B$28*np)))*C214))</f>
        <v>0,00998120033875845-0,00494880934379425i</v>
      </c>
      <c r="E214" s="1">
        <f t="shared" si="65"/>
        <v>-39.061754690157287</v>
      </c>
      <c r="F214" s="1">
        <f t="shared" si="66"/>
        <v>-26.3728141126021</v>
      </c>
      <c r="G214" s="1" t="str">
        <f>IMDIV(IMSUM(COMPLEX(V48_Nom,0),IMPRODUCT(COMPLEX(np*(Calculations!$B$28*(V12_Min/V48_Nom)),0),D214)),IMSUM(IMPRODUCT(COMPLEX(((V12_Min/V48_Nom)^2),0),D214),COMPLEX(Rcs/np,(Lm*C214)/np)))</f>
        <v>0,0105815493299991-7,09246793006688i</v>
      </c>
      <c r="H214" s="1">
        <f t="shared" si="50"/>
        <v>17.015957281464374</v>
      </c>
      <c r="I214" s="1">
        <f t="shared" si="51"/>
        <v>-89.914518095328617</v>
      </c>
      <c r="J214" s="73" t="str">
        <f>IMPRODUCT(COMPLEX(-1,0),IMDIV(IMSUM(IMSUB(IMPRODUCT(COMPLEX((1-(V12_Min/V48_Nom))*V48_Nom,0),D214),IMPRODUCT(COMPLEX(V48_Nom,0),D214)),IMPRODUCT(COMPLEX(0,Calculations!$B$28*Lm*C214),D214)),IMSUM(IMPRODUCT(COMPLEX(((V12_Min/V48_Nom)^2),0),D214),COMPLEX(Rcs/np,(Lm*C214)/np))))</f>
        <v>-0,128662094964582+0,0413919434040205i</v>
      </c>
      <c r="K214" s="1">
        <f t="shared" si="52"/>
        <v>-17.383273586993447</v>
      </c>
      <c r="L214" s="1">
        <f t="shared" si="53"/>
        <v>162.16647300536516</v>
      </c>
      <c r="M214" s="1">
        <f t="shared" si="67"/>
        <v>2.6666666666666665</v>
      </c>
      <c r="N214" s="1">
        <f t="shared" si="68"/>
        <v>0.16</v>
      </c>
      <c r="O214" s="1" t="str">
        <f t="shared" si="69"/>
        <v>0,151967753826831-0,104061002769301i</v>
      </c>
      <c r="P214" s="1">
        <f t="shared" si="54"/>
        <v>-14.695071494888987</v>
      </c>
      <c r="Q214" s="1">
        <f t="shared" si="55"/>
        <v>-34.401670992189608</v>
      </c>
      <c r="R214" s="1" t="str">
        <f t="shared" si="56"/>
        <v>-0,0762768311046684+0,0253194955724593i</v>
      </c>
      <c r="S214" s="1">
        <f t="shared" si="57"/>
        <v>-21.898191285106382</v>
      </c>
      <c r="T214" s="1">
        <f t="shared" si="58"/>
        <v>161.63681895627062</v>
      </c>
      <c r="U214" s="1" t="str">
        <f>IMPRODUCT(COMPLEX(-1,0),IMDIV(COMPLEX(1,C214*Calculations!$B$248*Calculations!$B$250),IMPRODUCT(COMPLEX(0,C214*Calculations!$B$237),COMPLEX((Calculations!$B$250+Calculations!$B$252),C214*Calculations!$B$248*Calculations!$B$250*Calculations!$B$252))))</f>
        <v>-0,146995852081208+0,628396967337619i</v>
      </c>
      <c r="V214" s="1">
        <f t="shared" si="59"/>
        <v>-3.8039486991505815</v>
      </c>
      <c r="W214" s="1">
        <f t="shared" si="60"/>
        <v>103.16600274333263</v>
      </c>
      <c r="X214" s="1">
        <f>Calculations!$B$216/(Calculations!$B$216+Calculations!$B$218)</f>
        <v>0.80079681274900394</v>
      </c>
      <c r="Y214" s="1" t="str">
        <f t="shared" si="61"/>
        <v>-0,00376239683841944-0,0413643506940945i</v>
      </c>
      <c r="Z214" s="1">
        <f t="shared" si="62"/>
        <v>-27.631693265467948</v>
      </c>
      <c r="AA214" s="1">
        <f t="shared" si="63"/>
        <v>-95.197178300396729</v>
      </c>
    </row>
    <row r="215" spans="1:37">
      <c r="B215" s="1">
        <v>129154.96650148838</v>
      </c>
      <c r="C215" s="1">
        <f t="shared" si="64"/>
        <v>811504.58787142346</v>
      </c>
      <c r="D215" s="73" t="str">
        <f>IMDIV(COMPLEX((POWER(V48_Nom,2)/(V12_Min*Calculations!$B$28*np)),((Zo_Boost_Cout*Zo_Boost_Resr*POWER(V48_Nom,2))/(V12_Min*Calculations!$B$28*np))*C215),COMPLEX(1,((Zo_Boost_Cout*Zo_Boost_Resr)+((Zo_Boost_Cout*POWER(V48_Nom,2))/(V12_Min*Calculations!$B$28*np)))*C215))</f>
        <v>0,00997874197750927-0,00383168570821929i</v>
      </c>
      <c r="E215" s="1">
        <f t="shared" si="65"/>
        <v>-39.421167771938727</v>
      </c>
      <c r="F215" s="1">
        <f t="shared" si="66"/>
        <v>-21.006032777698728</v>
      </c>
      <c r="G215" s="1" t="str">
        <f>IMDIV(IMSUM(COMPLEX(V48_Nom,0),IMPRODUCT(COMPLEX(np*(Calculations!$B$28*(V12_Min/V48_Nom)),0),D215)),IMSUM(IMPRODUCT(COMPLEX(((V12_Min/V48_Nom)^2),0),D215),COMPLEX(Rcs/np,(Lm*C215)/np)))</f>
        <v>0,00634178593328207-5,49104487895016i</v>
      </c>
      <c r="H215" s="1">
        <f t="shared" si="50"/>
        <v>14.79310565818208</v>
      </c>
      <c r="I215" s="1">
        <f t="shared" si="51"/>
        <v>-89.933827274224541</v>
      </c>
      <c r="J215" s="73" t="str">
        <f>IMPRODUCT(COMPLEX(-1,0),IMDIV(IMSUM(IMSUB(IMPRODUCT(COMPLEX((1-(V12_Min/V48_Nom))*V48_Nom,0),D215),IMPRODUCT(COMPLEX(V48_Nom,0),D215)),IMPRODUCT(COMPLEX(0,Calculations!$B$28*Lm*C215),D215)),IMSUM(IMPRODUCT(COMPLEX(((V12_Min/V48_Nom)^2),0),D215),COMPLEX(Rcs/np,(Lm*C215)/np))))</f>
        <v>-0,125072561338257+0,0320569173553766i</v>
      </c>
      <c r="K215" s="1">
        <f t="shared" si="52"/>
        <v>-17.780437788370318</v>
      </c>
      <c r="L215" s="1">
        <f t="shared" si="53"/>
        <v>165.62418064417449</v>
      </c>
      <c r="M215" s="1">
        <f t="shared" si="67"/>
        <v>2.6666666666666665</v>
      </c>
      <c r="N215" s="1">
        <f t="shared" si="68"/>
        <v>0.16</v>
      </c>
      <c r="O215" s="1" t="str">
        <f t="shared" si="69"/>
        <v>0,13209483754916-0,109112585155967i</v>
      </c>
      <c r="P215" s="1">
        <f t="shared" si="54"/>
        <v>-15.323237984362301</v>
      </c>
      <c r="Q215" s="1">
        <f t="shared" si="55"/>
        <v>-39.557286438363882</v>
      </c>
      <c r="R215" s="1" t="str">
        <f t="shared" si="56"/>
        <v>-0,0624607754437463+0,0380482844716717i</v>
      </c>
      <c r="S215" s="1">
        <f t="shared" si="57"/>
        <v>-22.71725744151302</v>
      </c>
      <c r="T215" s="1">
        <f t="shared" si="58"/>
        <v>148.65211363137925</v>
      </c>
      <c r="U215" s="1" t="str">
        <f>IMPRODUCT(COMPLEX(-1,0),IMDIV(COMPLEX(1,C215*Calculations!$B$248*Calculations!$B$250),IMPRODUCT(COMPLEX(0,C215*Calculations!$B$237),COMPLEX((Calculations!$B$250+Calculations!$B$252),C215*Calculations!$B$248*Calculations!$B$250*Calculations!$B$252))))</f>
        <v>-0,0900300446324171+0,496971382693107i</v>
      </c>
      <c r="V215" s="1">
        <f t="shared" si="59"/>
        <v>-5.9331343734809758</v>
      </c>
      <c r="W215" s="1">
        <f t="shared" si="60"/>
        <v>100.26819384144299</v>
      </c>
      <c r="X215" s="1">
        <f>Calculations!$B$216/(Calculations!$B$216+Calculations!$B$218)</f>
        <v>0.80079681274900394</v>
      </c>
      <c r="Y215" s="1" t="str">
        <f t="shared" si="61"/>
        <v>-0,0106390358189016-0,0276008288597303i</v>
      </c>
      <c r="Z215" s="1">
        <f t="shared" si="62"/>
        <v>-30.579945096204963</v>
      </c>
      <c r="AA215" s="1">
        <f t="shared" si="63"/>
        <v>-111.07969252717763</v>
      </c>
      <c r="AJ215" t="s">
        <v>573</v>
      </c>
    </row>
    <row r="216" spans="1:37">
      <c r="B216" s="1">
        <v>166810.05372000611</v>
      </c>
      <c r="C216" s="1">
        <f t="shared" si="64"/>
        <v>1048098.4786233798</v>
      </c>
      <c r="D216" s="73" t="str">
        <f>IMDIV(COMPLEX((POWER(V48_Nom,2)/(V12_Min*Calculations!$B$28*np)),((Zo_Boost_Cout*Zo_Boost_Resr*POWER(V48_Nom,2))/(V12_Min*Calculations!$B$28*np))*C216),COMPLEX(1,((Zo_Boost_Cout*Zo_Boost_Resr)+((Zo_Boost_Cout*POWER(V48_Nom,2))/(V12_Min*Calculations!$B$28*np)))*C216))</f>
        <v>0,00997726822720649-0,00296673618311284i</v>
      </c>
      <c r="E216" s="1">
        <f t="shared" si="65"/>
        <v>-39.651814864616362</v>
      </c>
      <c r="F216" s="1">
        <f t="shared" si="66"/>
        <v>-16.559821888315685</v>
      </c>
      <c r="G216" s="1" t="str">
        <f>IMDIV(IMSUM(COMPLEX(V48_Nom,0),IMPRODUCT(COMPLEX(np*(Calculations!$B$28*(V12_Min/V48_Nom)),0),D216)),IMSUM(IMPRODUCT(COMPLEX(((V12_Min/V48_Nom)^2),0),D216),COMPLEX(Rcs/np,(Lm*C216)/np)))</f>
        <v>0,00380119490271908-4,25133309279591i</v>
      </c>
      <c r="H216" s="1">
        <f t="shared" si="50"/>
        <v>12.57050613914547</v>
      </c>
      <c r="I216" s="1">
        <f t="shared" si="51"/>
        <v>-89.948770806182267</v>
      </c>
      <c r="J216" s="73" t="str">
        <f>IMPRODUCT(COMPLEX(-1,0),IMDIV(IMSUM(IMSUB(IMPRODUCT(COMPLEX((1-(V12_Min/V48_Nom))*V48_Nom,0),D216),IMPRODUCT(COMPLEX(V48_Nom,0),D216)),IMPRODUCT(COMPLEX(0,Calculations!$B$28*Lm*C216),D216)),IMSUM(IMPRODUCT(COMPLEX(((V12_Min/V48_Nom)^2),0),D216),COMPLEX(Rcs/np,(Lm*C216)/np))))</f>
        <v>-0,12292093147913+0,0248245156276628i</v>
      </c>
      <c r="K216" s="1">
        <f t="shared" si="52"/>
        <v>-18.033869213492881</v>
      </c>
      <c r="L216" s="1">
        <f t="shared" si="53"/>
        <v>168.58239461411836</v>
      </c>
      <c r="M216" s="1">
        <f t="shared" si="67"/>
        <v>2.6666666666666665</v>
      </c>
      <c r="N216" s="1">
        <f t="shared" si="68"/>
        <v>0.16</v>
      </c>
      <c r="O216" s="1" t="str">
        <f t="shared" si="69"/>
        <v>0,108439914158781-0,110786540194597i</v>
      </c>
      <c r="P216" s="1">
        <f t="shared" si="54"/>
        <v>-16.191943180944524</v>
      </c>
      <c r="Q216" s="1">
        <f t="shared" si="55"/>
        <v>-45.613277414984069</v>
      </c>
      <c r="R216" s="1" t="str">
        <f t="shared" si="56"/>
        <v>-0,0459180218939525+0,0431081725831358i</v>
      </c>
      <c r="S216" s="1">
        <f t="shared" si="57"/>
        <v>-24.01561964125122</v>
      </c>
      <c r="T216" s="1">
        <f t="shared" si="58"/>
        <v>136.80777220893694</v>
      </c>
      <c r="U216" s="1" t="str">
        <f>IMPRODUCT(COMPLEX(-1,0),IMDIV(COMPLEX(1,C216*Calculations!$B$248*Calculations!$B$250),IMPRODUCT(COMPLEX(0,C216*Calculations!$B$237),COMPLEX((Calculations!$B$250+Calculations!$B$252),C216*Calculations!$B$248*Calculations!$B$250*Calculations!$B$252))))</f>
        <v>-0,0546814860867573+0,389796251054942i</v>
      </c>
      <c r="V216" s="1">
        <f t="shared" si="59"/>
        <v>-8.0986116507278769</v>
      </c>
      <c r="W216" s="1">
        <f t="shared" si="60"/>
        <v>97.985469335159365</v>
      </c>
      <c r="X216" s="1">
        <f>Calculations!$B$216/(Calculations!$B$216+Calculations!$B$218)</f>
        <v>0.80079681274900394</v>
      </c>
      <c r="Y216" s="1" t="str">
        <f t="shared" si="61"/>
        <v>-0,0114454191867309-0,0162208535363338i</v>
      </c>
      <c r="Z216" s="1">
        <f t="shared" si="62"/>
        <v>-34.043784573190088</v>
      </c>
      <c r="AA216" s="1">
        <f t="shared" si="63"/>
        <v>-125.20675845590384</v>
      </c>
      <c r="AF216" t="s">
        <v>574</v>
      </c>
      <c r="AG216">
        <f t="array" ref="AG216">INDEX($Z$169:$Z$223,(MATCH(TRUE,$Z$169:$Z$223&lt;0,)-1))</f>
        <v>0.39249709133704602</v>
      </c>
      <c r="AH216">
        <f t="array" ref="AH216">INDEX($Z$169:$Z$223,(MATCH(TRUE,$Z$169:$Z$223&lt;0,)-0))</f>
        <v>-1.777775207757851</v>
      </c>
    </row>
    <row r="217" spans="1:37">
      <c r="B217" s="1">
        <v>215443.46900318863</v>
      </c>
      <c r="C217" s="1">
        <f t="shared" si="64"/>
        <v>1353671.2389686354</v>
      </c>
      <c r="D217" s="73" t="str">
        <f>IMDIV(COMPLEX((POWER(V48_Nom,2)/(V12_Min*Calculations!$B$28*np)),((Zo_Boost_Cout*Zo_Boost_Resr*POWER(V48_Nom,2))/(V12_Min*Calculations!$B$28*np))*C217),COMPLEX(1,((Zo_Boost_Cout*Zo_Boost_Resr)+((Zo_Boost_Cout*POWER(V48_Nom,2))/(V12_Min*Calculations!$B$28*np)))*C217))</f>
        <v>0,00997638473658905-0,00229703659130142i</v>
      </c>
      <c r="E217" s="1">
        <f t="shared" si="65"/>
        <v>-39.796195329240987</v>
      </c>
      <c r="F217" s="1">
        <f t="shared" si="66"/>
        <v>-12.966226275865745</v>
      </c>
      <c r="G217" s="1" t="str">
        <f>IMDIV(IMSUM(COMPLEX(V48_Nom,0),IMPRODUCT(COMPLEX(np*(Calculations!$B$28*(V12_Min/V48_Nom)),0),D217)),IMSUM(IMPRODUCT(COMPLEX(((V12_Min/V48_Nom)^2),0),D217),COMPLEX(Rcs/np,(Lm*C217)/np)))</f>
        <v>0,00227853875884667-3,29156763178903i</v>
      </c>
      <c r="H217" s="1">
        <f t="shared" si="50"/>
        <v>10.348057740327993</v>
      </c>
      <c r="I217" s="1">
        <f t="shared" si="51"/>
        <v>-89.960337854757952</v>
      </c>
      <c r="J217" s="73" t="str">
        <f>IMPRODUCT(COMPLEX(-1,0),IMDIV(IMSUM(IMSUB(IMPRODUCT(COMPLEX((1-(V12_Min/V48_Nom))*V48_Nom,0),D217),IMPRODUCT(COMPLEX(V48_Nom,0),D217)),IMPRODUCT(COMPLEX(0,Calculations!$B$28*Lm*C217),D217)),IMSUM(IMPRODUCT(COMPLEX(((V12_Min/V48_Nom)^2),0),D217),COMPLEX(Rcs/np,(Lm*C217)/np))))</f>
        <v>-0,121631149153342+0,0192225812924468i</v>
      </c>
      <c r="K217" s="1">
        <f t="shared" si="52"/>
        <v>-18.191964179730864</v>
      </c>
      <c r="L217" s="1">
        <f t="shared" si="53"/>
        <v>171.01925558831431</v>
      </c>
      <c r="M217" s="1">
        <f t="shared" si="67"/>
        <v>2.6666666666666665</v>
      </c>
      <c r="N217" s="1">
        <f t="shared" si="68"/>
        <v>0.16</v>
      </c>
      <c r="O217" s="1" t="str">
        <f t="shared" si="69"/>
        <v>0,0834978135679445-0,107252963170872i</v>
      </c>
      <c r="P217" s="1">
        <f t="shared" si="54"/>
        <v>-17.334136023250753</v>
      </c>
      <c r="Q217" s="1">
        <f t="shared" si="55"/>
        <v>-52.09878267674064</v>
      </c>
      <c r="R217" s="1" t="str">
        <f t="shared" si="56"/>
        <v>-0,0311695925810733+0,0416846728464076i</v>
      </c>
      <c r="S217" s="1">
        <f t="shared" si="57"/>
        <v>-25.671660743315133</v>
      </c>
      <c r="T217" s="1">
        <f t="shared" si="58"/>
        <v>126.7871954300587</v>
      </c>
      <c r="U217" s="1" t="str">
        <f>IMPRODUCT(COMPLEX(-1,0),IMDIV(COMPLEX(1,C217*Calculations!$B$248*Calculations!$B$250),IMPRODUCT(COMPLEX(0,C217*Calculations!$B$237),COMPLEX((Calculations!$B$250+Calculations!$B$252),C217*Calculations!$B$248*Calculations!$B$250*Calculations!$B$252))))</f>
        <v>-0,0330412216977354+0,304179524237832i</v>
      </c>
      <c r="V217" s="1">
        <f t="shared" si="59"/>
        <v>-10.286457194863273</v>
      </c>
      <c r="W217" s="1">
        <f t="shared" si="60"/>
        <v>96.199395105530485</v>
      </c>
      <c r="X217" s="1">
        <f>Calculations!$B$216/(Calculations!$B$216+Calculations!$B$218)</f>
        <v>0.80079681274900394</v>
      </c>
      <c r="Y217" s="1" t="str">
        <f t="shared" si="61"/>
        <v>-0,00932907669195956-0,00869542364996675i</v>
      </c>
      <c r="Z217" s="1">
        <f t="shared" si="62"/>
        <v>-37.887671219389382</v>
      </c>
      <c r="AA217" s="1">
        <f t="shared" si="63"/>
        <v>-137.01340946441067</v>
      </c>
      <c r="AF217" t="s">
        <v>575</v>
      </c>
      <c r="AG217">
        <f t="array" ref="AG217">INDEX($B$169:$B$223,(MATCH(TRUE,$Z$169:$Z$223&lt;0,)-1))</f>
        <v>1668.1005372000604</v>
      </c>
      <c r="AH217">
        <f t="array" ref="AH217">INDEX($B$169:$B$223,(MATCH(TRUE,$Z$169:$Z$223&lt;0,)-0))</f>
        <v>2154.4346900318833</v>
      </c>
      <c r="AJ217">
        <f>(AG216*AH217-AG217*AH216)/(AG216-AH216)/1000</f>
        <v>1.7560548185517437</v>
      </c>
      <c r="AK217" s="203" t="str">
        <f>"Crossover Frequency = "&amp;ROUND(AJ217,1)&amp;" kHz"</f>
        <v>Crossover Frequency = 1,8 kHz</v>
      </c>
    </row>
    <row r="218" spans="1:37">
      <c r="B218" s="1">
        <v>278255.94022071268</v>
      </c>
      <c r="C218" s="1">
        <f t="shared" si="64"/>
        <v>1748333.6352302232</v>
      </c>
      <c r="D218" s="73" t="str">
        <f>IMDIV(COMPLEX((POWER(V48_Nom,2)/(V12_Min*Calculations!$B$28*np)),((Zo_Boost_Cout*Zo_Boost_Resr*POWER(V48_Nom,2))/(V12_Min*Calculations!$B$28*np))*C218),COMPLEX(1,((Zo_Boost_Cout*Zo_Boost_Resr)+((Zo_Boost_Cout*POWER(V48_Nom,2))/(V12_Min*Calculations!$B$28*np)))*C218))</f>
        <v>0,00997585509769107-0,00177851224651544i</v>
      </c>
      <c r="E218" s="1">
        <f t="shared" si="65"/>
        <v>-39.885107955012863</v>
      </c>
      <c r="F218" s="1">
        <f t="shared" si="66"/>
        <v>-10.108582724269727</v>
      </c>
      <c r="G218" s="1" t="str">
        <f>IMDIV(IMSUM(COMPLEX(V48_Nom,0),IMPRODUCT(COMPLEX(np*(Calculations!$B$28*(V12_Min/V48_Nom)),0),D218)),IMSUM(IMPRODUCT(COMPLEX(((V12_Min/V48_Nom)^2),0),D218),COMPLEX(Rcs/np,(Lm*C218)/np)))</f>
        <v>0,00136586986144721-2,54850173852651i</v>
      </c>
      <c r="H218" s="1">
        <f t="shared" si="50"/>
        <v>8.125699931279657</v>
      </c>
      <c r="I218" s="1">
        <f t="shared" si="51"/>
        <v>-89.969292321936095</v>
      </c>
      <c r="J218" s="73" t="str">
        <f>IMPRODUCT(COMPLEX(-1,0),IMDIV(IMSUM(IMSUB(IMPRODUCT(COMPLEX((1-(V12_Min/V48_Nom))*V48_Nom,0),D218),IMPRODUCT(COMPLEX(V48_Nom,0),D218)),IMPRODUCT(COMPLEX(0,Calculations!$B$28*Lm*C218),D218)),IMSUM(IMPRODUCT(COMPLEX(((V12_Min/V48_Nom)^2),0),D218),COMPLEX(Rcs/np,(Lm*C218)/np))))</f>
        <v>-0,120857975826703+0,0148842100232412i</v>
      </c>
      <c r="K218" s="1">
        <f t="shared" si="52"/>
        <v>-18.289118569564131</v>
      </c>
      <c r="L218" s="1">
        <f t="shared" si="53"/>
        <v>172.97911678436975</v>
      </c>
      <c r="M218" s="1">
        <f t="shared" si="67"/>
        <v>2.6666666666666665</v>
      </c>
      <c r="N218" s="1">
        <f t="shared" si="68"/>
        <v>0.16</v>
      </c>
      <c r="O218" s="1" t="str">
        <f t="shared" si="69"/>
        <v>0,0603448612813496-0,0984766528218856i</v>
      </c>
      <c r="P218" s="1">
        <f t="shared" si="54"/>
        <v>-18.748717319321749</v>
      </c>
      <c r="Q218" s="1">
        <f t="shared" si="55"/>
        <v>-58.500722956910934</v>
      </c>
      <c r="R218" s="1" t="str">
        <f t="shared" si="56"/>
        <v>-0,0201051718587158+0,0367460757317134i</v>
      </c>
      <c r="S218" s="1">
        <f t="shared" si="57"/>
        <v>-27.558486034621911</v>
      </c>
      <c r="T218" s="1">
        <f t="shared" si="58"/>
        <v>118.68474183009673</v>
      </c>
      <c r="U218" s="1" t="str">
        <f>IMPRODUCT(COMPLEX(-1,0),IMDIV(COMPLEX(1,C218*Calculations!$B$248*Calculations!$B$250),IMPRODUCT(COMPLEX(0,C218*Calculations!$B$237),COMPLEX((Calculations!$B$250+Calculations!$B$252),C218*Calculations!$B$248*Calculations!$B$250*Calculations!$B$252))))</f>
        <v>-0,0199025183189407+0,23663135513242i</v>
      </c>
      <c r="V218" s="1">
        <f t="shared" si="59"/>
        <v>-12.487939894066544</v>
      </c>
      <c r="W218" s="1">
        <f t="shared" si="60"/>
        <v>94.807700643983281</v>
      </c>
      <c r="X218" s="1">
        <f>Calculations!$B$216/(Calculations!$B$216+Calculations!$B$218)</f>
        <v>0.80079681274900394</v>
      </c>
      <c r="Y218" s="1" t="str">
        <f t="shared" si="61"/>
        <v>-0,00664271378143042-0,00439545639445037i</v>
      </c>
      <c r="Z218" s="1">
        <f t="shared" si="62"/>
        <v>-41.97597920989945</v>
      </c>
      <c r="AA218" s="1">
        <f t="shared" si="63"/>
        <v>-146.50755752591996</v>
      </c>
      <c r="AF218" t="s">
        <v>576</v>
      </c>
      <c r="AG218">
        <f t="array" ref="AG218">INDEX($AA$169:$AA$223,(MATCH(TRUE,$Z$169:$Z$223&lt;0,)-1))</f>
        <v>81.821697942839734</v>
      </c>
      <c r="AH218">
        <f t="array" ref="AH218">INDEX($AA$169:$AA$223,(MATCH(TRUE,$Z$169:$Z$223&lt;0,)-0))</f>
        <v>79.218676669404246</v>
      </c>
      <c r="AJ218">
        <f>(AG216*AH218-AG218*AH216)/(AG216-AH216)</f>
        <v>81.350937532296797</v>
      </c>
      <c r="AK218" t="str">
        <f>"Phase Margin = "&amp;ROUND(AJ218,0)&amp;"°"</f>
        <v>Phase Margin = 81°</v>
      </c>
    </row>
    <row r="219" spans="1:37">
      <c r="B219" s="1">
        <v>359381.36638046295</v>
      </c>
      <c r="C219" s="1">
        <f t="shared" si="64"/>
        <v>2258059.7209158484</v>
      </c>
      <c r="D219" s="73" t="str">
        <f>IMDIV(COMPLEX((POWER(V48_Nom,2)/(V12_Min*Calculations!$B$28*np)),((Zo_Boost_Cout*Zo_Boost_Resr*POWER(V48_Nom,2))/(V12_Min*Calculations!$B$28*np))*C219),COMPLEX(1,((Zo_Boost_Cout*Zo_Boost_Resr)+((Zo_Boost_Cout*POWER(V48_Nom,2))/(V12_Min*Calculations!$B$28*np)))*C219))</f>
        <v>0,00997553758744591-0,00137703755125968i</v>
      </c>
      <c r="E219" s="1">
        <f t="shared" si="65"/>
        <v>-39.939295701718152</v>
      </c>
      <c r="F219" s="1">
        <f t="shared" si="66"/>
        <v>-7.8595207541550973</v>
      </c>
      <c r="G219" s="1" t="str">
        <f>IMDIV(IMSUM(COMPLEX(V48_Nom,0),IMPRODUCT(COMPLEX(np*(Calculations!$B$28*(V12_Min/V48_Nom)),0),D219)),IMSUM(IMPRODUCT(COMPLEX(((V12_Min/V48_Nom)^2),0),D219),COMPLEX(Rcs/np,(Lm*C219)/np)))</f>
        <v>0,000818789353742219-1,97319398995852i</v>
      </c>
      <c r="H219" s="1">
        <f t="shared" si="50"/>
        <v>5.9033964277819742</v>
      </c>
      <c r="I219" s="1">
        <f t="shared" si="51"/>
        <v>-89.976224754471289</v>
      </c>
      <c r="J219" s="73" t="str">
        <f>IMPRODUCT(COMPLEX(-1,0),IMDIV(IMSUM(IMSUB(IMPRODUCT(COMPLEX((1-(V12_Min/V48_Nom))*V48_Nom,0),D219),IMPRODUCT(COMPLEX(V48_Nom,0),D219)),IMPRODUCT(COMPLEX(0,Calculations!$B$28*Lm*C219),D219)),IMSUM(IMPRODUCT(COMPLEX(((V12_Min/V48_Nom)^2),0),D219),COMPLEX(Rcs/np,(Lm*C219)/np))))</f>
        <v>-0,120394481686076+0,011524704017746i</v>
      </c>
      <c r="K219" s="1">
        <f t="shared" si="52"/>
        <v>-18.34825439011502</v>
      </c>
      <c r="L219" s="1">
        <f t="shared" si="53"/>
        <v>174.53204964830806</v>
      </c>
      <c r="M219" s="1">
        <f t="shared" si="67"/>
        <v>2.6666666666666665</v>
      </c>
      <c r="N219" s="1">
        <f t="shared" si="68"/>
        <v>0.16</v>
      </c>
      <c r="O219" s="1" t="str">
        <f t="shared" si="69"/>
        <v>0,0412601889435981-0,0860974802683237i</v>
      </c>
      <c r="P219" s="1">
        <f t="shared" si="54"/>
        <v>-20.402347841314995</v>
      </c>
      <c r="Q219" s="1">
        <f t="shared" si="55"/>
        <v>-64.395027261667778</v>
      </c>
      <c r="R219" s="1" t="str">
        <f t="shared" si="56"/>
        <v>-0,0125795608600106+0,0306970822587789i</v>
      </c>
      <c r="S219" s="1">
        <f t="shared" si="57"/>
        <v>-29.583877710622136</v>
      </c>
      <c r="T219" s="1">
        <f t="shared" si="58"/>
        <v>112.28365306581307</v>
      </c>
      <c r="U219" s="1" t="str">
        <f>IMPRODUCT(COMPLEX(-1,0),IMDIV(COMPLEX(1,C219*Calculations!$B$248*Calculations!$B$250),IMPRODUCT(COMPLEX(0,C219*Calculations!$B$237),COMPLEX((Calculations!$B$250+Calculations!$B$252),C219*Calculations!$B$248*Calculations!$B$250*Calculations!$B$252))))</f>
        <v>-0,0119655867813441+0,183737135584854i</v>
      </c>
      <c r="V219" s="1">
        <f t="shared" si="59"/>
        <v>-14.69768143930188</v>
      </c>
      <c r="W219" s="1">
        <f t="shared" si="60"/>
        <v>93.726034409440942</v>
      </c>
      <c r="X219" s="1">
        <f>Calculations!$B$216/(Calculations!$B$216+Calculations!$B$218)</f>
        <v>0.80079681274900394</v>
      </c>
      <c r="Y219" s="1" t="str">
        <f t="shared" si="61"/>
        <v>-0,00439611195106655-0,00214504724019151i</v>
      </c>
      <c r="Z219" s="1">
        <f t="shared" si="62"/>
        <v>-46.211112431134993</v>
      </c>
      <c r="AA219" s="1">
        <f t="shared" si="63"/>
        <v>-153.99031252474597</v>
      </c>
    </row>
    <row r="220" spans="1:37">
      <c r="B220" s="1">
        <v>464158.88336127804</v>
      </c>
      <c r="C220" s="1">
        <f t="shared" si="64"/>
        <v>2916396.2761324653</v>
      </c>
      <c r="D220" s="73" t="str">
        <f>IMDIV(COMPLEX((POWER(V48_Nom,2)/(V12_Min*Calculations!$B$28*np)),((Zo_Boost_Cout*Zo_Boost_Resr*POWER(V48_Nom,2))/(V12_Min*Calculations!$B$28*np))*C220),COMPLEX(1,((Zo_Boost_Cout*Zo_Boost_Resr)+((Zo_Boost_Cout*POWER(V48_Nom,2))/(V12_Min*Calculations!$B$28*np)))*C220))</f>
        <v>0,00997534724503043-0,00106619021649067i</v>
      </c>
      <c r="E220" s="1">
        <f t="shared" si="65"/>
        <v>-39.972107549569976</v>
      </c>
      <c r="F220" s="1">
        <f t="shared" si="66"/>
        <v>-6.1007560307572435</v>
      </c>
      <c r="G220" s="1" t="str">
        <f>IMDIV(IMSUM(COMPLEX(V48_Nom,0),IMPRODUCT(COMPLEX(np*(Calculations!$B$28*(V12_Min/V48_Nom)),0),D220)),IMSUM(IMPRODUCT(COMPLEX(((V12_Min/V48_Nom)^2),0),D220),COMPLEX(Rcs/np,(Lm*C220)/np)))</f>
        <v>0,000490841217719779-1,52776392744474i</v>
      </c>
      <c r="H220" s="1">
        <f t="shared" si="50"/>
        <v>3.6811254790356913</v>
      </c>
      <c r="I220" s="1">
        <f t="shared" si="51"/>
        <v>-89.981591966721069</v>
      </c>
      <c r="J220" s="73" t="str">
        <f>IMPRODUCT(COMPLEX(-1,0),IMDIV(IMSUM(IMSUB(IMPRODUCT(COMPLEX((1-(V12_Min/V48_Nom))*V48_Nom,0),D220),IMPRODUCT(COMPLEX(V48_Nom,0),D220)),IMPRODUCT(COMPLEX(0,Calculations!$B$28*Lm*C220),D220)),IMSUM(IMPRODUCT(COMPLEX(((V12_Min/V48_Nom)^2),0),D220),COMPLEX(Rcs/np,(Lm*C220)/np))))</f>
        <v>-0,120116628234614+0,00892334578062645i</v>
      </c>
      <c r="K220" s="1">
        <f t="shared" si="52"/>
        <v>-18.3840351479875</v>
      </c>
      <c r="L220" s="1">
        <f t="shared" si="53"/>
        <v>175.75135749406397</v>
      </c>
      <c r="M220" s="1">
        <f t="shared" si="67"/>
        <v>2.6666666666666665</v>
      </c>
      <c r="N220" s="1">
        <f t="shared" si="68"/>
        <v>0.16</v>
      </c>
      <c r="O220" s="1" t="str">
        <f t="shared" si="69"/>
        <v>0,0270106315325897-0,0723568089026972i</v>
      </c>
      <c r="P220" s="1">
        <f t="shared" si="54"/>
        <v>-22.243835810956263</v>
      </c>
      <c r="Q220" s="1">
        <f t="shared" si="55"/>
        <v>-69.529511564184119</v>
      </c>
      <c r="R220" s="1" t="str">
        <f t="shared" si="56"/>
        <v>-0,00773270131795475+0,0248553242505957i</v>
      </c>
      <c r="S220" s="1">
        <f t="shared" si="57"/>
        <v>-31.690382592598926</v>
      </c>
      <c r="T220" s="1">
        <f t="shared" si="58"/>
        <v>107.28135918024199</v>
      </c>
      <c r="U220" s="1" t="str">
        <f>IMPRODUCT(COMPLEX(-1,0),IMDIV(COMPLEX(1,C220*Calculations!$B$248*Calculations!$B$250),IMPRODUCT(COMPLEX(0,C220*Calculations!$B$237),COMPLEX((Calculations!$B$250+Calculations!$B$252),C220*Calculations!$B$248*Calculations!$B$250*Calculations!$B$252))))</f>
        <v>-0,00718557907294739+0,14250443269147i</v>
      </c>
      <c r="V220" s="1">
        <f t="shared" si="59"/>
        <v>-16.912404456838498</v>
      </c>
      <c r="W220" s="1">
        <f t="shared" si="60"/>
        <v>92.886611696988552</v>
      </c>
      <c r="X220" s="1">
        <f>Calculations!$B$216/(Calculations!$B$216+Calculations!$B$218)</f>
        <v>0.80079681274900394</v>
      </c>
      <c r="Y220" s="1" t="str">
        <f t="shared" si="61"/>
        <v>-0,00279192198776945-0,00102545564369363i</v>
      </c>
      <c r="Z220" s="1">
        <f t="shared" si="62"/>
        <v>-50.532340330648395</v>
      </c>
      <c r="AA220" s="1">
        <f t="shared" si="63"/>
        <v>-159.83202912276931</v>
      </c>
    </row>
    <row r="221" spans="1:37">
      <c r="B221" s="1">
        <v>599484.25031894213</v>
      </c>
      <c r="C221" s="1">
        <f t="shared" si="64"/>
        <v>3766670.6334895464</v>
      </c>
      <c r="D221" s="73" t="str">
        <f>IMDIV(COMPLEX((POWER(V48_Nom,2)/(V12_Min*Calculations!$B$28*np)),((Zo_Boost_Cout*Zo_Boost_Resr*POWER(V48_Nom,2))/(V12_Min*Calculations!$B$28*np))*C221),COMPLEX(1,((Zo_Boost_Cout*Zo_Boost_Resr)+((Zo_Boost_Cout*POWER(V48_Nom,2))/(V12_Min*Calculations!$B$28*np)))*C221))</f>
        <v>0,00997523313774144-0,000825512387066773i</v>
      </c>
      <c r="E221" s="1">
        <f t="shared" si="65"/>
        <v>-39.991897250663499</v>
      </c>
      <c r="F221" s="1">
        <f t="shared" si="66"/>
        <v>-4.7308008632020506</v>
      </c>
      <c r="G221" s="1" t="str">
        <f>IMDIV(IMSUM(COMPLEX(V48_Nom,0),IMPRODUCT(COMPLEX(np*(Calculations!$B$28*(V12_Min/V48_Nom)),0),D221)),IMSUM(IMPRODUCT(COMPLEX(((V12_Min/V48_Nom)^2),0),D221),COMPLEX(Rcs/np,(Lm*C221)/np)))</f>
        <v>0,00029424794823196-1,18288817112026i</v>
      </c>
      <c r="H221" s="1">
        <f t="shared" si="50"/>
        <v>1.4588740461448331</v>
      </c>
      <c r="I221" s="1">
        <f t="shared" si="51"/>
        <v>-89.985747456413932</v>
      </c>
      <c r="J221" s="73" t="str">
        <f>IMPRODUCT(COMPLEX(-1,0),IMDIV(IMSUM(IMSUB(IMPRODUCT(COMPLEX((1-(V12_Min/V48_Nom))*V48_Nom,0),D221),IMPRODUCT(COMPLEX(V48_Nom,0),D221)),IMPRODUCT(COMPLEX(0,Calculations!$B$28*Lm*C221),D221)),IMSUM(IMPRODUCT(COMPLEX(((V12_Min/V48_Nom)^2),0),D221),COMPLEX(Rcs/np,(Lm*C221)/np))))</f>
        <v>-0,11995006089902+0,0069091089005563i</v>
      </c>
      <c r="K221" s="1">
        <f t="shared" si="52"/>
        <v>-18.405605606003867</v>
      </c>
      <c r="L221" s="1">
        <f t="shared" si="53"/>
        <v>176.70341260398862</v>
      </c>
      <c r="M221" s="1">
        <f t="shared" si="67"/>
        <v>2.6666666666666665</v>
      </c>
      <c r="N221" s="1">
        <f t="shared" si="68"/>
        <v>0.16</v>
      </c>
      <c r="O221" s="1" t="str">
        <f t="shared" si="69"/>
        <v>0,0171377173646319-0,0590781734478724i</v>
      </c>
      <c r="P221" s="1">
        <f t="shared" si="54"/>
        <v>-24.22056684315001</v>
      </c>
      <c r="Q221" s="1">
        <f t="shared" si="55"/>
        <v>-73.823326010992716</v>
      </c>
      <c r="R221" s="1" t="str">
        <f t="shared" si="56"/>
        <v>-0,00470465102005503+0,0197613465128343i</v>
      </c>
      <c r="S221" s="1">
        <f t="shared" si="57"/>
        <v>-33.844238788584178</v>
      </c>
      <c r="T221" s="1">
        <f t="shared" si="58"/>
        <v>103.39131382764067</v>
      </c>
      <c r="U221" s="1" t="str">
        <f>IMPRODUCT(COMPLEX(-1,0),IMDIV(COMPLEX(1,C221*Calculations!$B$248*Calculations!$B$250),IMPRODUCT(COMPLEX(0,C221*Calculations!$B$237),COMPLEX((Calculations!$B$250+Calculations!$B$252),C221*Calculations!$B$248*Calculations!$B$250*Calculations!$B$252))))</f>
        <v>-0,00431210951519537+0,110449315073639i</v>
      </c>
      <c r="V221" s="1">
        <f t="shared" si="59"/>
        <v>-19.130124806553109</v>
      </c>
      <c r="W221" s="1">
        <f t="shared" si="60"/>
        <v>92.235779020971847</v>
      </c>
      <c r="X221" s="1">
        <f>Calculations!$B$216/(Calculations!$B$216+Calculations!$B$218)</f>
        <v>0.80079681274900394</v>
      </c>
      <c r="Y221" s="1" t="str">
        <f t="shared" si="61"/>
        <v>-0,00173159515372938-0,000484352801611493i</v>
      </c>
      <c r="Z221" s="1">
        <f t="shared" si="62"/>
        <v>-54.903916876348269</v>
      </c>
      <c r="AA221" s="1">
        <f t="shared" si="63"/>
        <v>-164.37290715138747</v>
      </c>
    </row>
    <row r="222" spans="1:37">
      <c r="B222" s="1">
        <v>774263.68268112827</v>
      </c>
      <c r="C222" s="1">
        <f t="shared" si="64"/>
        <v>4864842.1949048229</v>
      </c>
      <c r="D222" s="73" t="str">
        <f>IMDIV(COMPLEX((POWER(V48_Nom,2)/(V12_Min*Calculations!$B$28*np)),((Zo_Boost_Cout*Zo_Boost_Resr*POWER(V48_Nom,2))/(V12_Min*Calculations!$B$28*np))*C222),COMPLEX(1,((Zo_Boost_Cout*Zo_Boost_Resr)+((Zo_Boost_Cout*POWER(V48_Nom,2))/(V12_Min*Calculations!$B$28*np)))*C222))</f>
        <v>0,00997516473221573-0,000639164271867127i</v>
      </c>
      <c r="E222" s="1">
        <f t="shared" si="65"/>
        <v>-40.003804243893072</v>
      </c>
      <c r="F222" s="1">
        <f t="shared" si="66"/>
        <v>-3.6662471952917604</v>
      </c>
      <c r="G222" s="1" t="str">
        <f>IMDIV(IMSUM(COMPLEX(V48_Nom,0),IMPRODUCT(COMPLEX(np*(Calculations!$B$28*(V12_Min/V48_Nom)),0),D222)),IMSUM(IMPRODUCT(COMPLEX(((V12_Min/V48_Nom)^2),0),D222),COMPLEX(Rcs/np,(Lm*C222)/np)))</f>
        <v>0,000176395705680463-0,91586551647703i</v>
      </c>
      <c r="H222" s="1">
        <f t="shared" si="50"/>
        <v>-0.76336568737178745</v>
      </c>
      <c r="I222" s="1">
        <f t="shared" si="51"/>
        <v>-89.988964832551375</v>
      </c>
      <c r="J222" s="73" t="str">
        <f>IMPRODUCT(COMPLEX(-1,0),IMDIV(IMSUM(IMSUB(IMPRODUCT(COMPLEX((1-(V12_Min/V48_Nom))*V48_Nom,0),D222),IMPRODUCT(COMPLEX(V48_Nom,0),D222)),IMPRODUCT(COMPLEX(0,Calculations!$B$28*Lm*C222),D222)),IMSUM(IMPRODUCT(COMPLEX(((V12_Min/V48_Nom)^2),0),D222),COMPLEX(Rcs/np,(Lm*C222)/np))))</f>
        <v>-0,11985020691951+0,00534951217388152i</v>
      </c>
      <c r="K222" s="1">
        <f t="shared" si="52"/>
        <v>-18.418580473841846</v>
      </c>
      <c r="L222" s="1">
        <f t="shared" si="53"/>
        <v>177.44430007179548</v>
      </c>
      <c r="M222" s="1">
        <f t="shared" si="67"/>
        <v>2.6666666666666665</v>
      </c>
      <c r="N222" s="1">
        <f t="shared" si="68"/>
        <v>0.16</v>
      </c>
      <c r="O222" s="1" t="str">
        <f t="shared" si="69"/>
        <v>0,0106463741705518-0,0472972564877149i</v>
      </c>
      <c r="P222" s="1">
        <f t="shared" si="54"/>
        <v>-26.288627015794805</v>
      </c>
      <c r="Q222" s="1">
        <f t="shared" si="55"/>
        <v>-77.314437844187538</v>
      </c>
      <c r="R222" s="1" t="str">
        <f t="shared" si="56"/>
        <v>-0,00284517828010809+0,0155435247066995i</v>
      </c>
      <c r="S222" s="1">
        <f t="shared" si="57"/>
        <v>-36.02588067335067</v>
      </c>
      <c r="T222" s="1">
        <f t="shared" si="58"/>
        <v>100.37292314457629</v>
      </c>
      <c r="U222" s="1" t="str">
        <f>IMPRODUCT(COMPLEX(-1,0),IMDIV(COMPLEX(1,C222*Calculations!$B$248*Calculations!$B$250),IMPRODUCT(COMPLEX(0,C222*Calculations!$B$237),COMPLEX((Calculations!$B$250+Calculations!$B$252),C222*Calculations!$B$248*Calculations!$B$250*Calculations!$B$252))))</f>
        <v>-0,00258665013291267+0,0855695737633537i</v>
      </c>
      <c r="V222" s="1">
        <f t="shared" si="59"/>
        <v>-21.349645987639843</v>
      </c>
      <c r="W222" s="1">
        <f t="shared" si="60"/>
        <v>91.7314450971122</v>
      </c>
      <c r="X222" s="1">
        <f>Calculations!$B$216/(Calculations!$B$216+Calculations!$B$218)</f>
        <v>0.80079681274900394</v>
      </c>
      <c r="Y222" s="1" t="str">
        <f t="shared" si="61"/>
        <v>-0,0010592085814118-0,000227159111332994i</v>
      </c>
      <c r="Z222" s="1">
        <f t="shared" si="62"/>
        <v>-59.305079942201509</v>
      </c>
      <c r="AA222" s="1">
        <f t="shared" si="63"/>
        <v>-167.89563175831145</v>
      </c>
    </row>
    <row r="223" spans="1:37" ht="15" thickBot="1">
      <c r="B223" s="88">
        <v>1000000</v>
      </c>
      <c r="C223" s="88">
        <f t="shared" si="64"/>
        <v>6283185.307179586</v>
      </c>
      <c r="D223" s="73" t="str">
        <f>IMDIV(COMPLEX((POWER(V48_Nom,2)/(V12_Min*Calculations!$B$28*np)),((Zo_Boost_Cout*Zo_Boost_Resr*POWER(V48_Nom,2))/(V12_Min*Calculations!$B$28*np))*C223),COMPLEX(1,((Zo_Boost_Cout*Zo_Boost_Resr)+((Zo_Boost_Cout*POWER(V48_Nom,2))/(V12_Min*Calculations!$B$28*np)))*C223))</f>
        <v>0,00997512372417932-0,00049488168806026i</v>
      </c>
      <c r="E223" s="88">
        <f t="shared" si="65"/>
        <v>-40.010957981719024</v>
      </c>
      <c r="F223" s="88">
        <f t="shared" si="66"/>
        <v>-2.8402056945986427</v>
      </c>
      <c r="G223" s="1" t="str">
        <f>IMDIV(IMSUM(COMPLEX(V48_Nom,0),IMPRODUCT(COMPLEX(np*(Calculations!$B$28*(V12_Min/V48_Nom)),0),D223)),IMSUM(IMPRODUCT(COMPLEX(((V12_Min/V48_Nom)^2),0),D223),COMPLEX(Rcs/np,(Lm*C223)/np)))</f>
        <v>0,000105745978398797-0,709120555855237i</v>
      </c>
      <c r="H223" s="88">
        <f t="shared" si="50"/>
        <v>-2.985598407324352</v>
      </c>
      <c r="I223" s="88">
        <f t="shared" si="51"/>
        <v>-89.991455898199831</v>
      </c>
      <c r="J223" s="73" t="str">
        <f>IMPRODUCT(COMPLEX(-1,0),IMDIV(IMSUM(IMSUB(IMPRODUCT(COMPLEX((1-(V12_Min/V48_Nom))*V48_Nom,0),D223),IMPRODUCT(COMPLEX(V48_Nom,0),D223)),IMPRODUCT(COMPLEX(0,Calculations!$B$28*Lm*C223),D223)),IMSUM(IMPRODUCT(COMPLEX(((V12_Min/V48_Nom)^2),0),D223),COMPLEX(Rcs/np,(Lm*C223)/np))))</f>
        <v>-0,119790346216466+0,0041419515961652i</v>
      </c>
      <c r="K223" s="88">
        <f t="shared" si="52"/>
        <v>-18.426374507528255</v>
      </c>
      <c r="L223" s="88">
        <f t="shared" si="53"/>
        <v>178.01969151557532</v>
      </c>
      <c r="M223" s="1">
        <f t="shared" si="67"/>
        <v>2.6666666666666665</v>
      </c>
      <c r="N223" s="88">
        <f t="shared" si="68"/>
        <v>0.16</v>
      </c>
      <c r="O223" s="88" t="str">
        <f t="shared" si="69"/>
        <v>0,00652417240058433-0,0373851969260859i</v>
      </c>
      <c r="P223" s="88">
        <f t="shared" si="54"/>
        <v>-28.415718334561497</v>
      </c>
      <c r="Q223" s="88">
        <f t="shared" si="55"/>
        <v>-80.100875954992844</v>
      </c>
      <c r="R223" s="88" t="str">
        <f t="shared" si="56"/>
        <v>-0,00171455448125723+0,0121484451642805i</v>
      </c>
      <c r="S223" s="88">
        <f t="shared" si="57"/>
        <v>-38.223930462560809</v>
      </c>
      <c r="T223" s="88">
        <f t="shared" si="58"/>
        <v>98.033305540141257</v>
      </c>
      <c r="U223" s="88" t="str">
        <f>IMPRODUCT(COMPLEX(-1,0),IMDIV(COMPLEX(1,C223*Calculations!$B$248*Calculations!$B$250),IMPRODUCT(COMPLEX(0,C223*Calculations!$B$237),COMPLEX((Calculations!$B$250+Calculations!$B$252),C223*Calculations!$B$248*Calculations!$B$250*Calculations!$B$252))))</f>
        <v>-0,00155123461766442+0,0662778896916423i</v>
      </c>
      <c r="V223" s="88">
        <f t="shared" si="59"/>
        <v>-23.570248172327016</v>
      </c>
      <c r="W223" s="88">
        <f t="shared" si="60"/>
        <v>91.340763461166659</v>
      </c>
      <c r="X223" s="1">
        <f>Calculations!$B$216/(Calculations!$B$216+Calculations!$B$218)</f>
        <v>0.80079681274900394</v>
      </c>
      <c r="Y223" s="1" t="str">
        <f t="shared" si="61"/>
        <v>-0,000642650358899793-0,000106091276634304i</v>
      </c>
      <c r="Z223" s="88">
        <f t="shared" si="62"/>
        <v>-63.723731916098806</v>
      </c>
      <c r="AA223" s="88">
        <f t="shared" si="63"/>
        <v>-170.62593099869204</v>
      </c>
    </row>
    <row r="224" spans="1:37">
      <c r="A224" s="72" t="s">
        <v>308</v>
      </c>
      <c r="B224" s="96">
        <f>Calculations!B242</f>
        <v>1800</v>
      </c>
      <c r="C224" s="97">
        <f t="shared" si="64"/>
        <v>11309.733552923255</v>
      </c>
      <c r="D224" s="73" t="str">
        <f>IMDIV(COMPLEX((POWER(V48_Nom,2)/(V12_Min*Calculations!$B$28*np)),((Zo_Boost_Cout*Zo_Boost_Resr*POWER(V48_Nom,2))/(V12_Min*Calculations!$B$28*np))*C224),COMPLEX(1,((Zo_Boost_Cout*Zo_Boost_Resr)+((Zo_Boost_Cout*POWER(V48_Nom,2))/(V12_Min*Calculations!$B$28*np)))*C224))</f>
        <v>0,0288299969506733-0,273635068510823i</v>
      </c>
      <c r="E224" s="97">
        <f t="shared" si="65"/>
        <v>-11.208621305385106</v>
      </c>
      <c r="F224" s="97">
        <f>IMARGUMENT(D224)*(180/PI())</f>
        <v>-83.98554640879955</v>
      </c>
      <c r="G224" s="1" t="str">
        <f>IMDIV(IMSUM(COMPLEX(V48_Nom,0),IMPRODUCT(COMPLEX(np*(Calculations!$B$28*(V12_Min/V48_Nom)),0),D224)),IMSUM(IMPRODUCT(COMPLEX(((V12_Min/V48_Nom)^2),0),D224),COMPLEX(Rcs/np,(Lm*C224)/np)))</f>
        <v>275,974390977899-780,501102183709i</v>
      </c>
      <c r="H224" s="97">
        <f t="shared" si="50"/>
        <v>58.359085104304576</v>
      </c>
      <c r="I224" s="97">
        <f>IMARGUMENT(G224)*(180/PI())</f>
        <v>-70.527110229903471</v>
      </c>
      <c r="J224" s="73" t="str">
        <f>IMPRODUCT(COMPLEX(-1,0),IMDIV(IMSUM(IMSUB(IMPRODUCT(COMPLEX((1-(V12_Min/V48_Nom))*V48_Nom,0),D224),IMPRODUCT(COMPLEX(V48_Nom,0),D224)),IMPRODUCT(COMPLEX(0,Calculations!$B$28*Lm*C224),D224)),IMSUM(IMPRODUCT(COMPLEX(((V12_Min/V48_Nom)^2),0),D224),COMPLEX(Rcs/np,(Lm*C224)/np))))</f>
        <v>-52,5365050220665-21,6635942507367i</v>
      </c>
      <c r="K224" s="97">
        <f t="shared" si="52"/>
        <v>35.091212594136998</v>
      </c>
      <c r="L224" s="97">
        <f>IMARGUMENT(J224)*(180/PI())</f>
        <v>-157.59104243472305</v>
      </c>
      <c r="M224" s="1">
        <f t="shared" si="67"/>
        <v>2.6666666666666665</v>
      </c>
      <c r="N224" s="97">
        <f t="shared" si="68"/>
        <v>0.16</v>
      </c>
      <c r="O224" s="97" t="str">
        <f t="shared" si="69"/>
        <v>0,196115052035419-1,23165844571169i</v>
      </c>
      <c r="P224" s="97">
        <f t="shared" si="54"/>
        <v>1.9185427963551804</v>
      </c>
      <c r="Q224" s="97">
        <f>IMARGUMENT(O224)*(180/PI())</f>
        <v>-80.952831977767048</v>
      </c>
      <c r="R224" s="97" t="str">
        <f>IMDIV(IMPRODUCT(O224,J224,COMPLEX(M224,0)),IMSUM(COMPLEX(1,0),IMPRODUCT(G224,O224,COMPLEX(M224,0),COMPLEX(N224,0))))</f>
        <v>0,0215531891662563-0,429345277506644i</v>
      </c>
      <c r="S224" s="97">
        <f t="shared" si="57"/>
        <v>-7.3329355088041765</v>
      </c>
      <c r="T224" s="97">
        <f>IMARGUMENT(R224)*(180/PI())</f>
        <v>-87.126156822898238</v>
      </c>
      <c r="U224" s="8" t="str">
        <f>IMPRODUCT(COMPLEX(-1,0),IMDIV(COMPLEX(1,C224*Calculations!$B$248*Calculations!$B$250),IMPRODUCT(COMPLEX(0,C224*Calculations!$B$237),COMPLEX((Calculations!$B$250+Calculations!$B$252),C224*Calculations!$B$248*Calculations!$B$250*Calculations!$B$252))))</f>
        <v>-2,76149427004757+0,575039819856269i</v>
      </c>
      <c r="V224" s="8">
        <f t="shared" si="59"/>
        <v>9.0072323508871186</v>
      </c>
      <c r="W224" s="8">
        <f t="shared" si="60"/>
        <v>168.23710969228583</v>
      </c>
      <c r="X224" s="1">
        <f>Calculations!$B$216/(Calculations!$B$216+Calculations!$B$218)</f>
        <v>0.80079681274900394</v>
      </c>
      <c r="Y224" s="1" t="str">
        <f t="shared" si="61"/>
        <v>0,150046598217482+0,959377376932813i</v>
      </c>
      <c r="Z224" s="8">
        <f t="shared" si="62"/>
        <v>-0.25525643912806811</v>
      </c>
      <c r="AA224" s="9">
        <f t="shared" si="63"/>
        <v>81.110952869387617</v>
      </c>
    </row>
    <row r="225" spans="1:27">
      <c r="A225" t="s">
        <v>343</v>
      </c>
      <c r="B225" s="103">
        <f>Calculations!B270*1000</f>
        <v>234.05138689984605</v>
      </c>
      <c r="C225" s="82">
        <f t="shared" si="64"/>
        <v>1470.5882352941173</v>
      </c>
      <c r="D225" s="73" t="str">
        <f>IMDIV(COMPLEX((POWER(V48_Nom,2)/(V12_Min*Calculations!$B$28*np)),((Zo_Boost_Cout*Zo_Boost_Resr*POWER(V48_Nom,2))/(V12_Min*Calculations!$B$28*np))*C225),COMPLEX(1,((Zo_Boost_Cout*Zo_Boost_Resr)+((Zo_Boost_Cout*POWER(V48_Nom,2))/(V12_Min*Calculations!$B$28*np)))*C225))</f>
        <v>0,884790411602409-1,65082802377678i</v>
      </c>
      <c r="E225" s="82">
        <f t="shared" si="65"/>
        <v>5.4507038454615531</v>
      </c>
      <c r="F225" s="82">
        <f>IMARGUMENT(D225)*(180/PI())</f>
        <v>-61.810131630646559</v>
      </c>
      <c r="G225" s="1" t="str">
        <f>IMDIV(IMSUM(COMPLEX(V48_Nom,0),IMPRODUCT(COMPLEX(np*(Calculations!$B$28*(V12_Min/V48_Nom)),0),D225)),IMSUM(IMPRODUCT(COMPLEX(((V12_Min/V48_Nom)^2),0),D225),COMPLEX(Rcs/np,(Lm*C225)/np)))</f>
        <v>101,832885443469+86,8468436998146i</v>
      </c>
      <c r="H225" s="82">
        <f t="shared" si="50"/>
        <v>42.531516166098662</v>
      </c>
      <c r="I225" s="82">
        <f>IMARGUMENT(G225)*(180/PI())</f>
        <v>40.458769249543799</v>
      </c>
      <c r="J225" s="73" t="str">
        <f>IMPRODUCT(COMPLEX(-1,0),IMDIV(IMSUM(IMSUB(IMPRODUCT(COMPLEX((1-(V12_Min/V48_Nom))*V48_Nom,0),D225),IMPRODUCT(COMPLEX(V48_Nom,0),D225)),IMPRODUCT(COMPLEX(0,Calculations!$B$28*Lm*C225),D225)),IMSUM(IMPRODUCT(COMPLEX(((V12_Min/V48_Nom)^2),0),D225),COMPLEX(Rcs/np,(Lm*C225)/np))))</f>
        <v>48,5270156494132-3,04324653072508i</v>
      </c>
      <c r="K225" s="82">
        <f t="shared" si="52"/>
        <v>33.73671831200042</v>
      </c>
      <c r="L225" s="82">
        <f>IMARGUMENT(J225)*(180/PI())</f>
        <v>-3.5884575610033989</v>
      </c>
      <c r="M225" s="1">
        <f t="shared" si="67"/>
        <v>2.6666666666666665</v>
      </c>
      <c r="N225" s="82">
        <f t="shared" si="68"/>
        <v>0.16</v>
      </c>
      <c r="O225" s="82" t="str">
        <f t="shared" si="69"/>
        <v>0,196133206522173-9,45782744614124i</v>
      </c>
      <c r="P225" s="82">
        <f t="shared" si="54"/>
        <v>19.517695009062585</v>
      </c>
      <c r="Q225" s="82">
        <f>IMARGUMENT(O225)*(180/PI())</f>
        <v>-88.81198990751696</v>
      </c>
      <c r="R225" s="82" t="str">
        <f>IMDIV(IMPRODUCT(O225,J225,COMPLEX(M225,0)),IMSUM(COMPLEX(1,0),IMPRODUCT(G225,O225,COMPLEX(M225,0),COMPLEX(N225,0))))</f>
        <v>1,62784366288922-1,57894463143681i</v>
      </c>
      <c r="S225" s="82">
        <f t="shared" si="57"/>
        <v>7.1121155392629065</v>
      </c>
      <c r="T225" s="82">
        <f>IMARGUMENT(R225)*(180/PI())</f>
        <v>-44.126387292581974</v>
      </c>
      <c r="U225" s="1" t="str">
        <f>IMPRODUCT(COMPLEX(-1,0),IMDIV(COMPLEX(1,C225*Calculations!$B$248*Calculations!$B$250),IMPRODUCT(COMPLEX(0,C225*Calculations!$B$237),COMPLEX((Calculations!$B$250+Calculations!$B$252),C225*Calculations!$B$248*Calculations!$B$250*Calculations!$B$252))))</f>
        <v>-2,77723322224401+2,83277788668889i</v>
      </c>
      <c r="V225" s="1">
        <f t="shared" si="59"/>
        <v>11.969400184580754</v>
      </c>
      <c r="W225" s="1">
        <f>IMARGUMENT(U225)*(180/PI())</f>
        <v>134.43273359014208</v>
      </c>
      <c r="X225" s="1">
        <f>Calculations!$B$216/(Calculations!$B$216+Calculations!$B$218)</f>
        <v>0.80079681274900394</v>
      </c>
      <c r="Y225" s="1" t="str">
        <f t="shared" si="61"/>
        <v>-0,038519980302598+7,20430207395857i</v>
      </c>
      <c r="Z225" s="1">
        <f t="shared" si="62"/>
        <v>17.151962442632676</v>
      </c>
      <c r="AA225" s="6">
        <f>IMARGUMENT(Y225)*(180/PI())</f>
        <v>90.306346297560097</v>
      </c>
    </row>
    <row r="226" spans="1:27">
      <c r="A226" t="s">
        <v>344</v>
      </c>
      <c r="B226" s="27">
        <f>Calculations!B271*1000</f>
        <v>23405.138689984604</v>
      </c>
      <c r="C226" s="82">
        <f t="shared" si="64"/>
        <v>147058.82352941172</v>
      </c>
      <c r="D226" s="73" t="str">
        <f>IMDIV(COMPLEX((POWER(V48_Nom,2)/(V12_Min*Calculations!$B$28*np)),((Zo_Boost_Cout*Zo_Boost_Resr*POWER(V48_Nom,2))/(V12_Min*Calculations!$B$28*np))*C226),COMPLEX(1,((Zo_Boost_Cout*Zo_Boost_Resr)+((Zo_Boost_Cout*POWER(V48_Nom,2))/(V12_Min*Calculations!$B$28*np)))*C226))</f>
        <v>0,0100871073588214-0,0211435533587594i</v>
      </c>
      <c r="E226" s="82">
        <f t="shared" si="65"/>
        <v>-32.605862268974718</v>
      </c>
      <c r="F226" s="82">
        <f>IMARGUMENT(D226)*(180/PI())</f>
        <v>-64.495254429867956</v>
      </c>
      <c r="G226" s="1" t="str">
        <f>IMDIV(IMSUM(COMPLEX(V48_Nom,0),IMPRODUCT(COMPLEX(np*(Calculations!$B$28*(V12_Min/V48_Nom)),0),D226)),IMSUM(IMPRODUCT(COMPLEX(((V12_Min/V48_Nom)^2),0),D226),COMPLEX(Rcs/np,(Lm*C226)/np)))</f>
        <v>0,195388314206805-30,3973242441727i</v>
      </c>
      <c r="H226" s="82">
        <f t="shared" si="50"/>
        <v>29.656886554213727</v>
      </c>
      <c r="I226" s="82">
        <f>IMARGUMENT(G226)*(180/PI())</f>
        <v>-89.631718518883503</v>
      </c>
      <c r="J226" s="73" t="str">
        <f>IMPRODUCT(COMPLEX(-1,0),IMDIV(IMSUM(IMSUB(IMPRODUCT(COMPLEX((1-(V12_Min/V48_Nom))*V48_Nom,0),D226),IMPRODUCT(COMPLEX(V48_Nom,0),D226)),IMPRODUCT(COMPLEX(0,Calculations!$B$28*Lm*C226),D226)),IMSUM(IMPRODUCT(COMPLEX(((V12_Min/V48_Nom)^2),0),D226),COMPLEX(Rcs/np,(Lm*C226)/np))))</f>
        <v>-0,28377931533503+0,174781244291952i</v>
      </c>
      <c r="K226" s="82">
        <f t="shared" si="52"/>
        <v>-9.5436732253738192</v>
      </c>
      <c r="L226" s="82">
        <f>IMARGUMENT(J226)*(180/PI())</f>
        <v>148.37085545749159</v>
      </c>
      <c r="M226" s="1">
        <f t="shared" si="67"/>
        <v>2.6666666666666665</v>
      </c>
      <c r="N226" s="82">
        <f t="shared" si="68"/>
        <v>0.16</v>
      </c>
      <c r="O226" s="82" t="str">
        <f t="shared" si="69"/>
        <v>0,193059908173981-0,118935417547318i</v>
      </c>
      <c r="P226" s="82">
        <f t="shared" si="54"/>
        <v>-12.888868329104831</v>
      </c>
      <c r="Q226" s="82">
        <f>IMARGUMENT(O226)*(180/PI())</f>
        <v>-31.635331262678033</v>
      </c>
      <c r="R226" s="82" t="str">
        <f>IMDIV(IMPRODUCT(O226,J226,COMPLEX(M226,0)),IMSUM(COMPLEX(1,0),IMPRODUCT(G226,O226,COMPLEX(M226,0),COMPLEX(N226,0))))</f>
        <v>-0,0613550157120111-0,0489150207388116i</v>
      </c>
      <c r="S226" s="82">
        <f t="shared" si="57"/>
        <v>-22.106225790989193</v>
      </c>
      <c r="T226" s="82">
        <f>IMARGUMENT(R226)*(180/PI())</f>
        <v>-141.43654755747002</v>
      </c>
      <c r="U226" s="1" t="str">
        <f>IMPRODUCT(COMPLEX(-1,0),IMDIV(COMPLEX(1,C226*Calculations!$B$248*Calculations!$B$250),IMPRODUCT(COMPLEX(0,C226*Calculations!$B$237),COMPLEX((Calculations!$B$250+Calculations!$B$252),C226*Calculations!$B$248*Calculations!$B$250*Calculations!$B$252))))</f>
        <v>-1,40257082982691+1,41673679520816i</v>
      </c>
      <c r="V226" s="1">
        <f t="shared" si="59"/>
        <v>5.9926590062482816</v>
      </c>
      <c r="W226" s="1">
        <f>IMARGUMENT(U226)*(180/PI())</f>
        <v>134.71211257990038</v>
      </c>
      <c r="X226" s="1">
        <f>Calculations!$B$216/(Calculations!$B$216+Calculations!$B$218)</f>
        <v>0.80079681274900394</v>
      </c>
      <c r="Y226" s="1" t="str">
        <f t="shared" si="61"/>
        <v>0,124407360434569-0,0146682970013156i</v>
      </c>
      <c r="Z226" s="1">
        <f t="shared" si="62"/>
        <v>-18.043120065951921</v>
      </c>
      <c r="AA226" s="6">
        <f>IMARGUMENT(Y226)*(180/PI())</f>
        <v>-6.7244349775696461</v>
      </c>
    </row>
    <row r="227" spans="1:27">
      <c r="A227" t="s">
        <v>345</v>
      </c>
      <c r="B227" s="27">
        <f>Calculations!B239</f>
        <v>248.67959858108651</v>
      </c>
      <c r="C227" s="82">
        <f t="shared" si="64"/>
        <v>1562.5000000000002</v>
      </c>
      <c r="D227" s="73" t="str">
        <f>IMDIV(COMPLEX((POWER(V48_Nom,2)/(V12_Min*Calculations!$B$28*np)),((Zo_Boost_Cout*Zo_Boost_Resr*POWER(V48_Nom,2))/(V12_Min*Calculations!$B$28*np))*C227),COMPLEX(1,((Zo_Boost_Cout*Zo_Boost_Resr)+((Zo_Boost_Cout*POWER(V48_Nom,2))/(V12_Min*Calculations!$B$28*np)))*C227))</f>
        <v>0,804796788860613-1,59361756166553i</v>
      </c>
      <c r="E227" s="82">
        <f t="shared" si="65"/>
        <v>5.0342495992149878</v>
      </c>
      <c r="F227" s="82">
        <f>IMARGUMENT(D227)*(180/PI())</f>
        <v>-63.205653710340222</v>
      </c>
      <c r="G227" s="1" t="str">
        <f>IMDIV(IMSUM(COMPLEX(V48_Nom,0),IMPRODUCT(COMPLEX(np*(Calculations!$B$28*(V12_Min/V48_Nom)),0),D227)),IMSUM(IMPRODUCT(COMPLEX(((V12_Min/V48_Nom)^2),0),D227),COMPLEX(Rcs/np,(Lm*C227)/np)))</f>
        <v>102,829211016897+92,5830100392518i</v>
      </c>
      <c r="H227" s="82">
        <f t="shared" si="50"/>
        <v>42.820658141843289</v>
      </c>
      <c r="I227" s="82">
        <f>IMARGUMENT(G227)*(180/PI())</f>
        <v>41.998514477010872</v>
      </c>
      <c r="J227" s="73" t="str">
        <f>IMPRODUCT(COMPLEX(-1,0),IMDIV(IMSUM(IMSUB(IMPRODUCT(COMPLEX((1-(V12_Min/V48_Nom))*V48_Nom,0),D227),IMPRODUCT(COMPLEX(V48_Nom,0),D227)),IMPRODUCT(COMPLEX(0,Calculations!$B$28*Lm*C227),D227)),IMSUM(IMPRODUCT(COMPLEX(((V12_Min/V48_Nom)^2),0),D227),COMPLEX(Rcs/np,(Lm*C227)/np))))</f>
        <v>48,6968778870764-3,25549985156247i</v>
      </c>
      <c r="K227" s="82">
        <f t="shared" si="52"/>
        <v>33.769388755572763</v>
      </c>
      <c r="L227" s="82">
        <f>IMARGUMENT(J227)*(180/PI())</f>
        <v>-3.8246654779003366</v>
      </c>
      <c r="M227" s="1">
        <f t="shared" si="67"/>
        <v>2.6666666666666665</v>
      </c>
      <c r="N227" s="82">
        <f t="shared" si="68"/>
        <v>0.16</v>
      </c>
      <c r="O227" s="82" t="str">
        <f t="shared" si="69"/>
        <v>0,196133166270766-8,90151467955179i</v>
      </c>
      <c r="P227" s="82">
        <f t="shared" si="54"/>
        <v>18.991386162852073</v>
      </c>
      <c r="Q227" s="82">
        <f>IMARGUMENT(O227)*(180/PI())</f>
        <v>-88.737767107294715</v>
      </c>
      <c r="R227" s="82" t="str">
        <f>IMDIV(IMPRODUCT(O227,J227,COMPLEX(M227,0)),IMSUM(COMPLEX(1,0),IMPRODUCT(G227,O227,COMPLEX(M227,0),COMPLEX(N227,0))))</f>
        <v>1,53209569139062-1,5811357168418i</v>
      </c>
      <c r="S227" s="82">
        <f t="shared" si="57"/>
        <v>6.8550055875120588</v>
      </c>
      <c r="T227" s="82">
        <f>IMARGUMENT(R227)*(180/PI())</f>
        <v>-45.902455922701002</v>
      </c>
      <c r="U227" s="1" t="str">
        <f>IMPRODUCT(COMPLEX(-1,0),IMDIV(COMPLEX(1,C227*Calculations!$B$248*Calculations!$B$250),IMPRODUCT(COMPLEX(0,C227*Calculations!$B$237),COMPLEX((Calculations!$B$250+Calculations!$B$252),C227*Calculations!$B$248*Calculations!$B$250*Calculations!$B$252))))</f>
        <v>-2,77719813126218+2,66947960080329i</v>
      </c>
      <c r="V227" s="1">
        <f t="shared" si="59"/>
        <v>11.714031948686491</v>
      </c>
      <c r="W227" s="1">
        <f>IMARGUMENT(U227)*(180/PI())</f>
        <v>136.13298656700482</v>
      </c>
      <c r="X227" s="1">
        <f>Calculations!$B$216/(Calculations!$B$216+Calculations!$B$218)</f>
        <v>0.80079681274900394</v>
      </c>
      <c r="Y227" s="1" t="str">
        <f t="shared" si="61"/>
        <v>-0,0273261893054707+6,79157807131033i</v>
      </c>
      <c r="Z227" s="1">
        <f t="shared" si="62"/>
        <v>16.639484254987568</v>
      </c>
      <c r="AA227" s="6">
        <f>IMARGUMENT(Y227)*(180/PI())</f>
        <v>90.230530644303812</v>
      </c>
    </row>
    <row r="228" spans="1:27" ht="15" thickBot="1">
      <c r="A228" t="s">
        <v>346</v>
      </c>
      <c r="B228" s="28">
        <f>Calculations!B240</f>
        <v>8841.9412828830737</v>
      </c>
      <c r="C228" s="84">
        <f t="shared" si="64"/>
        <v>55555.555555555547</v>
      </c>
      <c r="D228" s="73" t="str">
        <f>IMDIV(COMPLEX((POWER(V48_Nom,2)/(V12_Min*Calculations!$B$28*np)),((Zo_Boost_Cout*Zo_Boost_Resr*POWER(V48_Nom,2))/(V12_Min*Calculations!$B$28*np))*C228),COMPLEX(1,((Zo_Boost_Cout*Zo_Boost_Resr)+((Zo_Boost_Cout*POWER(V48_Nom,2))/(V12_Min*Calculations!$B$28*np)))*C228))</f>
        <v>0,0107600204366165-0,0559587902370175i</v>
      </c>
      <c r="E228" s="84">
        <f t="shared" si="65"/>
        <v>-24.884957437996921</v>
      </c>
      <c r="F228" s="84">
        <f>IMARGUMENT(D228)*(180/PI())</f>
        <v>-79.115742103574632</v>
      </c>
      <c r="G228" s="1" t="str">
        <f>IMDIV(IMSUM(COMPLEX(V48_Nom,0),IMPRODUCT(COMPLEX(np*(Calculations!$B$28*(V12_Min/V48_Nom)),0),D228)),IMSUM(IMPRODUCT(COMPLEX(((V12_Min/V48_Nom)^2),0),D228),COMPLEX(Rcs/np,(Lm*C228)/np)))</f>
        <v>1,47203925107744-82,083211888548i</v>
      </c>
      <c r="H228" s="84">
        <f t="shared" si="50"/>
        <v>38.286483349659733</v>
      </c>
      <c r="I228" s="84">
        <f>IMARGUMENT(G228)*(180/PI())</f>
        <v>-88.972596290370333</v>
      </c>
      <c r="J228" s="73" t="str">
        <f>IMPRODUCT(COMPLEX(-1,0),IMDIV(IMSUM(IMSUB(IMPRODUCT(COMPLEX((1-(V12_Min/V48_Nom))*V48_Nom,0),D228),IMPRODUCT(COMPLEX(V48_Nom,0),D228)),IMPRODUCT(COMPLEX(0,Calculations!$B$28*Lm*C228),D228)),IMSUM(IMPRODUCT(COMPLEX(((V12_Min/V48_Nom)^2),0),D228),COMPLEX(Rcs/np,(Lm*C228)/np))))</f>
        <v>-1,29168310494381+0,426001863101315i</v>
      </c>
      <c r="K228" s="84">
        <f t="shared" si="52"/>
        <v>2.6715361230251822</v>
      </c>
      <c r="L228" s="84">
        <f>IMARGUMENT(J228)*(180/PI())</f>
        <v>161.74725344492916</v>
      </c>
      <c r="M228" s="1">
        <f t="shared" si="67"/>
        <v>2.6666666666666665</v>
      </c>
      <c r="N228" s="84">
        <f t="shared" si="68"/>
        <v>0.16</v>
      </c>
      <c r="O228" s="84" t="str">
        <f t="shared" si="69"/>
        <v>0,195688891870539-0,2596755423252i</v>
      </c>
      <c r="P228" s="84">
        <f t="shared" si="54"/>
        <v>-9.7582013036640838</v>
      </c>
      <c r="Q228" s="84">
        <f>IMARGUMENT(O228)*(180/PI())</f>
        <v>-52.998686268106368</v>
      </c>
      <c r="R228" s="84" t="str">
        <f>IMDIV(IMPRODUCT(O228,J228,COMPLEX(M228,0)),IMSUM(COMPLEX(1,0),IMPRODUCT(G228,O228,COMPLEX(M228,0),COMPLEX(N228,0))))</f>
        <v>-0,0426871108612127-0,102519909039309i</v>
      </c>
      <c r="S228" s="84">
        <f t="shared" si="57"/>
        <v>-19.089481298939585</v>
      </c>
      <c r="T228" s="84">
        <f>IMARGUMENT(R228)*(180/PI())</f>
        <v>-112.60580705843373</v>
      </c>
      <c r="U228" s="77" t="str">
        <f>IMPRODUCT(COMPLEX(-1,0),IMDIV(COMPLEX(1,C228*Calculations!$B$248*Calculations!$B$250),IMPRODUCT(COMPLEX(0,C228*Calculations!$B$237),COMPLEX((Calculations!$B$250+Calculations!$B$252),C228*Calculations!$B$248*Calculations!$B$250*Calculations!$B$252))))</f>
        <v>-2,43661354247512+0,985642029088608i</v>
      </c>
      <c r="V228" s="77">
        <f t="shared" si="59"/>
        <v>8.3938852476829862</v>
      </c>
      <c r="W228" s="77">
        <f>IMARGUMENT(U228)*(180/PI())</f>
        <v>157.9760242303891</v>
      </c>
      <c r="X228" s="1">
        <f>Calculations!$B$216/(Calculations!$B$216+Calculations!$B$218)</f>
        <v>0.80079681274900394</v>
      </c>
      <c r="Y228" s="1" t="str">
        <f t="shared" si="61"/>
        <v>0,164211333226261+0,166347270210509i</v>
      </c>
      <c r="Z228" s="77">
        <f t="shared" si="62"/>
        <v>-12.625149332467561</v>
      </c>
      <c r="AA228" s="78">
        <f>IMARGUMENT(Y228)*(180/PI())</f>
        <v>45.37021717195536</v>
      </c>
    </row>
  </sheetData>
  <mergeCells count="47">
    <mergeCell ref="Y167:AA167"/>
    <mergeCell ref="G77:I77"/>
    <mergeCell ref="M77:N77"/>
    <mergeCell ref="D76:T76"/>
    <mergeCell ref="O77:Q77"/>
    <mergeCell ref="R77:T77"/>
    <mergeCell ref="U77:W77"/>
    <mergeCell ref="R167:T167"/>
    <mergeCell ref="M166:N166"/>
    <mergeCell ref="O166:Q166"/>
    <mergeCell ref="R166:T166"/>
    <mergeCell ref="U167:W167"/>
    <mergeCell ref="D5:F6"/>
    <mergeCell ref="G5:I6"/>
    <mergeCell ref="J5:L6"/>
    <mergeCell ref="B5:C6"/>
    <mergeCell ref="CB166:CD166"/>
    <mergeCell ref="AC166:AE166"/>
    <mergeCell ref="B166:C167"/>
    <mergeCell ref="D167:F167"/>
    <mergeCell ref="J167:L167"/>
    <mergeCell ref="D166:F166"/>
    <mergeCell ref="G166:I166"/>
    <mergeCell ref="G167:I167"/>
    <mergeCell ref="J166:L166"/>
    <mergeCell ref="M167:N167"/>
    <mergeCell ref="O167:Q167"/>
    <mergeCell ref="AC167:AE167"/>
    <mergeCell ref="BS167:BU167"/>
    <mergeCell ref="BV167:BX167"/>
    <mergeCell ref="BY167:CA167"/>
    <mergeCell ref="CE166:CP166"/>
    <mergeCell ref="CB167:CD167"/>
    <mergeCell ref="CE167:CG167"/>
    <mergeCell ref="CH167:CJ167"/>
    <mergeCell ref="CK167:CM167"/>
    <mergeCell ref="CN167:CP167"/>
    <mergeCell ref="BD167:BF167"/>
    <mergeCell ref="BG167:BI167"/>
    <mergeCell ref="BJ167:BL167"/>
    <mergeCell ref="BM167:BO167"/>
    <mergeCell ref="BP167:BR167"/>
    <mergeCell ref="B76:C77"/>
    <mergeCell ref="D77:F77"/>
    <mergeCell ref="J77:L77"/>
    <mergeCell ref="BD166:BO166"/>
    <mergeCell ref="BP166:CA166"/>
  </mergeCells>
  <phoneticPr fontId="24"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8"/>
  <sheetViews>
    <sheetView workbookViewId="0">
      <pane ySplit="1" topLeftCell="A5" activePane="bottomLeft" state="frozen"/>
      <selection pane="bottomLeft" activeCell="A21" sqref="A21"/>
    </sheetView>
  </sheetViews>
  <sheetFormatPr defaultRowHeight="14.4"/>
  <cols>
    <col min="1" max="1" width="34.6640625" style="12" customWidth="1"/>
    <col min="2" max="2" width="9.109375" style="5"/>
    <col min="3" max="3" width="12" style="1" bestFit="1" customWidth="1"/>
    <col min="4" max="4" width="9.109375" style="6"/>
    <col min="5" max="5" width="9.109375" style="13"/>
  </cols>
  <sheetData>
    <row r="1" spans="1:5">
      <c r="A1" s="10" t="s">
        <v>17</v>
      </c>
      <c r="B1" s="7" t="s">
        <v>18</v>
      </c>
      <c r="C1" s="8" t="s">
        <v>19</v>
      </c>
      <c r="D1" s="9" t="s">
        <v>20</v>
      </c>
      <c r="E1" s="11" t="s">
        <v>21</v>
      </c>
    </row>
    <row r="2" spans="1:5">
      <c r="A2" s="281" t="s">
        <v>87</v>
      </c>
      <c r="B2" s="264"/>
      <c r="C2" s="264"/>
      <c r="D2" s="264"/>
      <c r="E2" s="282"/>
    </row>
    <row r="3" spans="1:5">
      <c r="A3" s="12" t="s">
        <v>22</v>
      </c>
      <c r="C3" s="1">
        <f>200*(10^-9)</f>
        <v>2.0000000000000002E-7</v>
      </c>
      <c r="E3" s="13" t="s">
        <v>23</v>
      </c>
    </row>
    <row r="4" spans="1:5">
      <c r="A4" s="12" t="s">
        <v>41</v>
      </c>
      <c r="C4" s="1">
        <f>1*10^-4</f>
        <v>1E-4</v>
      </c>
      <c r="E4" s="13" t="s">
        <v>447</v>
      </c>
    </row>
    <row r="5" spans="1:5">
      <c r="A5" s="12" t="s">
        <v>43</v>
      </c>
      <c r="C5" s="1">
        <v>40</v>
      </c>
      <c r="E5" s="13" t="s">
        <v>42</v>
      </c>
    </row>
    <row r="6" spans="1:5">
      <c r="A6" s="12" t="s">
        <v>157</v>
      </c>
      <c r="C6" s="1">
        <v>0.05</v>
      </c>
      <c r="E6" s="13" t="s">
        <v>1</v>
      </c>
    </row>
    <row r="7" spans="1:5">
      <c r="A7" s="12" t="s">
        <v>45</v>
      </c>
      <c r="C7" s="1">
        <f>1/Acs</f>
        <v>2.5000000000000001E-2</v>
      </c>
      <c r="E7" s="13" t="s">
        <v>42</v>
      </c>
    </row>
    <row r="8" spans="1:5">
      <c r="A8" s="12" t="s">
        <v>217</v>
      </c>
      <c r="C8" s="1">
        <v>3.125E-2</v>
      </c>
      <c r="E8" s="13" t="s">
        <v>42</v>
      </c>
    </row>
    <row r="9" spans="1:5">
      <c r="A9" s="12" t="s">
        <v>61</v>
      </c>
      <c r="E9" s="13" t="s">
        <v>53</v>
      </c>
    </row>
    <row r="10" spans="1:5">
      <c r="A10" s="12" t="s">
        <v>481</v>
      </c>
      <c r="C10" s="1">
        <v>3.5</v>
      </c>
      <c r="E10" s="13" t="s">
        <v>1</v>
      </c>
    </row>
    <row r="11" spans="1:5">
      <c r="A11" s="12" t="s">
        <v>66</v>
      </c>
      <c r="C11" s="1">
        <v>2.5</v>
      </c>
      <c r="E11" s="13" t="s">
        <v>1</v>
      </c>
    </row>
    <row r="12" spans="1:5">
      <c r="A12" s="12" t="s">
        <v>63</v>
      </c>
      <c r="C12" s="1">
        <v>1.25</v>
      </c>
      <c r="E12" s="13" t="s">
        <v>1</v>
      </c>
    </row>
    <row r="13" spans="1:5">
      <c r="A13" s="12" t="s">
        <v>154</v>
      </c>
      <c r="C13" s="1">
        <f>25*(10^-6)</f>
        <v>2.4999999999999998E-5</v>
      </c>
      <c r="E13" s="13" t="s">
        <v>4</v>
      </c>
    </row>
    <row r="14" spans="1:5">
      <c r="A14" s="12" t="s">
        <v>62</v>
      </c>
      <c r="C14" s="1">
        <v>8</v>
      </c>
      <c r="E14" s="13" t="s">
        <v>1</v>
      </c>
    </row>
    <row r="15" spans="1:5">
      <c r="A15" s="12" t="s">
        <v>46</v>
      </c>
      <c r="C15" s="1">
        <f>50*(10^-6)</f>
        <v>4.9999999999999996E-5</v>
      </c>
      <c r="E15" s="13" t="s">
        <v>4</v>
      </c>
    </row>
    <row r="16" spans="1:5">
      <c r="A16" s="12" t="s">
        <v>47</v>
      </c>
      <c r="C16" s="1">
        <v>500</v>
      </c>
      <c r="E16" s="13" t="s">
        <v>48</v>
      </c>
    </row>
    <row r="17" spans="1:5">
      <c r="A17" s="12" t="s">
        <v>50</v>
      </c>
      <c r="C17" s="1">
        <f>4.15*(10^9)</f>
        <v>4150000000.0000005</v>
      </c>
      <c r="E17" s="13" t="s">
        <v>49</v>
      </c>
    </row>
    <row r="18" spans="1:5">
      <c r="A18" s="12" t="s">
        <v>491</v>
      </c>
      <c r="C18" s="1">
        <v>1</v>
      </c>
      <c r="E18" s="13" t="s">
        <v>1</v>
      </c>
    </row>
    <row r="19" spans="1:5">
      <c r="A19" s="12" t="s">
        <v>51</v>
      </c>
      <c r="E19" s="13" t="s">
        <v>53</v>
      </c>
    </row>
    <row r="20" spans="1:5">
      <c r="A20" s="12" t="s">
        <v>52</v>
      </c>
      <c r="E20" s="13" t="s">
        <v>53</v>
      </c>
    </row>
    <row r="21" spans="1:5">
      <c r="A21" s="12" t="s">
        <v>54</v>
      </c>
      <c r="E21" s="13" t="s">
        <v>4</v>
      </c>
    </row>
    <row r="22" spans="1:5">
      <c r="A22" s="12" t="s">
        <v>60</v>
      </c>
      <c r="E22" s="13" t="s">
        <v>4</v>
      </c>
    </row>
    <row r="23" spans="1:5">
      <c r="A23" s="12" t="s">
        <v>59</v>
      </c>
      <c r="E23" s="13" t="s">
        <v>1</v>
      </c>
    </row>
    <row r="24" spans="1:5">
      <c r="A24" s="12" t="s">
        <v>55</v>
      </c>
      <c r="E24" s="13" t="s">
        <v>53</v>
      </c>
    </row>
    <row r="25" spans="1:5">
      <c r="A25" s="12" t="s">
        <v>56</v>
      </c>
      <c r="E25" s="13" t="s">
        <v>53</v>
      </c>
    </row>
    <row r="26" spans="1:5">
      <c r="A26" s="12" t="s">
        <v>57</v>
      </c>
      <c r="C26" s="1">
        <f>2.625*(10^-12)</f>
        <v>2.6249999999999998E-12</v>
      </c>
      <c r="E26" s="13" t="s">
        <v>58</v>
      </c>
    </row>
    <row r="27" spans="1:5">
      <c r="A27" s="12" t="s">
        <v>193</v>
      </c>
      <c r="C27" s="1">
        <f>0</f>
        <v>0</v>
      </c>
      <c r="E27" s="13" t="s">
        <v>23</v>
      </c>
    </row>
    <row r="28" spans="1:5">
      <c r="A28" s="12" t="s">
        <v>65</v>
      </c>
      <c r="C28" s="1">
        <v>1.5</v>
      </c>
      <c r="E28" s="13" t="s">
        <v>1</v>
      </c>
    </row>
    <row r="29" spans="1:5">
      <c r="A29" s="12" t="s">
        <v>198</v>
      </c>
      <c r="C29" s="1">
        <f>40*(10^-9)</f>
        <v>4.0000000000000001E-8</v>
      </c>
      <c r="E29" s="13" t="s">
        <v>23</v>
      </c>
    </row>
    <row r="30" spans="1:5">
      <c r="A30" s="12" t="s">
        <v>199</v>
      </c>
      <c r="C30" s="1">
        <f>40*(10^-9)</f>
        <v>4.0000000000000001E-8</v>
      </c>
      <c r="E30" s="13" t="s">
        <v>23</v>
      </c>
    </row>
    <row r="31" spans="1:5">
      <c r="A31" s="12" t="s">
        <v>211</v>
      </c>
      <c r="C31" s="1">
        <f>15*(10^-9)</f>
        <v>1.5000000000000002E-8</v>
      </c>
      <c r="E31" s="13" t="s">
        <v>23</v>
      </c>
    </row>
    <row r="32" spans="1:5">
      <c r="A32" s="12" t="s">
        <v>212</v>
      </c>
      <c r="C32" s="1">
        <f>200*(10^-9)</f>
        <v>2.0000000000000002E-7</v>
      </c>
      <c r="E32" s="13" t="s">
        <v>23</v>
      </c>
    </row>
    <row r="33" spans="1:5">
      <c r="A33" s="12" t="s">
        <v>64</v>
      </c>
      <c r="C33" s="1">
        <f>50*(10^-6)</f>
        <v>4.9999999999999996E-5</v>
      </c>
      <c r="E33" s="13" t="s">
        <v>4</v>
      </c>
    </row>
    <row r="34" spans="1:5">
      <c r="A34" s="12" t="s">
        <v>142</v>
      </c>
      <c r="C34" s="1">
        <v>5</v>
      </c>
      <c r="E34" s="13" t="s">
        <v>1</v>
      </c>
    </row>
    <row r="36" spans="1:5">
      <c r="A36" s="12" t="s">
        <v>88</v>
      </c>
      <c r="B36" s="5">
        <v>0</v>
      </c>
      <c r="D36" s="6">
        <v>75</v>
      </c>
      <c r="E36" s="13" t="s">
        <v>1</v>
      </c>
    </row>
    <row r="37" spans="1:5">
      <c r="A37" s="12" t="s">
        <v>89</v>
      </c>
      <c r="B37" s="5">
        <v>1</v>
      </c>
      <c r="D37" s="6">
        <v>75</v>
      </c>
      <c r="E37" s="13" t="s">
        <v>1</v>
      </c>
    </row>
    <row r="38" spans="1:5">
      <c r="A38" s="12" t="s">
        <v>90</v>
      </c>
      <c r="B38" s="5">
        <v>3</v>
      </c>
      <c r="D38" s="6">
        <v>80</v>
      </c>
      <c r="E38" s="13" t="s">
        <v>1</v>
      </c>
    </row>
    <row r="39" spans="1:5">
      <c r="A39" s="12" t="s">
        <v>91</v>
      </c>
      <c r="B39" s="5">
        <v>50000</v>
      </c>
      <c r="D39" s="6">
        <v>1000000</v>
      </c>
      <c r="E39" s="13" t="s">
        <v>83</v>
      </c>
    </row>
    <row r="40" spans="1:5">
      <c r="A40" s="12" t="s">
        <v>92</v>
      </c>
      <c r="B40" s="5">
        <v>15</v>
      </c>
      <c r="D40" s="6">
        <v>200</v>
      </c>
      <c r="E40" s="13" t="s">
        <v>93</v>
      </c>
    </row>
    <row r="43" spans="1:5">
      <c r="A43" s="12" t="s">
        <v>96</v>
      </c>
      <c r="E43" s="13" t="s">
        <v>1</v>
      </c>
    </row>
    <row r="44" spans="1:5">
      <c r="A44" s="12" t="s">
        <v>97</v>
      </c>
      <c r="E44" s="13" t="s">
        <v>1</v>
      </c>
    </row>
    <row r="46" spans="1:5">
      <c r="A46" s="12" t="s">
        <v>105</v>
      </c>
      <c r="C46" s="1">
        <v>4</v>
      </c>
      <c r="E46" s="13" t="s">
        <v>1</v>
      </c>
    </row>
    <row r="48" spans="1:5">
      <c r="A48" s="12" t="s">
        <v>159</v>
      </c>
      <c r="C48" s="1">
        <v>3</v>
      </c>
      <c r="E48" s="13" t="s">
        <v>1</v>
      </c>
    </row>
  </sheetData>
  <autoFilter ref="A1:E33" xr:uid="{00000000-0009-0000-0000-000004000000}"/>
  <mergeCells count="1">
    <mergeCell ref="A2:E2"/>
  </mergeCells>
  <phoneticPr fontId="24"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7"/>
  <sheetViews>
    <sheetView workbookViewId="0">
      <selection activeCell="R4" sqref="R4"/>
    </sheetView>
  </sheetViews>
  <sheetFormatPr defaultRowHeight="14.4"/>
  <cols>
    <col min="13" max="13" width="10.5546875" customWidth="1"/>
    <col min="14" max="14" width="9.44140625" customWidth="1"/>
    <col min="15" max="15" width="13.6640625" customWidth="1"/>
    <col min="16" max="16" width="10.88671875" customWidth="1"/>
    <col min="18" max="18" width="10.88671875" customWidth="1"/>
  </cols>
  <sheetData>
    <row r="1" spans="1:18">
      <c r="A1" t="s">
        <v>145</v>
      </c>
      <c r="C1" t="s">
        <v>185</v>
      </c>
      <c r="E1" t="s">
        <v>160</v>
      </c>
      <c r="G1" t="s">
        <v>92</v>
      </c>
      <c r="K1" t="s">
        <v>477</v>
      </c>
      <c r="M1" t="s">
        <v>511</v>
      </c>
      <c r="N1" t="s">
        <v>512</v>
      </c>
      <c r="O1" t="s">
        <v>494</v>
      </c>
      <c r="Q1" t="s">
        <v>521</v>
      </c>
    </row>
    <row r="2" spans="1:18">
      <c r="A2" s="41" t="s">
        <v>146</v>
      </c>
      <c r="C2" t="s">
        <v>483</v>
      </c>
      <c r="E2">
        <v>1.8</v>
      </c>
      <c r="G2" t="s">
        <v>188</v>
      </c>
      <c r="I2" s="34"/>
      <c r="K2" t="s">
        <v>476</v>
      </c>
      <c r="M2" t="s">
        <v>513</v>
      </c>
      <c r="N2" t="s">
        <v>580</v>
      </c>
      <c r="O2" t="s">
        <v>510</v>
      </c>
      <c r="Q2" t="s">
        <v>522</v>
      </c>
      <c r="R2" t="s">
        <v>588</v>
      </c>
    </row>
    <row r="3" spans="1:18">
      <c r="A3" t="s">
        <v>147</v>
      </c>
      <c r="C3" t="s">
        <v>256</v>
      </c>
      <c r="E3">
        <v>3</v>
      </c>
      <c r="G3" t="s">
        <v>189</v>
      </c>
      <c r="K3" t="s">
        <v>475</v>
      </c>
      <c r="M3" t="s">
        <v>514</v>
      </c>
      <c r="N3" t="s">
        <v>580</v>
      </c>
      <c r="O3" t="s">
        <v>509</v>
      </c>
      <c r="Q3" t="s">
        <v>523</v>
      </c>
      <c r="R3" t="s">
        <v>587</v>
      </c>
    </row>
    <row r="4" spans="1:18">
      <c r="M4" t="s">
        <v>515</v>
      </c>
      <c r="N4" t="s">
        <v>580</v>
      </c>
      <c r="O4" t="s">
        <v>495</v>
      </c>
    </row>
    <row r="5" spans="1:18">
      <c r="M5" t="s">
        <v>516</v>
      </c>
      <c r="N5" t="s">
        <v>580</v>
      </c>
      <c r="O5" t="s">
        <v>496</v>
      </c>
    </row>
    <row r="6" spans="1:18">
      <c r="M6" t="s">
        <v>517</v>
      </c>
      <c r="N6" t="s">
        <v>580</v>
      </c>
      <c r="O6" t="s">
        <v>497</v>
      </c>
    </row>
    <row r="7" spans="1:18">
      <c r="M7" t="s">
        <v>518</v>
      </c>
      <c r="N7" t="s">
        <v>580</v>
      </c>
      <c r="O7" t="s">
        <v>498</v>
      </c>
    </row>
    <row r="8" spans="1:18">
      <c r="M8" t="s">
        <v>519</v>
      </c>
      <c r="N8" t="s">
        <v>580</v>
      </c>
      <c r="O8" t="s">
        <v>499</v>
      </c>
    </row>
    <row r="9" spans="1:18">
      <c r="M9" t="s">
        <v>520</v>
      </c>
      <c r="N9" t="s">
        <v>580</v>
      </c>
      <c r="O9" t="s">
        <v>500</v>
      </c>
    </row>
    <row r="10" spans="1:18">
      <c r="M10" t="s">
        <v>520</v>
      </c>
      <c r="N10" t="s">
        <v>581</v>
      </c>
      <c r="O10" t="s">
        <v>501</v>
      </c>
    </row>
    <row r="11" spans="1:18">
      <c r="M11" t="s">
        <v>519</v>
      </c>
      <c r="N11" t="s">
        <v>581</v>
      </c>
      <c r="O11" t="s">
        <v>502</v>
      </c>
    </row>
    <row r="12" spans="1:18">
      <c r="M12" t="s">
        <v>518</v>
      </c>
      <c r="N12" t="s">
        <v>581</v>
      </c>
      <c r="O12" t="s">
        <v>508</v>
      </c>
    </row>
    <row r="13" spans="1:18">
      <c r="M13" t="s">
        <v>517</v>
      </c>
      <c r="N13" t="s">
        <v>581</v>
      </c>
      <c r="O13" t="s">
        <v>503</v>
      </c>
    </row>
    <row r="14" spans="1:18">
      <c r="M14" t="s">
        <v>516</v>
      </c>
      <c r="N14" t="s">
        <v>581</v>
      </c>
      <c r="O14" t="s">
        <v>504</v>
      </c>
    </row>
    <row r="15" spans="1:18">
      <c r="M15" t="s">
        <v>515</v>
      </c>
      <c r="N15" t="s">
        <v>581</v>
      </c>
      <c r="O15" t="s">
        <v>505</v>
      </c>
    </row>
    <row r="16" spans="1:18">
      <c r="M16" t="s">
        <v>514</v>
      </c>
      <c r="N16" t="s">
        <v>581</v>
      </c>
      <c r="O16" t="s">
        <v>506</v>
      </c>
    </row>
    <row r="17" spans="13:15">
      <c r="M17" t="s">
        <v>513</v>
      </c>
      <c r="N17" t="s">
        <v>581</v>
      </c>
      <c r="O17" t="s">
        <v>507</v>
      </c>
    </row>
  </sheetData>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D0C8-89E5-490E-AEAB-C8627E3998E3}">
  <dimension ref="A1:AM47"/>
  <sheetViews>
    <sheetView workbookViewId="0">
      <selection activeCell="L10" sqref="L10"/>
    </sheetView>
  </sheetViews>
  <sheetFormatPr defaultColWidth="9.109375" defaultRowHeight="13.8"/>
  <cols>
    <col min="1" max="1" width="25.6640625" style="166" bestFit="1" customWidth="1"/>
    <col min="2" max="2" width="56.5546875" style="167" customWidth="1"/>
    <col min="3" max="11" width="9.109375" style="160"/>
    <col min="12" max="12" width="20.44140625" style="160" customWidth="1"/>
    <col min="13" max="16384" width="9.109375" style="160"/>
  </cols>
  <sheetData>
    <row r="1" spans="1:12">
      <c r="A1" s="284"/>
      <c r="B1" s="284"/>
      <c r="C1" s="284"/>
      <c r="D1" s="284"/>
      <c r="E1" s="284"/>
      <c r="F1" s="284"/>
      <c r="G1" s="284"/>
      <c r="H1" s="284"/>
      <c r="I1" s="284"/>
      <c r="J1" s="284"/>
      <c r="K1" s="284"/>
      <c r="L1" s="284"/>
    </row>
    <row r="2" spans="1:12">
      <c r="A2" s="284"/>
      <c r="B2" s="284"/>
      <c r="C2" s="284"/>
      <c r="D2" s="284"/>
      <c r="E2" s="284"/>
      <c r="F2" s="284"/>
      <c r="G2" s="284"/>
      <c r="H2" s="284"/>
      <c r="I2" s="284"/>
      <c r="J2" s="284"/>
      <c r="K2" s="284"/>
      <c r="L2" s="284"/>
    </row>
    <row r="3" spans="1:12">
      <c r="A3" s="284"/>
      <c r="B3" s="284"/>
      <c r="C3" s="284"/>
      <c r="D3" s="284"/>
      <c r="E3" s="284"/>
      <c r="F3" s="284"/>
      <c r="G3" s="284"/>
      <c r="H3" s="284"/>
      <c r="I3" s="284"/>
      <c r="J3" s="284"/>
      <c r="K3" s="284"/>
      <c r="L3" s="284"/>
    </row>
    <row r="4" spans="1:12">
      <c r="A4" s="285"/>
      <c r="B4" s="285"/>
      <c r="C4" s="285"/>
      <c r="D4" s="285"/>
      <c r="E4" s="285"/>
      <c r="F4" s="285"/>
      <c r="G4" s="285"/>
      <c r="H4" s="285"/>
      <c r="I4" s="285"/>
      <c r="J4" s="285"/>
      <c r="K4" s="285"/>
      <c r="L4" s="285"/>
    </row>
    <row r="5" spans="1:12">
      <c r="A5" s="161" t="s">
        <v>426</v>
      </c>
      <c r="B5" s="162" t="str">
        <f>LOOKUP(2,1/((A37:A46)&lt;&gt;""),(A37:A46))</f>
        <v>1.0.1</v>
      </c>
      <c r="C5" s="163"/>
      <c r="D5" s="163"/>
      <c r="E5" s="163"/>
      <c r="F5" s="163"/>
      <c r="G5" s="163"/>
      <c r="H5" s="163"/>
      <c r="I5" s="163"/>
      <c r="J5" s="163"/>
      <c r="K5" s="164"/>
      <c r="L5" s="165"/>
    </row>
    <row r="6" spans="1:12">
      <c r="A6" s="161"/>
      <c r="B6" s="162"/>
      <c r="C6" s="163"/>
      <c r="D6" s="163"/>
      <c r="E6" s="163"/>
      <c r="F6" s="163"/>
      <c r="G6" s="163"/>
      <c r="H6" s="163"/>
      <c r="I6" s="163"/>
      <c r="J6" s="165"/>
      <c r="K6" s="165"/>
      <c r="L6" s="165"/>
    </row>
    <row r="35" spans="1:39">
      <c r="A35" s="168" t="s">
        <v>428</v>
      </c>
      <c r="B35" s="169"/>
      <c r="C35" s="163"/>
      <c r="D35" s="163"/>
      <c r="E35" s="163"/>
      <c r="F35" s="163"/>
      <c r="G35" s="163"/>
      <c r="H35" s="163"/>
      <c r="I35" s="163"/>
      <c r="J35" s="163"/>
      <c r="K35" s="163"/>
    </row>
    <row r="36" spans="1:39">
      <c r="A36" s="170" t="s">
        <v>429</v>
      </c>
      <c r="B36" s="286" t="s">
        <v>430</v>
      </c>
      <c r="C36" s="286"/>
      <c r="D36" s="286"/>
      <c r="E36" s="286"/>
      <c r="F36" s="286"/>
      <c r="G36" s="286"/>
      <c r="H36" s="286"/>
      <c r="I36" s="286"/>
      <c r="J36" s="286"/>
      <c r="K36" s="286"/>
    </row>
    <row r="37" spans="1:39">
      <c r="A37" s="168" t="s">
        <v>427</v>
      </c>
      <c r="B37" s="287" t="s">
        <v>431</v>
      </c>
      <c r="C37" s="287"/>
      <c r="D37" s="287"/>
      <c r="E37" s="287"/>
      <c r="F37" s="287"/>
      <c r="G37" s="287"/>
      <c r="H37" s="287"/>
      <c r="I37" s="287"/>
      <c r="J37" s="287"/>
      <c r="K37" s="287"/>
    </row>
    <row r="38" spans="1:39" ht="14.25" customHeight="1">
      <c r="A38" s="168" t="s">
        <v>594</v>
      </c>
      <c r="B38" s="283" t="s">
        <v>595</v>
      </c>
      <c r="C38" s="283"/>
      <c r="D38" s="283"/>
      <c r="E38" s="283"/>
      <c r="F38" s="283"/>
      <c r="G38" s="283"/>
      <c r="H38" s="283"/>
      <c r="I38" s="283"/>
      <c r="J38" s="283"/>
      <c r="K38" s="283"/>
    </row>
    <row r="39" spans="1:39" ht="14.25" customHeight="1">
      <c r="A39" s="168"/>
      <c r="B39" s="283"/>
      <c r="C39" s="283"/>
      <c r="D39" s="283"/>
      <c r="E39" s="283"/>
      <c r="F39" s="283"/>
      <c r="G39" s="283"/>
      <c r="H39" s="283"/>
      <c r="I39" s="283"/>
      <c r="J39" s="283"/>
      <c r="K39" s="283"/>
    </row>
    <row r="40" spans="1:39" ht="14.25" customHeight="1">
      <c r="A40" s="168"/>
      <c r="B40" s="283"/>
      <c r="C40" s="283"/>
      <c r="D40" s="283"/>
      <c r="E40" s="283"/>
      <c r="F40" s="283"/>
      <c r="G40" s="283"/>
      <c r="H40" s="283"/>
      <c r="I40" s="283"/>
      <c r="J40" s="283"/>
      <c r="K40" s="283"/>
    </row>
    <row r="41" spans="1:39" ht="14.25" customHeight="1">
      <c r="A41" s="168"/>
      <c r="B41" s="283"/>
      <c r="C41" s="283"/>
      <c r="D41" s="283"/>
      <c r="E41" s="283"/>
      <c r="F41" s="283"/>
      <c r="G41" s="283"/>
      <c r="H41" s="283"/>
      <c r="I41" s="283"/>
      <c r="J41" s="283"/>
      <c r="K41" s="283"/>
    </row>
    <row r="42" spans="1:39">
      <c r="A42" s="168"/>
      <c r="B42" s="283"/>
      <c r="C42" s="283"/>
      <c r="D42" s="283"/>
      <c r="E42" s="283"/>
      <c r="F42" s="283"/>
      <c r="G42" s="283"/>
      <c r="H42" s="283"/>
      <c r="I42" s="283"/>
      <c r="J42" s="283"/>
      <c r="K42" s="283"/>
    </row>
    <row r="43" spans="1:39">
      <c r="A43" s="168"/>
      <c r="B43" s="283"/>
      <c r="C43" s="283"/>
      <c r="D43" s="283"/>
      <c r="E43" s="283"/>
      <c r="F43" s="283"/>
      <c r="G43" s="283"/>
      <c r="H43" s="283"/>
      <c r="I43" s="283"/>
      <c r="J43" s="283"/>
      <c r="K43" s="283"/>
    </row>
    <row r="44" spans="1:39">
      <c r="A44" s="168"/>
      <c r="B44" s="283"/>
      <c r="C44" s="283"/>
      <c r="D44" s="283"/>
      <c r="E44" s="283"/>
      <c r="F44" s="283"/>
      <c r="G44" s="283"/>
      <c r="H44" s="283"/>
      <c r="I44" s="283"/>
      <c r="J44" s="283"/>
      <c r="K44" s="283"/>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row>
    <row r="45" spans="1:39">
      <c r="A45" s="168"/>
      <c r="B45" s="283"/>
      <c r="C45" s="283"/>
      <c r="D45" s="283"/>
      <c r="E45" s="283"/>
      <c r="F45" s="283"/>
      <c r="G45" s="283"/>
      <c r="H45" s="283"/>
      <c r="I45" s="283"/>
      <c r="J45" s="283"/>
      <c r="K45" s="283"/>
    </row>
    <row r="46" spans="1:39">
      <c r="A46" s="168"/>
      <c r="B46" s="283"/>
      <c r="C46" s="283"/>
      <c r="D46" s="283"/>
      <c r="E46" s="283"/>
      <c r="F46" s="283"/>
      <c r="G46" s="283"/>
      <c r="H46" s="283"/>
      <c r="I46" s="283"/>
      <c r="J46" s="283"/>
      <c r="K46" s="283"/>
    </row>
    <row r="47" spans="1:39">
      <c r="A47" s="168"/>
      <c r="B47" s="283"/>
      <c r="C47" s="283"/>
      <c r="D47" s="283"/>
      <c r="E47" s="283"/>
      <c r="F47" s="283"/>
      <c r="G47" s="283"/>
      <c r="H47" s="283"/>
      <c r="I47" s="283"/>
      <c r="J47" s="283"/>
      <c r="K47" s="283"/>
    </row>
  </sheetData>
  <sheetProtection algorithmName="SHA-512" hashValue="ziD5XBGWlaxQCoMDyysN0WtS5E92Old4Mz6SX06liK1fOAQqRjEsLdC4pmk3AJhxLy9RZ34p2JJ9VyBRtf2lhA==" saltValue="GtiYz7b/M769KCxW5+0Xpw==" spinCount="100000" sheet="1" objects="1" scenarios="1" selectLockedCells="1" selectUnlockedCells="1"/>
  <mergeCells count="14">
    <mergeCell ref="B39:K39"/>
    <mergeCell ref="A1:L3"/>
    <mergeCell ref="A4:L4"/>
    <mergeCell ref="B36:K36"/>
    <mergeCell ref="B37:K37"/>
    <mergeCell ref="B38:K38"/>
    <mergeCell ref="B46:K46"/>
    <mergeCell ref="B47:K47"/>
    <mergeCell ref="B40:K40"/>
    <mergeCell ref="B41:K41"/>
    <mergeCell ref="B42:K42"/>
    <mergeCell ref="B43:K43"/>
    <mergeCell ref="B44:K44"/>
    <mergeCell ref="B45:K4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17</vt:i4>
      </vt:variant>
    </vt:vector>
  </HeadingPairs>
  <TitlesOfParts>
    <vt:vector size="23" baseType="lpstr">
      <vt:lpstr>Design_Converter</vt:lpstr>
      <vt:lpstr>Calculations</vt:lpstr>
      <vt:lpstr>Compensation</vt:lpstr>
      <vt:lpstr>Constants</vt:lpstr>
      <vt:lpstr>Lists</vt:lpstr>
      <vt:lpstr>Licenses</vt:lpstr>
      <vt:lpstr>Acs</vt:lpstr>
      <vt:lpstr>fco</vt:lpstr>
      <vt:lpstr>Fsw</vt:lpstr>
      <vt:lpstr>gm</vt:lpstr>
      <vt:lpstr>I_Channel</vt:lpstr>
      <vt:lpstr>I_Channel_Design</vt:lpstr>
      <vt:lpstr>I_Channel_Peak_No_Ilimit</vt:lpstr>
      <vt:lpstr>I_Channel_Peak_Select</vt:lpstr>
      <vt:lpstr>ISETA_Max</vt:lpstr>
      <vt:lpstr>Kff</vt:lpstr>
      <vt:lpstr>np</vt:lpstr>
      <vt:lpstr>V12_Max</vt:lpstr>
      <vt:lpstr>V12_Min</vt:lpstr>
      <vt:lpstr>V12_Nom</vt:lpstr>
      <vt:lpstr>V48_Max</vt:lpstr>
      <vt:lpstr>V48_Min</vt:lpstr>
      <vt:lpstr>V48_Nom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Karim Bingoel</cp:lastModifiedBy>
  <cp:lastPrinted>2016-05-24T23:01:03Z</cp:lastPrinted>
  <dcterms:created xsi:type="dcterms:W3CDTF">2016-01-18T23:31:01Z</dcterms:created>
  <dcterms:modified xsi:type="dcterms:W3CDTF">2025-03-14T07:49:09Z</dcterms:modified>
</cp:coreProperties>
</file>