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0501377\Desktop\Work Files\ZTE TPS23523\"/>
    </mc:Choice>
  </mc:AlternateContent>
  <xr:revisionPtr revIDLastSave="0" documentId="13_ncr:1_{45F00C0F-B095-42D4-96AF-028BEFB770F6}" xr6:coauthVersionLast="36" xr6:coauthVersionMax="36" xr10:uidLastSave="{00000000-0000-0000-0000-000000000000}"/>
  <workbookProtection workbookPassword="8433" lockStructure="1"/>
  <bookViews>
    <workbookView xWindow="0" yWindow="0" windowWidth="21600" windowHeight="989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9"/>
</workbook>
</file>

<file path=xl/calcChain.xml><?xml version="1.0" encoding="utf-8"?>
<calcChain xmlns="http://schemas.openxmlformats.org/spreadsheetml/2006/main">
  <c r="F16" i="1" l="1"/>
  <c r="E24" i="8" l="1"/>
  <c r="D24" i="8"/>
  <c r="D23" i="8"/>
  <c r="D22" i="8"/>
  <c r="D21" i="8"/>
  <c r="D20" i="8"/>
  <c r="D19" i="8"/>
  <c r="D18" i="8"/>
  <c r="D17" i="8"/>
  <c r="D16" i="8"/>
  <c r="C16" i="8"/>
  <c r="D15" i="8"/>
  <c r="D14" i="8"/>
  <c r="E13" i="8"/>
  <c r="F13" i="8" s="1"/>
  <c r="D13" i="8"/>
  <c r="C13" i="8"/>
  <c r="C14" i="8" s="1"/>
  <c r="C15" i="8" s="1"/>
  <c r="G12" i="8"/>
  <c r="F12" i="8" s="1"/>
  <c r="E12" i="8"/>
  <c r="D12" i="8"/>
  <c r="E11" i="8"/>
  <c r="D11" i="8"/>
  <c r="G14" i="7"/>
  <c r="H14" i="7" s="1"/>
  <c r="F14" i="7"/>
  <c r="H13" i="7"/>
  <c r="G11" i="7"/>
  <c r="E9" i="7"/>
  <c r="G7" i="7"/>
  <c r="G8" i="7" s="1"/>
  <c r="F2" i="7"/>
  <c r="D17" i="6"/>
  <c r="H16" i="6"/>
  <c r="F16" i="6"/>
  <c r="D16" i="6"/>
  <c r="E16" i="6" s="1"/>
  <c r="J16" i="6" s="1"/>
  <c r="K16" i="6" s="1"/>
  <c r="H15" i="6"/>
  <c r="F15" i="6"/>
  <c r="E15" i="6"/>
  <c r="J15" i="6" s="1"/>
  <c r="K15" i="6" s="1"/>
  <c r="E32" i="5"/>
  <c r="E31" i="5"/>
  <c r="E30" i="5"/>
  <c r="R28" i="5"/>
  <c r="H28" i="5"/>
  <c r="F28" i="5"/>
  <c r="F103" i="1" s="1"/>
  <c r="H103" i="1" s="1"/>
  <c r="E28" i="5"/>
  <c r="D28" i="5" s="1"/>
  <c r="D103" i="1" s="1"/>
  <c r="E26" i="5"/>
  <c r="E25" i="5"/>
  <c r="E100" i="1" s="1"/>
  <c r="E23" i="5"/>
  <c r="Q22" i="5"/>
  <c r="H29" i="5" s="1"/>
  <c r="E22" i="5"/>
  <c r="Q21" i="5"/>
  <c r="E21" i="5"/>
  <c r="D21" i="5" s="1"/>
  <c r="D96" i="1" s="1"/>
  <c r="Q20" i="5"/>
  <c r="H20" i="5"/>
  <c r="Q19" i="5"/>
  <c r="H21" i="5" s="1"/>
  <c r="E18" i="5"/>
  <c r="Q17" i="5"/>
  <c r="E17" i="5"/>
  <c r="Q16" i="5"/>
  <c r="E16" i="5"/>
  <c r="Q15" i="5"/>
  <c r="H15" i="5"/>
  <c r="Q14" i="5"/>
  <c r="H14" i="5"/>
  <c r="E14" i="5"/>
  <c r="F14" i="5" s="1"/>
  <c r="D14" i="5"/>
  <c r="Q12" i="5"/>
  <c r="O12" i="5"/>
  <c r="M12" i="5"/>
  <c r="E12" i="5"/>
  <c r="Q11" i="5"/>
  <c r="H30" i="5" s="1"/>
  <c r="H11" i="5"/>
  <c r="E11" i="5"/>
  <c r="D11" i="5" s="1"/>
  <c r="Q10" i="5"/>
  <c r="H26" i="5" s="1"/>
  <c r="Q9" i="5"/>
  <c r="E9" i="5"/>
  <c r="Q8" i="5"/>
  <c r="H25" i="5" s="1"/>
  <c r="H8" i="5"/>
  <c r="E8" i="5"/>
  <c r="Q7" i="5"/>
  <c r="H22" i="5" s="1"/>
  <c r="E7" i="5"/>
  <c r="H6" i="5"/>
  <c r="E6" i="5"/>
  <c r="D6" i="5" s="1"/>
  <c r="H2" i="5"/>
  <c r="E20" i="5" s="1"/>
  <c r="E54" i="4"/>
  <c r="E53" i="4"/>
  <c r="E52" i="4"/>
  <c r="E51" i="4"/>
  <c r="E50" i="4"/>
  <c r="E49" i="4"/>
  <c r="E48" i="4"/>
  <c r="E47" i="4"/>
  <c r="K28" i="4"/>
  <c r="I23" i="4"/>
  <c r="I22" i="4"/>
  <c r="E17" i="4"/>
  <c r="P16" i="4"/>
  <c r="P15" i="4"/>
  <c r="P12" i="4"/>
  <c r="P9" i="4"/>
  <c r="H9" i="4"/>
  <c r="I8" i="4"/>
  <c r="P7" i="4"/>
  <c r="I7" i="4"/>
  <c r="H6" i="4"/>
  <c r="P5" i="4"/>
  <c r="H5" i="4"/>
  <c r="E2" i="4"/>
  <c r="E8" i="4" s="1"/>
  <c r="P14" i="4" s="1"/>
  <c r="C11" i="2"/>
  <c r="G24" i="8" s="1"/>
  <c r="C10" i="2"/>
  <c r="C14" i="2" s="1"/>
  <c r="F108" i="1"/>
  <c r="E108" i="1"/>
  <c r="E106" i="1"/>
  <c r="E103" i="1"/>
  <c r="I5" i="4" s="1"/>
  <c r="E98" i="1"/>
  <c r="E96" i="1"/>
  <c r="E81" i="1"/>
  <c r="E80" i="1"/>
  <c r="E77" i="1"/>
  <c r="E75" i="1"/>
  <c r="E76" i="1" s="1"/>
  <c r="E74" i="1"/>
  <c r="E73" i="1"/>
  <c r="C69" i="1"/>
  <c r="C68" i="1"/>
  <c r="M67" i="1"/>
  <c r="C67" i="1"/>
  <c r="C58" i="1"/>
  <c r="C56" i="1"/>
  <c r="C44" i="1"/>
  <c r="C43" i="1"/>
  <c r="C42" i="1"/>
  <c r="F36" i="1"/>
  <c r="F37" i="1" s="1"/>
  <c r="D26" i="1"/>
  <c r="E25" i="1"/>
  <c r="E11" i="4" s="1"/>
  <c r="E24" i="1"/>
  <c r="E22" i="1"/>
  <c r="F20" i="1"/>
  <c r="E20" i="1"/>
  <c r="F11" i="5" l="1"/>
  <c r="E13" i="5"/>
  <c r="F6" i="5"/>
  <c r="F21" i="5"/>
  <c r="F96" i="1" s="1"/>
  <c r="H96" i="1" s="1"/>
  <c r="F39" i="1"/>
  <c r="F38" i="1"/>
  <c r="E10" i="4"/>
  <c r="C15" i="2"/>
  <c r="D16" i="5"/>
  <c r="D25" i="5"/>
  <c r="F32" i="5"/>
  <c r="F107" i="1" s="1"/>
  <c r="E107" i="1"/>
  <c r="E14" i="8"/>
  <c r="G14" i="8" s="1"/>
  <c r="E80" i="4"/>
  <c r="H21" i="7"/>
  <c r="H22" i="7" s="1"/>
  <c r="E81" i="4"/>
  <c r="H23" i="5"/>
  <c r="D23" i="5" s="1"/>
  <c r="D98" i="1" s="1"/>
  <c r="H9" i="5"/>
  <c r="H18" i="5"/>
  <c r="D18" i="5" s="1"/>
  <c r="H32" i="5"/>
  <c r="D32" i="5" s="1"/>
  <c r="D107" i="1" s="1"/>
  <c r="H31" i="5"/>
  <c r="D31" i="5" s="1"/>
  <c r="D106" i="1" s="1"/>
  <c r="H17" i="5"/>
  <c r="F26" i="5"/>
  <c r="F101" i="1" s="1"/>
  <c r="D26" i="5"/>
  <c r="D101" i="1" s="1"/>
  <c r="E101" i="1"/>
  <c r="D18" i="6"/>
  <c r="F17" i="6"/>
  <c r="H17" i="6" s="1"/>
  <c r="E17" i="6"/>
  <c r="E24" i="5"/>
  <c r="E99" i="1" s="1"/>
  <c r="F22" i="5"/>
  <c r="D22" i="5"/>
  <c r="E97" i="1"/>
  <c r="D3" i="8"/>
  <c r="F3" i="7"/>
  <c r="E15" i="5"/>
  <c r="E78" i="1"/>
  <c r="E29" i="5"/>
  <c r="E10" i="5"/>
  <c r="F8" i="5"/>
  <c r="D8" i="5"/>
  <c r="G9" i="7"/>
  <c r="H8" i="7"/>
  <c r="F23" i="5"/>
  <c r="F98" i="1" s="1"/>
  <c r="H98" i="1" s="1"/>
  <c r="F30" i="5"/>
  <c r="F105" i="1" s="1"/>
  <c r="D30" i="5"/>
  <c r="D105" i="1" s="1"/>
  <c r="E105" i="1"/>
  <c r="F24" i="8"/>
  <c r="D17" i="5"/>
  <c r="F20" i="5"/>
  <c r="F95" i="1" s="1"/>
  <c r="D20" i="5"/>
  <c r="D95" i="1" s="1"/>
  <c r="E95" i="1"/>
  <c r="G16" i="6"/>
  <c r="I16" i="6" s="1"/>
  <c r="C16" i="6" s="1"/>
  <c r="E27" i="5"/>
  <c r="E102" i="1" s="1"/>
  <c r="G11" i="8"/>
  <c r="F11" i="8" s="1"/>
  <c r="E23" i="8"/>
  <c r="G23" i="8" s="1"/>
  <c r="P4" i="4"/>
  <c r="H7" i="5"/>
  <c r="F7" i="5" s="1"/>
  <c r="H12" i="5"/>
  <c r="F12" i="5" s="1"/>
  <c r="D13" i="5" s="1"/>
  <c r="F17" i="5"/>
  <c r="F25" i="5"/>
  <c r="H7" i="7"/>
  <c r="D4" i="8"/>
  <c r="G13" i="8"/>
  <c r="C17" i="8"/>
  <c r="C18" i="8" s="1"/>
  <c r="C19" i="8" s="1"/>
  <c r="E5" i="4"/>
  <c r="E7" i="4"/>
  <c r="P13" i="4" s="1"/>
  <c r="P19" i="4" s="1"/>
  <c r="G15" i="6"/>
  <c r="I15" i="6" s="1"/>
  <c r="C15" i="6" s="1"/>
  <c r="H16" i="5"/>
  <c r="F16" i="5" s="1"/>
  <c r="H101" i="1" l="1"/>
  <c r="P25" i="4"/>
  <c r="H107" i="1"/>
  <c r="F23" i="8"/>
  <c r="G17" i="6"/>
  <c r="I17" i="6" s="1"/>
  <c r="C17" i="6" s="1"/>
  <c r="J17" i="6"/>
  <c r="K17" i="6" s="1"/>
  <c r="D7" i="5"/>
  <c r="D27" i="5"/>
  <c r="D102" i="1" s="1"/>
  <c r="D100" i="1"/>
  <c r="F100" i="1"/>
  <c r="F27" i="5"/>
  <c r="F102" i="1" s="1"/>
  <c r="H95" i="1"/>
  <c r="H7" i="4"/>
  <c r="P8" i="4"/>
  <c r="E79" i="1"/>
  <c r="F24" i="5"/>
  <c r="F99" i="1" s="1"/>
  <c r="F97" i="1"/>
  <c r="D19" i="6"/>
  <c r="F18" i="6"/>
  <c r="H18" i="6" s="1"/>
  <c r="E18" i="6"/>
  <c r="F9" i="5"/>
  <c r="D9" i="5"/>
  <c r="F10" i="5" s="1"/>
  <c r="I9" i="4"/>
  <c r="E9" i="4" s="1"/>
  <c r="E12" i="4" s="1"/>
  <c r="E13" i="4" s="1"/>
  <c r="C30" i="4" s="1"/>
  <c r="E21" i="4"/>
  <c r="D29" i="5"/>
  <c r="D104" i="1" s="1"/>
  <c r="E104" i="1"/>
  <c r="F29" i="5"/>
  <c r="F104" i="1" s="1"/>
  <c r="H105" i="1"/>
  <c r="D10" i="5"/>
  <c r="F14" i="8"/>
  <c r="E15" i="8"/>
  <c r="P88" i="1"/>
  <c r="G20" i="7"/>
  <c r="G21" i="7" s="1"/>
  <c r="C70" i="1"/>
  <c r="F15" i="5"/>
  <c r="D15" i="5"/>
  <c r="H19" i="7"/>
  <c r="H20" i="7" s="1"/>
  <c r="E83" i="4"/>
  <c r="D97" i="1"/>
  <c r="D24" i="5"/>
  <c r="D99" i="1" s="1"/>
  <c r="P20" i="4"/>
  <c r="B16" i="6"/>
  <c r="L16" i="6"/>
  <c r="F18" i="5"/>
  <c r="D12" i="5"/>
  <c r="F13" i="5" s="1"/>
  <c r="F31" i="5"/>
  <c r="F106" i="1" s="1"/>
  <c r="H106" i="1" s="1"/>
  <c r="E59" i="4"/>
  <c r="E60" i="4" s="1"/>
  <c r="D58" i="4"/>
  <c r="D72" i="4"/>
  <c r="H99" i="1" l="1"/>
  <c r="H102" i="1"/>
  <c r="P26" i="4"/>
  <c r="H8" i="4"/>
  <c r="P6" i="4"/>
  <c r="E62" i="4"/>
  <c r="E63" i="4"/>
  <c r="E67" i="4"/>
  <c r="E61" i="4"/>
  <c r="E64" i="4"/>
  <c r="E66" i="4"/>
  <c r="E68" i="4"/>
  <c r="E65" i="4"/>
  <c r="J18" i="6"/>
  <c r="K18" i="6" s="1"/>
  <c r="G18" i="6"/>
  <c r="I18" i="6" s="1"/>
  <c r="C18" i="6" s="1"/>
  <c r="H104" i="1"/>
  <c r="L17" i="6"/>
  <c r="B17" i="6"/>
  <c r="E16" i="8"/>
  <c r="F15" i="8"/>
  <c r="G15" i="8"/>
  <c r="D27" i="4"/>
  <c r="I6" i="4"/>
  <c r="E6" i="4" s="1"/>
  <c r="E82" i="4" s="1"/>
  <c r="D20" i="6"/>
  <c r="E19" i="6"/>
  <c r="F19" i="6"/>
  <c r="H19" i="6" s="1"/>
  <c r="E20" i="4"/>
  <c r="C33" i="4" s="1"/>
  <c r="E19" i="4"/>
  <c r="H97" i="1"/>
  <c r="H100" i="1"/>
  <c r="H23" i="4" l="1"/>
  <c r="E23" i="4" s="1"/>
  <c r="C32" i="4" s="1"/>
  <c r="C39" i="4" s="1"/>
  <c r="F20" i="6"/>
  <c r="H20" i="6" s="1"/>
  <c r="E20" i="6"/>
  <c r="D21" i="6"/>
  <c r="G19" i="6"/>
  <c r="I19" i="6" s="1"/>
  <c r="C19" i="6" s="1"/>
  <c r="J19" i="6"/>
  <c r="K19" i="6" s="1"/>
  <c r="F4" i="7"/>
  <c r="F9" i="7" s="1"/>
  <c r="C34" i="4"/>
  <c r="H22" i="4"/>
  <c r="E22" i="4" s="1"/>
  <c r="C31" i="4" s="1"/>
  <c r="C41" i="4"/>
  <c r="C76" i="4"/>
  <c r="C83" i="4" s="1"/>
  <c r="D76" i="4"/>
  <c r="D83" i="4" s="1"/>
  <c r="D89" i="4" s="1"/>
  <c r="L18" i="6"/>
  <c r="B18" i="6"/>
  <c r="F16" i="8"/>
  <c r="E17" i="8"/>
  <c r="G16" i="8"/>
  <c r="D74" i="4" l="1"/>
  <c r="D81" i="4" s="1"/>
  <c r="D87" i="4" s="1"/>
  <c r="E56" i="1"/>
  <c r="C74" i="4"/>
  <c r="C81" i="4" s="1"/>
  <c r="C53" i="4"/>
  <c r="C67" i="4" s="1"/>
  <c r="C42" i="4"/>
  <c r="D53" i="4"/>
  <c r="G76" i="4"/>
  <c r="H76" i="4" s="1"/>
  <c r="E76" i="4" s="1"/>
  <c r="E89" i="4" s="1"/>
  <c r="E70" i="1" s="1"/>
  <c r="J20" i="6"/>
  <c r="K20" i="6" s="1"/>
  <c r="G20" i="6"/>
  <c r="I20" i="6" s="1"/>
  <c r="C20" i="6" s="1"/>
  <c r="E71" i="1"/>
  <c r="C35" i="4"/>
  <c r="F10" i="7"/>
  <c r="H9" i="7"/>
  <c r="I9" i="7" s="1"/>
  <c r="I10" i="7" s="1"/>
  <c r="C37" i="4"/>
  <c r="C73" i="4"/>
  <c r="C80" i="4" s="1"/>
  <c r="E55" i="1"/>
  <c r="D73" i="4"/>
  <c r="D80" i="4" s="1"/>
  <c r="D86" i="4" s="1"/>
  <c r="C17" i="2"/>
  <c r="E18" i="8"/>
  <c r="F17" i="8"/>
  <c r="G17" i="8"/>
  <c r="L19" i="6"/>
  <c r="B19" i="6"/>
  <c r="C49" i="4"/>
  <c r="C63" i="4" s="1"/>
  <c r="C40" i="4"/>
  <c r="D49" i="4"/>
  <c r="D22" i="6"/>
  <c r="F21" i="6"/>
  <c r="H21" i="6" s="1"/>
  <c r="E21" i="6"/>
  <c r="L20" i="6" l="1"/>
  <c r="B20" i="6"/>
  <c r="J21" i="6"/>
  <c r="K21" i="6" s="1"/>
  <c r="G21" i="6"/>
  <c r="I21" i="6" s="1"/>
  <c r="C21" i="6" s="1"/>
  <c r="D50" i="4"/>
  <c r="C50" i="4"/>
  <c r="C64" i="4" s="1"/>
  <c r="D47" i="4"/>
  <c r="C38" i="4"/>
  <c r="C47" i="4"/>
  <c r="C61" i="4" s="1"/>
  <c r="D67" i="4"/>
  <c r="C65" i="1"/>
  <c r="D23" i="6"/>
  <c r="F22" i="6"/>
  <c r="H22" i="6" s="1"/>
  <c r="E22" i="6"/>
  <c r="F11" i="7"/>
  <c r="H11" i="7" s="1"/>
  <c r="H10" i="7"/>
  <c r="F12" i="7"/>
  <c r="D54" i="4"/>
  <c r="C54" i="4"/>
  <c r="C68" i="4" s="1"/>
  <c r="G74" i="4"/>
  <c r="H74" i="4" s="1"/>
  <c r="E74" i="4" s="1"/>
  <c r="E87" i="4" s="1"/>
  <c r="E68" i="1" s="1"/>
  <c r="E19" i="8"/>
  <c r="G18" i="8"/>
  <c r="C75" i="4"/>
  <c r="C82" i="4" s="1"/>
  <c r="C43" i="4"/>
  <c r="D75" i="4"/>
  <c r="D82" i="4" s="1"/>
  <c r="D88" i="4" s="1"/>
  <c r="D63" i="4"/>
  <c r="C61" i="1"/>
  <c r="D6" i="8"/>
  <c r="D7" i="8" s="1"/>
  <c r="C20" i="2" s="1"/>
  <c r="C22" i="2" s="1"/>
  <c r="F43" i="1" s="1"/>
  <c r="C18" i="2"/>
  <c r="C23" i="2" s="1"/>
  <c r="F44" i="1" s="1"/>
  <c r="D5" i="8"/>
  <c r="C19" i="2" s="1"/>
  <c r="D61" i="4" l="1"/>
  <c r="C59" i="1"/>
  <c r="D64" i="4"/>
  <c r="C62" i="1"/>
  <c r="D48" i="4"/>
  <c r="C48" i="4"/>
  <c r="C62" i="4" s="1"/>
  <c r="L21" i="6"/>
  <c r="B21" i="6"/>
  <c r="D68" i="4"/>
  <c r="C66" i="1"/>
  <c r="H12" i="7"/>
  <c r="E12" i="7"/>
  <c r="D51" i="4"/>
  <c r="C51" i="4"/>
  <c r="C65" i="4" s="1"/>
  <c r="C44" i="4"/>
  <c r="E23" i="6"/>
  <c r="D24" i="6"/>
  <c r="F23" i="6"/>
  <c r="H23" i="6" s="1"/>
  <c r="G73" i="4"/>
  <c r="H73" i="4" s="1"/>
  <c r="E73" i="4" s="1"/>
  <c r="E86" i="4" s="1"/>
  <c r="E67" i="1" s="1"/>
  <c r="F19" i="8"/>
  <c r="E20" i="8"/>
  <c r="G19" i="8"/>
  <c r="G22" i="6"/>
  <c r="I22" i="6" s="1"/>
  <c r="C22" i="6" s="1"/>
  <c r="J22" i="6"/>
  <c r="K22" i="6" s="1"/>
  <c r="D65" i="4" l="1"/>
  <c r="C63" i="1"/>
  <c r="C60" i="1"/>
  <c r="D62" i="4"/>
  <c r="E13" i="7"/>
  <c r="E14" i="7" s="1"/>
  <c r="E10" i="7"/>
  <c r="E11" i="7" s="1"/>
  <c r="F24" i="6"/>
  <c r="H24" i="6" s="1"/>
  <c r="E24" i="6"/>
  <c r="D25" i="6"/>
  <c r="E21" i="8"/>
  <c r="F20" i="8"/>
  <c r="G20" i="8"/>
  <c r="C20" i="8"/>
  <c r="C21" i="8" s="1"/>
  <c r="G23" i="6"/>
  <c r="I23" i="6" s="1"/>
  <c r="C23" i="6" s="1"/>
  <c r="J23" i="6"/>
  <c r="K23" i="6" s="1"/>
  <c r="D52" i="4"/>
  <c r="C52" i="4"/>
  <c r="C66" i="4" s="1"/>
  <c r="L22" i="6"/>
  <c r="B22" i="6"/>
  <c r="G75" i="4"/>
  <c r="H75" i="4" s="1"/>
  <c r="E75" i="4" s="1"/>
  <c r="E88" i="4" s="1"/>
  <c r="E69" i="1" s="1"/>
  <c r="L23" i="6" l="1"/>
  <c r="B23" i="6"/>
  <c r="F21" i="8"/>
  <c r="E22" i="8"/>
  <c r="G21" i="8"/>
  <c r="C22" i="8"/>
  <c r="C23" i="8" s="1"/>
  <c r="C24" i="8" s="1"/>
  <c r="D26" i="6"/>
  <c r="F25" i="6"/>
  <c r="H25" i="6" s="1"/>
  <c r="E25" i="6"/>
  <c r="C64" i="1"/>
  <c r="D66" i="4"/>
  <c r="J24" i="6"/>
  <c r="K24" i="6" s="1"/>
  <c r="G24" i="6"/>
  <c r="I24" i="6" s="1"/>
  <c r="C24" i="6" s="1"/>
  <c r="D27" i="6" l="1"/>
  <c r="F26" i="6"/>
  <c r="H26" i="6" s="1"/>
  <c r="E26" i="6"/>
  <c r="L24" i="6"/>
  <c r="B24" i="6"/>
  <c r="F22" i="8"/>
  <c r="G22" i="8"/>
  <c r="G25" i="6"/>
  <c r="I25" i="6" s="1"/>
  <c r="C25" i="6" s="1"/>
  <c r="J25" i="6"/>
  <c r="K25" i="6" s="1"/>
  <c r="J26" i="6" l="1"/>
  <c r="K26" i="6" s="1"/>
  <c r="G26" i="6"/>
  <c r="I26" i="6" s="1"/>
  <c r="C26" i="6" s="1"/>
  <c r="D28" i="6"/>
  <c r="E27" i="6"/>
  <c r="F27" i="6"/>
  <c r="H27" i="6" s="1"/>
  <c r="L25" i="6"/>
  <c r="B25" i="6"/>
  <c r="F28" i="6" l="1"/>
  <c r="H28" i="6" s="1"/>
  <c r="E28" i="6"/>
  <c r="D29" i="6"/>
  <c r="G27" i="6"/>
  <c r="I27" i="6" s="1"/>
  <c r="C27" i="6" s="1"/>
  <c r="J27" i="6"/>
  <c r="K27" i="6" s="1"/>
  <c r="L26" i="6"/>
  <c r="B26" i="6"/>
  <c r="D30" i="6" l="1"/>
  <c r="F29" i="6"/>
  <c r="H29" i="6" s="1"/>
  <c r="E29" i="6"/>
  <c r="J28" i="6"/>
  <c r="K28" i="6" s="1"/>
  <c r="G28" i="6"/>
  <c r="I28" i="6" s="1"/>
  <c r="C28" i="6" s="1"/>
  <c r="L27" i="6"/>
  <c r="B27" i="6"/>
  <c r="D31" i="6" l="1"/>
  <c r="F30" i="6"/>
  <c r="H30" i="6" s="1"/>
  <c r="E30" i="6"/>
  <c r="L28" i="6"/>
  <c r="B28" i="6"/>
  <c r="J29" i="6"/>
  <c r="K29" i="6" s="1"/>
  <c r="G29" i="6"/>
  <c r="I29" i="6" s="1"/>
  <c r="C29" i="6" s="1"/>
  <c r="L29" i="6" l="1"/>
  <c r="B29" i="6"/>
  <c r="G30" i="6"/>
  <c r="I30" i="6" s="1"/>
  <c r="C30" i="6" s="1"/>
  <c r="J30" i="6"/>
  <c r="K30" i="6" s="1"/>
  <c r="E31" i="6"/>
  <c r="D32" i="6"/>
  <c r="F31" i="6"/>
  <c r="H31" i="6" s="1"/>
  <c r="F32" i="6" l="1"/>
  <c r="H32" i="6" s="1"/>
  <c r="E32" i="6"/>
  <c r="D33" i="6"/>
  <c r="L30" i="6"/>
  <c r="B30" i="6"/>
  <c r="G31" i="6"/>
  <c r="I31" i="6" s="1"/>
  <c r="C31" i="6" s="1"/>
  <c r="J31" i="6"/>
  <c r="K31" i="6" s="1"/>
  <c r="J32" i="6" l="1"/>
  <c r="K32" i="6" s="1"/>
  <c r="G32" i="6"/>
  <c r="I32" i="6" s="1"/>
  <c r="C32" i="6" s="1"/>
  <c r="L31" i="6"/>
  <c r="B31" i="6"/>
  <c r="D34" i="6"/>
  <c r="F33" i="6"/>
  <c r="H33" i="6" s="1"/>
  <c r="E33" i="6"/>
  <c r="D35" i="6" l="1"/>
  <c r="F34" i="6"/>
  <c r="H34" i="6" s="1"/>
  <c r="E34" i="6"/>
  <c r="G33" i="6"/>
  <c r="I33" i="6" s="1"/>
  <c r="C33" i="6" s="1"/>
  <c r="J33" i="6"/>
  <c r="K33" i="6" s="1"/>
  <c r="L32" i="6"/>
  <c r="B32" i="6"/>
  <c r="L33" i="6" l="1"/>
  <c r="B33" i="6"/>
  <c r="J34" i="6"/>
  <c r="K34" i="6" s="1"/>
  <c r="G34" i="6"/>
  <c r="I34" i="6" s="1"/>
  <c r="C34" i="6" s="1"/>
  <c r="E35" i="6"/>
  <c r="F35" i="6"/>
  <c r="H35" i="6" s="1"/>
  <c r="L34" i="6" l="1"/>
  <c r="B34" i="6"/>
  <c r="G35" i="6"/>
  <c r="I35" i="6" s="1"/>
  <c r="C35" i="6" s="1"/>
  <c r="J35" i="6"/>
  <c r="K35" i="6" s="1"/>
  <c r="L35" i="6" l="1"/>
  <c r="L37" i="6" s="1"/>
  <c r="L38" i="6" s="1"/>
  <c r="B3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" authorId="0" shapeId="0" xr:uid="{00000000-0006-0000-0000-000001000000}">
      <text>
        <r>
          <rPr>
            <b/>
            <sz val="9"/>
            <rFont val="Tahoma"/>
            <charset val="134"/>
          </rPr>
          <t>Author:</t>
        </r>
        <r>
          <rPr>
            <sz val="9"/>
            <rFont val="Tahoma"/>
            <charset val="134"/>
          </rPr>
          <t xml:space="preserve">
Make sure that this value is higher than Min Recommended Ilim switch. </t>
        </r>
      </text>
    </comment>
    <comment ref="E51" authorId="0" shapeId="0" xr:uid="{00000000-0006-0000-0000-000002000000}">
      <text>
        <r>
          <rPr>
            <sz val="9"/>
            <rFont val="Tahoma"/>
            <charset val="134"/>
          </rPr>
          <t xml:space="preserve">Inrush Current must be sufficiently below Iin,tmr,min to ensure that timer doesn't run at start-up. 
</t>
        </r>
      </text>
    </comment>
    <comment ref="E55" authorId="0" shapeId="0" xr:uid="{00000000-0006-0000-0000-000003000000}">
      <text>
        <r>
          <rPr>
            <b/>
            <sz val="9"/>
            <rFont val="Tahoma"/>
            <charset val="134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 xr:uid="{00000000-0006-0000-0000-000004000000}">
      <text>
        <r>
          <rPr>
            <b/>
            <sz val="9"/>
            <rFont val="Tahoma"/>
            <charset val="134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<sst xmlns="http://schemas.openxmlformats.org/spreadsheetml/2006/main" count="540" uniqueCount="266">
  <si>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r>
      <rPr>
        <sz val="24"/>
        <color theme="0"/>
        <rFont val="Arial"/>
        <charset val="134"/>
      </rPr>
      <t xml:space="preserve">                                                          </t>
    </r>
    <r>
      <rPr>
        <sz val="22"/>
        <color theme="0"/>
        <rFont val="Arial"/>
        <charset val="134"/>
      </rPr>
      <t>TPS2352x Hot Swap Design Tool</t>
    </r>
  </si>
  <si>
    <t>www.ti.com/hotswap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</si>
  <si>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</si>
  <si>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</si>
  <si>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</si>
  <si>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System Inputs:</t>
  </si>
  <si>
    <t>Min</t>
  </si>
  <si>
    <t>Typ</t>
  </si>
  <si>
    <t>Max</t>
  </si>
  <si>
    <t>Units</t>
  </si>
  <si>
    <t>Load Power</t>
  </si>
  <si>
    <t>W</t>
  </si>
  <si>
    <t>Bus Voltage</t>
  </si>
  <si>
    <t>V</t>
  </si>
  <si>
    <t>Output Capacitance</t>
  </si>
  <si>
    <t>uF</t>
  </si>
  <si>
    <t>Tamb (Or Tpcb)</t>
  </si>
  <si>
    <t>C</t>
  </si>
  <si>
    <t xml:space="preserve">Current Limit &amp; FET: </t>
  </si>
  <si>
    <r>
      <rPr>
        <sz val="11"/>
        <color theme="1"/>
        <rFont val="Calibri"/>
        <charset val="134"/>
        <scheme val="minor"/>
      </rPr>
      <t>V</t>
    </r>
    <r>
      <rPr>
        <vertAlign val="subscript"/>
        <sz val="11"/>
        <color theme="1"/>
        <rFont val="Calibri"/>
        <charset val="134"/>
        <scheme val="minor"/>
      </rPr>
      <t>SNS,CL1</t>
    </r>
    <r>
      <rPr>
        <sz val="11"/>
        <color theme="1"/>
        <rFont val="Calibri"/>
        <charset val="134"/>
        <scheme val="minor"/>
      </rPr>
      <t xml:space="preserve"> setting (40mV, only availlabe for TPS23523/21)</t>
    </r>
  </si>
  <si>
    <t>mV</t>
  </si>
  <si>
    <t>Calculated Load Current</t>
  </si>
  <si>
    <t>A</t>
  </si>
  <si>
    <t>Target Current Limit</t>
  </si>
  <si>
    <t>Calculated Rsns</t>
  </si>
  <si>
    <r>
      <rPr>
        <sz val="11"/>
        <color theme="1"/>
        <rFont val="Calibri"/>
        <charset val="134"/>
        <scheme val="minor"/>
      </rPr>
      <t>m</t>
    </r>
    <r>
      <rPr>
        <sz val="11"/>
        <color theme="1"/>
        <rFont val="Calibri"/>
        <charset val="134"/>
      </rPr>
      <t>Ω</t>
    </r>
  </si>
  <si>
    <t>Selected Rsns</t>
  </si>
  <si>
    <t>Ilim (high Vds)</t>
  </si>
  <si>
    <t>Ilim (low Vds)</t>
  </si>
  <si>
    <t>Iin,tmr (where timer trips)</t>
  </si>
  <si>
    <t>FET (Q1)</t>
  </si>
  <si>
    <t>Q1 Ron @ Tj,op,max</t>
  </si>
  <si>
    <t>Q1 Tj,absmax</t>
  </si>
  <si>
    <t>Q1 Cgs (Gate to source capacitance)</t>
  </si>
  <si>
    <t>nF</t>
  </si>
  <si>
    <t># FETs Q1 (driven by GATE)</t>
  </si>
  <si>
    <t>Start - Up</t>
  </si>
  <si>
    <t>Q2 (only TPS23521/23)</t>
  </si>
  <si>
    <t>Not Used</t>
  </si>
  <si>
    <t>Q2 Ron @ Tj,op,max (only TPS23521/23)</t>
  </si>
  <si>
    <t>Inrush Current During Start -up (@ max Vin and Cout)</t>
  </si>
  <si>
    <r>
      <rPr>
        <b/>
        <sz val="11"/>
        <color theme="1"/>
        <rFont val="Calibri"/>
        <charset val="134"/>
        <scheme val="minor"/>
      </rPr>
      <t>Q</t>
    </r>
    <r>
      <rPr>
        <b/>
        <vertAlign val="subscript"/>
        <sz val="11"/>
        <color theme="1"/>
        <rFont val="Calibri"/>
        <charset val="134"/>
        <scheme val="minor"/>
      </rPr>
      <t>1</t>
    </r>
    <r>
      <rPr>
        <b/>
        <sz val="11"/>
        <color theme="1"/>
        <rFont val="Calibri"/>
        <charset val="134"/>
        <scheme val="minor"/>
      </rPr>
      <t xml:space="preserve"> Power Dissipation During Start-up</t>
    </r>
  </si>
  <si>
    <t># FETs Q2 (driven by GATE2, only TPS23521/23)</t>
  </si>
  <si>
    <t>Rtheta,ja (OR Psi,j,pcb)</t>
  </si>
  <si>
    <t>C/W</t>
  </si>
  <si>
    <t>IQ1,max (max current through Q1 "FETs")</t>
  </si>
  <si>
    <t>Power Dissipation / FET (Q1)</t>
  </si>
  <si>
    <t>Yes</t>
  </si>
  <si>
    <t xml:space="preserve">Total FET Power Dissipation </t>
  </si>
  <si>
    <t>No</t>
  </si>
  <si>
    <t>Tj,op,max (Q1)</t>
  </si>
  <si>
    <t>Recommended Timer and Ilim switch</t>
  </si>
  <si>
    <t>Required to pass ATIS 06003.2013 "Fig 1" or other brown out test?</t>
  </si>
  <si>
    <t>ms</t>
  </si>
  <si>
    <t xml:space="preserve">Target Settings: </t>
  </si>
  <si>
    <t>Target</t>
  </si>
  <si>
    <t>Target UV, rising</t>
  </si>
  <si>
    <t>Target UV, falling</t>
  </si>
  <si>
    <t>Target OV, rising</t>
  </si>
  <si>
    <t>Target OV, falling</t>
  </si>
  <si>
    <t>Programmed</t>
  </si>
  <si>
    <t>Target Ilim, switch</t>
  </si>
  <si>
    <t>Target Inrush Current (at max Cout)</t>
  </si>
  <si>
    <t>Target Time out (low Vds)</t>
  </si>
  <si>
    <t>SOA Margin Check (Refer to SOA margin TAB for full details)</t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</si>
  <si>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</si>
  <si>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Estimated Teq for Start-into Short</t>
  </si>
  <si>
    <t>Measured Teq for Start-into Short (Enter TBD if not known)</t>
  </si>
  <si>
    <t>TBD</t>
  </si>
  <si>
    <t>Start-Time at Max Vin</t>
  </si>
  <si>
    <t xml:space="preserve">Computed Components: </t>
  </si>
  <si>
    <t>Ruv1</t>
  </si>
  <si>
    <r>
      <rPr>
        <sz val="11"/>
        <color theme="1"/>
        <rFont val="Calibri"/>
        <charset val="134"/>
        <scheme val="minor"/>
      </rPr>
      <t>k</t>
    </r>
    <r>
      <rPr>
        <sz val="11"/>
        <color theme="1"/>
        <rFont val="Calibri"/>
        <charset val="134"/>
      </rPr>
      <t>Ω</t>
    </r>
  </si>
  <si>
    <t>Ruv2</t>
  </si>
  <si>
    <t>Rov1</t>
  </si>
  <si>
    <t>Rov2</t>
  </si>
  <si>
    <t>Rd</t>
  </si>
  <si>
    <t>Css</t>
  </si>
  <si>
    <t>Css,vee</t>
  </si>
  <si>
    <t>Ctmr</t>
  </si>
  <si>
    <t>Recommended Rcc (with 20% margin)</t>
  </si>
  <si>
    <t xml:space="preserve">Selected Components: </t>
  </si>
  <si>
    <t>Value</t>
  </si>
  <si>
    <t>Tol(%)</t>
  </si>
  <si>
    <t>Rsns</t>
  </si>
  <si>
    <t>Start - Up Using Equivalent Power Pulse (@ Vin,max &amp; Cout,max)</t>
  </si>
  <si>
    <t>Rcc</t>
  </si>
  <si>
    <t xml:space="preserve">Programmed Settings </t>
  </si>
  <si>
    <t>Error</t>
  </si>
  <si>
    <t>Error calculation</t>
  </si>
  <si>
    <t>RMS</t>
  </si>
  <si>
    <t>Ilim1</t>
  </si>
  <si>
    <t>Ilim2</t>
  </si>
  <si>
    <t>UV, rising</t>
  </si>
  <si>
    <t>UV, hyst</t>
  </si>
  <si>
    <t>UV, falling</t>
  </si>
  <si>
    <t>OV, rising</t>
  </si>
  <si>
    <t>OV, hyst</t>
  </si>
  <si>
    <t>OV, falling</t>
  </si>
  <si>
    <t>Ilim, switch</t>
  </si>
  <si>
    <t>Inrush Current (with max Cout)</t>
  </si>
  <si>
    <t>Time out (Vd =0V)</t>
  </si>
  <si>
    <t>Time out (0.75V&lt;Vd &lt; 1.5V)</t>
  </si>
  <si>
    <t>Time out (Vd &gt; 1.5V)</t>
  </si>
  <si>
    <t>Power Consumption Rcc</t>
  </si>
  <si>
    <t>mW</t>
  </si>
  <si>
    <t>ATIS / Brown Out Transient Inputs</t>
  </si>
  <si>
    <t>Simplified Diagram</t>
  </si>
  <si>
    <t>Vin,start</t>
  </si>
  <si>
    <t>Vin,low</t>
  </si>
  <si>
    <t xml:space="preserve">Tdrop </t>
  </si>
  <si>
    <t>Vhigh</t>
  </si>
  <si>
    <t>System Inputs</t>
  </si>
  <si>
    <t>D1 (Forward Drop)</t>
  </si>
  <si>
    <t>Cbulk</t>
  </si>
  <si>
    <r>
      <rPr>
        <sz val="11"/>
        <color theme="1"/>
        <rFont val="Calibri"/>
        <charset val="134"/>
      </rPr>
      <t>m</t>
    </r>
    <r>
      <rPr>
        <sz val="11"/>
        <color theme="1"/>
        <rFont val="Calibri"/>
        <charset val="134"/>
        <scheme val="minor"/>
      </rPr>
      <t>F</t>
    </r>
  </si>
  <si>
    <t>Cout</t>
  </si>
  <si>
    <t>Load During Transient</t>
  </si>
  <si>
    <t>Other Losses (Cap ESR, etc)</t>
  </si>
  <si>
    <t>HS Gate Recovery time</t>
  </si>
  <si>
    <t>Ctotal</t>
  </si>
  <si>
    <r>
      <rPr>
        <sz val="11"/>
        <color theme="1"/>
        <rFont val="Calibri"/>
        <charset val="134"/>
      </rPr>
      <t>µ</t>
    </r>
    <r>
      <rPr>
        <sz val="11"/>
        <color theme="1"/>
        <rFont val="Calibri"/>
        <charset val="134"/>
        <scheme val="minor"/>
      </rPr>
      <t>F</t>
    </r>
  </si>
  <si>
    <t>Typical Ilim</t>
  </si>
  <si>
    <t xml:space="preserve"> 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</si>
  <si>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</si>
  <si>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</si>
  <si>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</si>
  <si>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</si>
  <si>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</si>
  <si>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</si>
  <si>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</si>
  <si>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</si>
  <si>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Teq Calculations</t>
  </si>
  <si>
    <t>Using Programmed or target</t>
  </si>
  <si>
    <t>Used for calculations</t>
  </si>
  <si>
    <t>Ilim</t>
  </si>
  <si>
    <t xml:space="preserve">Assumptions: </t>
  </si>
  <si>
    <t>Vds,switch:</t>
  </si>
  <si>
    <t>Cgs,FET</t>
  </si>
  <si>
    <t>Ifet = A*Vgst^2</t>
  </si>
  <si>
    <t>Iinr</t>
  </si>
  <si>
    <t>Css,vee,tgt</t>
  </si>
  <si>
    <t>Ifet = Vout  / Rshort</t>
  </si>
  <si>
    <t>Css,vee,act</t>
  </si>
  <si>
    <t>Css,tgt</t>
  </si>
  <si>
    <t>Css,tot = Cgd,fet + Css_ext</t>
  </si>
  <si>
    <t>Time, out (Full)</t>
  </si>
  <si>
    <t>Css,act</t>
  </si>
  <si>
    <t>Cgs,tot = Cgs,fet + Css,vee</t>
  </si>
  <si>
    <t>Ilim, high</t>
  </si>
  <si>
    <t>A/V^2</t>
  </si>
  <si>
    <t>Ilim, low</t>
  </si>
  <si>
    <t>time, out (medium Vds)</t>
  </si>
  <si>
    <t>use:</t>
  </si>
  <si>
    <t>time, out, (high Vds)</t>
  </si>
  <si>
    <t>Css,tot</t>
  </si>
  <si>
    <t>Cgs,tot</t>
  </si>
  <si>
    <t>Igate</t>
  </si>
  <si>
    <t>uA</t>
  </si>
  <si>
    <t>Key Inputs</t>
  </si>
  <si>
    <t>Rshort</t>
  </si>
  <si>
    <t>ohm</t>
  </si>
  <si>
    <t>Vd2 = Max Vin</t>
  </si>
  <si>
    <t>Start-into Short</t>
  </si>
  <si>
    <t>short time-out</t>
  </si>
  <si>
    <t>m</t>
  </si>
  <si>
    <t>V/ms</t>
  </si>
  <si>
    <t>mid time-out</t>
  </si>
  <si>
    <t>teq1</t>
  </si>
  <si>
    <t>long time - out</t>
  </si>
  <si>
    <t>Computed</t>
  </si>
  <si>
    <t>Entered</t>
  </si>
  <si>
    <t>teq - hot short</t>
  </si>
  <si>
    <t>teq - resistive short</t>
  </si>
  <si>
    <t>Start-into Resistive Short</t>
  </si>
  <si>
    <t>Equation: teq,no,cgs = Ilim * Rshort * Css,tot / Igate/2</t>
  </si>
  <si>
    <t>teq, no, cgs</t>
  </si>
  <si>
    <t xml:space="preserve">&lt;= if FET was ideal and there was no Cgs. Basically just wait until Vout comes up. </t>
  </si>
  <si>
    <t>teq,total</t>
  </si>
  <si>
    <t>&lt;= As an approximation adding the two computed values seperately</t>
  </si>
  <si>
    <t>Inrush Current</t>
  </si>
  <si>
    <t xml:space="preserve">t1 = Timer </t>
  </si>
  <si>
    <t>t1' = t1 + Teq hot short</t>
  </si>
  <si>
    <t>t1'' = t1 + Teq Resistive Short</t>
  </si>
  <si>
    <t>t2 = Max timer at 0.75 &lt;Vd&lt;1.5V</t>
  </si>
  <si>
    <t>t3 = Vin,max. Time to start with max Iinr</t>
  </si>
  <si>
    <t>Start-up Time</t>
  </si>
  <si>
    <t>t3' = t3 / 2 (triangular power pulse)</t>
  </si>
  <si>
    <t>t1'-</t>
  </si>
  <si>
    <t>t1'+</t>
  </si>
  <si>
    <t>t1''-</t>
  </si>
  <si>
    <t>t1''+</t>
  </si>
  <si>
    <t>t2-</t>
  </si>
  <si>
    <t>t2+</t>
  </si>
  <si>
    <t>t3-</t>
  </si>
  <si>
    <t>t3+</t>
  </si>
  <si>
    <t>Time (ms)</t>
  </si>
  <si>
    <t>SOA look up (25C)</t>
  </si>
  <si>
    <t>Temp Derating</t>
  </si>
  <si>
    <t>Temp used for derating</t>
  </si>
  <si>
    <t>W/o Temp derating</t>
  </si>
  <si>
    <t>a</t>
  </si>
  <si>
    <t>Operating Point</t>
  </si>
  <si>
    <t>SOA Margin (Temp Derated SOA / Req'd SOA)</t>
  </si>
  <si>
    <t>Vsns,cl1</t>
  </si>
  <si>
    <t>Worst Case</t>
  </si>
  <si>
    <t>Programmed Settings (Worst Case)</t>
  </si>
  <si>
    <t>IC parameters</t>
  </si>
  <si>
    <t>Errror %</t>
  </si>
  <si>
    <t>Iuv</t>
  </si>
  <si>
    <t>NA</t>
  </si>
  <si>
    <t>Iov</t>
  </si>
  <si>
    <t>Vtmr1</t>
  </si>
  <si>
    <t>Vtmr2</t>
  </si>
  <si>
    <t>Vsns, tmr1</t>
  </si>
  <si>
    <t>Itmr1</t>
  </si>
  <si>
    <t>Itmr2</t>
  </si>
  <si>
    <t>Vd</t>
  </si>
  <si>
    <t>Programmed Settings (RMS, error)</t>
  </si>
  <si>
    <t>Vsns,cl2</t>
  </si>
  <si>
    <t>Igate,src,low</t>
  </si>
  <si>
    <t>Igate,src,high</t>
  </si>
  <si>
    <t>Iq</t>
  </si>
  <si>
    <t>mA</t>
  </si>
  <si>
    <t>VCC operating</t>
  </si>
  <si>
    <t>Discretizing Solution for Sanity Checks</t>
  </si>
  <si>
    <t>Vin</t>
  </si>
  <si>
    <t>time</t>
  </si>
  <si>
    <t>Ifet</t>
  </si>
  <si>
    <t>RTN-VOUTM</t>
  </si>
  <si>
    <t>Vgst</t>
  </si>
  <si>
    <t>Qss</t>
  </si>
  <si>
    <t>Qenh</t>
  </si>
  <si>
    <t>Qtot</t>
  </si>
  <si>
    <t>Vds</t>
  </si>
  <si>
    <t>PFET</t>
  </si>
  <si>
    <t>deltaE (mJ)</t>
  </si>
  <si>
    <t>Energy</t>
  </si>
  <si>
    <t>mJ</t>
  </si>
  <si>
    <t>teq</t>
  </si>
  <si>
    <t>Vin,max</t>
  </si>
  <si>
    <t>Cout,max</t>
  </si>
  <si>
    <t>I,inr</t>
  </si>
  <si>
    <t>&lt;= At max Cout</t>
  </si>
  <si>
    <t>Iin</t>
  </si>
  <si>
    <t>Pfet (W)</t>
  </si>
  <si>
    <t>Pfet,eq</t>
  </si>
  <si>
    <t>mF/A = ms/V</t>
  </si>
  <si>
    <t>&lt;=C/Ilim</t>
  </si>
  <si>
    <t>B</t>
  </si>
  <si>
    <t>&lt;= Pload / Ilim</t>
  </si>
  <si>
    <t>Trecharge</t>
  </si>
  <si>
    <t>&lt;= A* (Vhigh - Vend)+A*B*ln[(Vhigh-B)/(Vend-B)]</t>
  </si>
  <si>
    <t>Vhalf</t>
  </si>
  <si>
    <t>Trecharge (1/2)</t>
  </si>
  <si>
    <t>Vin(V)</t>
  </si>
  <si>
    <t>Vout (V)</t>
  </si>
  <si>
    <t>I_FET (A)</t>
  </si>
  <si>
    <t>I_load (A)</t>
  </si>
  <si>
    <t xml:space="preserve">Start Drop Out =&gt; </t>
  </si>
  <si>
    <t xml:space="preserve">Note: Adjusting for diode just once. </t>
  </si>
  <si>
    <t xml:space="preserve">Finish Drop Out =&gt; </t>
  </si>
  <si>
    <t>Spike =&gt;</t>
  </si>
  <si>
    <t>HS =&gt; Recovered</t>
  </si>
  <si>
    <t xml:space="preserve">Finish Recovery =&gt; </t>
  </si>
  <si>
    <t>NTB004N10G（Onsemi）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</si>
</sst>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0.000"/>
  </numFmts>
  <fonts count="24">
    <font>
      <sz val="11"/>
      <color theme="1"/>
      <name val="Calibri"/>
      <charset val="134"/>
      <scheme val="minor"/>
    </font>
    <font>
      <sz val="20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u/>
      <sz val="11"/>
      <color theme="1"/>
      <name val="Calibri"/>
      <charset val="134"/>
      <scheme val="minor"/>
    </font>
    <font>
      <b/>
      <u/>
      <sz val="11"/>
      <color theme="1"/>
      <name val="Calibri"/>
      <charset val="134"/>
      <scheme val="minor"/>
    </font>
    <font>
      <sz val="18"/>
      <color theme="4" tint="-0.499984740745262"/>
      <name val="Calibri"/>
      <charset val="134"/>
      <scheme val="minor"/>
    </font>
    <font>
      <sz val="24"/>
      <color theme="0"/>
      <name val="Arial"/>
      <charset val="134"/>
    </font>
    <font>
      <u/>
      <sz val="10"/>
      <color theme="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1"/>
      <name val="Calibri"/>
      <charset val="134"/>
      <scheme val="minor"/>
    </font>
    <font>
      <b/>
      <sz val="12"/>
      <color rgb="FFFF0000"/>
      <name val="Calibri"/>
      <charset val="134"/>
    </font>
    <font>
      <b/>
      <sz val="16"/>
      <color rgb="FFFF0000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Calibri"/>
      <charset val="134"/>
      <scheme val="minor"/>
    </font>
    <font>
      <u/>
      <sz val="10"/>
      <color theme="10"/>
      <name val="Arial"/>
      <charset val="134"/>
    </font>
    <font>
      <sz val="11"/>
      <color theme="1"/>
      <name val="Calibri"/>
      <charset val="134"/>
    </font>
    <font>
      <sz val="22"/>
      <color theme="0"/>
      <name val="Arial"/>
      <charset val="134"/>
    </font>
    <font>
      <vertAlign val="subscript"/>
      <sz val="11"/>
      <color theme="1"/>
      <name val="Calibri"/>
      <charset val="134"/>
      <scheme val="minor"/>
    </font>
    <font>
      <b/>
      <vertAlign val="subscript"/>
      <sz val="11"/>
      <color theme="1"/>
      <name val="Calibri"/>
      <charset val="134"/>
      <scheme val="minor"/>
    </font>
    <font>
      <sz val="9"/>
      <name val="Tahoma"/>
      <charset val="134"/>
    </font>
    <font>
      <b/>
      <sz val="9"/>
      <name val="Tahoma"/>
      <charset val="134"/>
    </font>
  </fonts>
  <fills count="1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</cellStyleXfs>
  <cellXfs count="175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0" borderId="3" xfId="0" applyBorder="1"/>
    <xf numFmtId="0" fontId="0" fillId="0" borderId="0" xfId="0" applyAlignment="1">
      <alignment horizontal="right"/>
    </xf>
    <xf numFmtId="2" fontId="0" fillId="0" borderId="0" xfId="0" applyNumberFormat="1" applyAlignment="1">
      <alignment horizontal="center"/>
    </xf>
    <xf numFmtId="0" fontId="3" fillId="0" borderId="0" xfId="0" applyFont="1"/>
    <xf numFmtId="0" fontId="0" fillId="2" borderId="4" xfId="0" applyFill="1" applyBorder="1"/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/>
    <xf numFmtId="0" fontId="0" fillId="2" borderId="0" xfId="0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10" fontId="0" fillId="0" borderId="0" xfId="0" applyNumberFormat="1"/>
    <xf numFmtId="0" fontId="0" fillId="0" borderId="8" xfId="0" applyFill="1" applyBorder="1"/>
    <xf numFmtId="164" fontId="0" fillId="0" borderId="0" xfId="0" applyNumberFormat="1"/>
    <xf numFmtId="165" fontId="0" fillId="0" borderId="0" xfId="0" applyNumberFormat="1"/>
    <xf numFmtId="0" fontId="0" fillId="0" borderId="7" xfId="0" applyFill="1" applyBorder="1"/>
    <xf numFmtId="0" fontId="0" fillId="0" borderId="9" xfId="0" applyFill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10" xfId="0" applyFill="1" applyBorder="1"/>
    <xf numFmtId="164" fontId="0" fillId="0" borderId="1" xfId="0" applyNumberFormat="1" applyBorder="1"/>
    <xf numFmtId="0" fontId="0" fillId="0" borderId="9" xfId="0" applyBorder="1"/>
    <xf numFmtId="0" fontId="0" fillId="3" borderId="1" xfId="0" applyFill="1" applyBorder="1"/>
    <xf numFmtId="0" fontId="0" fillId="3" borderId="10" xfId="0" applyFill="1" applyBorder="1"/>
    <xf numFmtId="0" fontId="0" fillId="0" borderId="11" xfId="0" applyFon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0" fillId="0" borderId="7" xfId="0" applyFont="1" applyBorder="1" applyAlignment="1">
      <alignment horizontal="right"/>
    </xf>
    <xf numFmtId="0" fontId="0" fillId="0" borderId="0" xfId="0" applyBorder="1"/>
    <xf numFmtId="0" fontId="0" fillId="0" borderId="9" xfId="0" applyFont="1" applyBorder="1" applyAlignment="1">
      <alignment horizontal="right"/>
    </xf>
    <xf numFmtId="0" fontId="0" fillId="0" borderId="10" xfId="0" applyBorder="1"/>
    <xf numFmtId="0" fontId="0" fillId="0" borderId="7" xfId="0" applyFont="1" applyFill="1" applyBorder="1" applyAlignment="1">
      <alignment horizontal="right"/>
    </xf>
    <xf numFmtId="0" fontId="0" fillId="0" borderId="9" xfId="0" applyFont="1" applyFill="1" applyBorder="1" applyAlignment="1">
      <alignment horizontal="right"/>
    </xf>
    <xf numFmtId="0" fontId="0" fillId="0" borderId="1" xfId="0" applyFill="1" applyBorder="1"/>
    <xf numFmtId="0" fontId="0" fillId="0" borderId="0" xfId="0" applyFont="1" applyFill="1" applyBorder="1" applyAlignment="1">
      <alignment horizontal="right"/>
    </xf>
    <xf numFmtId="0" fontId="0" fillId="3" borderId="0" xfId="0" applyFill="1" applyBorder="1"/>
    <xf numFmtId="0" fontId="0" fillId="2" borderId="14" xfId="0" applyFill="1" applyBorder="1"/>
    <xf numFmtId="0" fontId="0" fillId="0" borderId="14" xfId="0" applyBorder="1"/>
    <xf numFmtId="2" fontId="0" fillId="0" borderId="14" xfId="0" applyNumberFormat="1" applyBorder="1"/>
    <xf numFmtId="0" fontId="0" fillId="0" borderId="14" xfId="0" applyFill="1" applyBorder="1"/>
    <xf numFmtId="0" fontId="0" fillId="2" borderId="14" xfId="0" applyFill="1" applyBorder="1" applyAlignment="1">
      <alignment horizontal="center"/>
    </xf>
    <xf numFmtId="0" fontId="3" fillId="4" borderId="0" xfId="0" applyFont="1" applyFill="1"/>
    <xf numFmtId="0" fontId="0" fillId="0" borderId="14" xfId="0" applyBorder="1" applyAlignment="1">
      <alignment horizontal="center"/>
    </xf>
    <xf numFmtId="0" fontId="0" fillId="5" borderId="14" xfId="0" applyFill="1" applyBorder="1"/>
    <xf numFmtId="2" fontId="0" fillId="5" borderId="14" xfId="0" applyNumberFormat="1" applyFill="1" applyBorder="1"/>
    <xf numFmtId="0" fontId="0" fillId="4" borderId="14" xfId="0" applyFill="1" applyBorder="1" applyAlignment="1" applyProtection="1">
      <alignment horizontal="center"/>
      <protection locked="0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wrapText="1"/>
    </xf>
    <xf numFmtId="0" fontId="0" fillId="4" borderId="14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3" xfId="0" applyFill="1" applyBorder="1"/>
    <xf numFmtId="9" fontId="0" fillId="4" borderId="14" xfId="0" applyNumberFormat="1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2" fontId="0" fillId="0" borderId="14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14" xfId="0" applyFill="1" applyBorder="1" applyAlignment="1">
      <alignment wrapText="1"/>
    </xf>
    <xf numFmtId="0" fontId="0" fillId="8" borderId="0" xfId="0" applyFill="1"/>
    <xf numFmtId="0" fontId="7" fillId="8" borderId="0" xfId="1" applyFont="1" applyFill="1" applyAlignment="1" applyProtection="1"/>
    <xf numFmtId="0" fontId="0" fillId="8" borderId="0" xfId="0" applyFill="1" applyAlignment="1">
      <alignment horizontal="center"/>
    </xf>
    <xf numFmtId="0" fontId="0" fillId="4" borderId="14" xfId="0" applyFill="1" applyBorder="1" applyAlignment="1" applyProtection="1">
      <alignment horizontal="center"/>
    </xf>
    <xf numFmtId="0" fontId="8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4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0" fillId="2" borderId="5" xfId="0" applyFill="1" applyBorder="1"/>
    <xf numFmtId="0" fontId="0" fillId="11" borderId="0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4" borderId="4" xfId="0" applyFill="1" applyBorder="1" applyAlignment="1" applyProtection="1">
      <alignment horizontal="center"/>
      <protection locked="0"/>
    </xf>
    <xf numFmtId="0" fontId="0" fillId="11" borderId="1" xfId="0" applyFill="1" applyBorder="1"/>
    <xf numFmtId="0" fontId="0" fillId="0" borderId="10" xfId="0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2" fontId="0" fillId="9" borderId="14" xfId="0" applyNumberFormat="1" applyFill="1" applyBorder="1" applyAlignment="1" applyProtection="1">
      <alignment horizontal="center" vertical="center" wrapText="1"/>
    </xf>
    <xf numFmtId="165" fontId="0" fillId="9" borderId="14" xfId="0" applyNumberFormat="1" applyFill="1" applyBorder="1" applyAlignment="1" applyProtection="1">
      <alignment horizontal="center"/>
    </xf>
    <xf numFmtId="0" fontId="0" fillId="0" borderId="8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11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4" borderId="14" xfId="0" applyFill="1" applyBorder="1" applyProtection="1">
      <protection locked="0"/>
    </xf>
    <xf numFmtId="2" fontId="0" fillId="0" borderId="14" xfId="0" applyNumberFormat="1" applyBorder="1" applyAlignment="1">
      <alignment horizontal="center" vertical="center"/>
    </xf>
    <xf numFmtId="0" fontId="0" fillId="0" borderId="14" xfId="0" applyFont="1" applyFill="1" applyBorder="1"/>
    <xf numFmtId="2" fontId="0" fillId="4" borderId="14" xfId="0" applyNumberFormat="1" applyFill="1" applyBorder="1" applyAlignment="1" applyProtection="1">
      <alignment horizontal="center"/>
      <protection locked="0"/>
    </xf>
    <xf numFmtId="0" fontId="0" fillId="0" borderId="14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6" xfId="0" applyFill="1" applyBorder="1" applyAlignment="1"/>
    <xf numFmtId="0" fontId="0" fillId="11" borderId="13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2" fontId="0" fillId="9" borderId="4" xfId="0" applyNumberFormat="1" applyFill="1" applyBorder="1"/>
    <xf numFmtId="0" fontId="0" fillId="0" borderId="6" xfId="0" applyFill="1" applyBorder="1"/>
    <xf numFmtId="0" fontId="0" fillId="11" borderId="10" xfId="0" applyFill="1" applyBorder="1" applyAlignment="1">
      <alignment horizontal="center"/>
    </xf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 applyAlignment="1">
      <alignment horizontal="center"/>
    </xf>
    <xf numFmtId="0" fontId="0" fillId="4" borderId="2" xfId="0" applyFill="1" applyBorder="1" applyAlignment="1" applyProtection="1">
      <alignment horizontal="center"/>
      <protection locked="0"/>
    </xf>
    <xf numFmtId="0" fontId="0" fillId="2" borderId="20" xfId="0" applyFill="1" applyBorder="1"/>
    <xf numFmtId="0" fontId="0" fillId="0" borderId="2" xfId="0" applyBorder="1" applyAlignment="1">
      <alignment wrapText="1"/>
    </xf>
    <xf numFmtId="0" fontId="0" fillId="0" borderId="16" xfId="0" applyBorder="1"/>
    <xf numFmtId="0" fontId="0" fillId="4" borderId="16" xfId="0" applyFill="1" applyBorder="1" applyAlignment="1" applyProtection="1">
      <alignment horizontal="center"/>
      <protection locked="0"/>
    </xf>
    <xf numFmtId="0" fontId="0" fillId="0" borderId="24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25" xfId="0" applyFill="1" applyBorder="1"/>
    <xf numFmtId="0" fontId="0" fillId="9" borderId="26" xfId="0" applyFill="1" applyBorder="1"/>
    <xf numFmtId="0" fontId="0" fillId="9" borderId="15" xfId="0" applyFill="1" applyBorder="1"/>
    <xf numFmtId="0" fontId="0" fillId="9" borderId="0" xfId="0" applyFill="1" applyBorder="1"/>
    <xf numFmtId="0" fontId="14" fillId="9" borderId="15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0" fillId="9" borderId="27" xfId="0" applyFill="1" applyBorder="1"/>
    <xf numFmtId="0" fontId="0" fillId="9" borderId="20" xfId="0" applyFill="1" applyBorder="1"/>
    <xf numFmtId="0" fontId="15" fillId="9" borderId="0" xfId="0" applyFont="1" applyFill="1" applyProtection="1"/>
    <xf numFmtId="0" fontId="0" fillId="9" borderId="28" xfId="0" applyFill="1" applyBorder="1"/>
    <xf numFmtId="0" fontId="0" fillId="9" borderId="29" xfId="0" applyFill="1" applyBorder="1"/>
    <xf numFmtId="0" fontId="14" fillId="9" borderId="29" xfId="0" applyFont="1" applyFill="1" applyBorder="1" applyAlignment="1">
      <alignment horizontal="center"/>
    </xf>
    <xf numFmtId="0" fontId="0" fillId="9" borderId="30" xfId="0" applyFill="1" applyBorder="1"/>
    <xf numFmtId="0" fontId="0" fillId="11" borderId="2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166" fontId="0" fillId="0" borderId="14" xfId="0" applyNumberFormat="1" applyBorder="1"/>
    <xf numFmtId="165" fontId="0" fillId="0" borderId="14" xfId="0" applyNumberFormat="1" applyBorder="1"/>
    <xf numFmtId="9" fontId="0" fillId="0" borderId="14" xfId="0" applyNumberFormat="1" applyBorder="1"/>
    <xf numFmtId="164" fontId="0" fillId="0" borderId="14" xfId="0" applyNumberFormat="1" applyBorder="1"/>
    <xf numFmtId="0" fontId="0" fillId="2" borderId="14" xfId="0" applyFill="1" applyBorder="1" applyAlignment="1">
      <alignment horizontal="center" vertical="center"/>
    </xf>
    <xf numFmtId="164" fontId="0" fillId="0" borderId="0" xfId="2" applyNumberFormat="1" applyFont="1"/>
    <xf numFmtId="0" fontId="14" fillId="9" borderId="0" xfId="0" applyFont="1" applyFill="1" applyBorder="1" applyAlignment="1"/>
    <xf numFmtId="0" fontId="0" fillId="0" borderId="15" xfId="0" applyBorder="1"/>
    <xf numFmtId="165" fontId="0" fillId="0" borderId="0" xfId="0" applyNumberFormat="1" applyBorder="1"/>
    <xf numFmtId="0" fontId="0" fillId="0" borderId="27" xfId="0" applyBorder="1"/>
    <xf numFmtId="0" fontId="0" fillId="0" borderId="20" xfId="0" applyBorder="1"/>
    <xf numFmtId="0" fontId="14" fillId="9" borderId="29" xfId="0" applyFont="1" applyFill="1" applyBorder="1" applyAlignment="1"/>
    <xf numFmtId="0" fontId="0" fillId="0" borderId="29" xfId="0" applyBorder="1"/>
    <xf numFmtId="0" fontId="0" fillId="0" borderId="30" xfId="0" applyBorder="1"/>
    <xf numFmtId="0" fontId="6" fillId="7" borderId="15" xfId="0" applyFont="1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left" vertical="center"/>
    </xf>
    <xf numFmtId="0" fontId="11" fillId="9" borderId="0" xfId="0" applyFont="1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14" fillId="9" borderId="15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4" fillId="9" borderId="29" xfId="0" applyFont="1" applyFill="1" applyBorder="1" applyAlignment="1">
      <alignment horizont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12" fillId="9" borderId="26" xfId="0" applyFont="1" applyFill="1" applyBorder="1" applyAlignment="1">
      <alignment horizontal="center" vertical="center"/>
    </xf>
    <xf numFmtId="0" fontId="13" fillId="9" borderId="26" xfId="0" applyFont="1" applyFill="1" applyBorder="1" applyAlignment="1">
      <alignment horizontal="center" vertical="center"/>
    </xf>
    <xf numFmtId="0" fontId="13" fillId="9" borderId="0" xfId="0" applyFont="1" applyFill="1" applyBorder="1" applyAlignment="1">
      <alignment horizontal="center" vertical="center"/>
    </xf>
    <xf numFmtId="0" fontId="0" fillId="4" borderId="21" xfId="0" applyFill="1" applyBorder="1" applyAlignment="1" applyProtection="1">
      <alignment horizontal="center" vertical="center"/>
      <protection locked="0"/>
    </xf>
    <xf numFmtId="0" fontId="0" fillId="4" borderId="22" xfId="0" applyFill="1" applyBorder="1" applyAlignment="1" applyProtection="1">
      <alignment horizontal="center" vertical="center"/>
      <protection locked="0"/>
    </xf>
    <xf numFmtId="0" fontId="0" fillId="4" borderId="23" xfId="0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horizontal="center"/>
      <protection locked="0"/>
    </xf>
    <xf numFmtId="0" fontId="14" fillId="9" borderId="15" xfId="0" applyFont="1" applyFill="1" applyBorder="1" applyAlignment="1">
      <alignment horizontal="center" wrapText="1"/>
    </xf>
    <xf numFmtId="0" fontId="14" fillId="9" borderId="0" xfId="0" applyFont="1" applyFill="1" applyBorder="1" applyAlignment="1">
      <alignment horizontal="center" wrapText="1"/>
    </xf>
    <xf numFmtId="0" fontId="0" fillId="2" borderId="14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6" borderId="14" xfId="0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4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72848064"/>
          <c:y val="0.11423893319428501"/>
          <c:w val="0.80810907483133798"/>
          <c:h val="0.81014300429882902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30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EC-4327-B721-915988F81D3F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EC-4327-B721-915988F81D3F}"/>
            </c:ext>
          </c:extLst>
        </c:ser>
        <c:ser>
          <c:idx val="2"/>
          <c:order val="2"/>
          <c:tx>
            <c:v>Extrapolated SOA</c:v>
          </c:tx>
          <c:spPr>
            <a:ln w="25400" cap="rnd" cmpd="sng" algn="ctr">
              <a:noFill/>
              <a:prstDash val="solid"/>
              <a:round/>
            </a:ln>
          </c:spPr>
          <c:marker>
            <c:symbol val="x"/>
            <c:size val="10"/>
            <c:spPr>
              <a:noFill/>
              <a:ln w="2857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1.102059167901559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18.686588769734072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EC-4327-B721-915988F81D3F}"/>
            </c:ext>
          </c:extLst>
        </c:ser>
        <c:ser>
          <c:idx val="3"/>
          <c:order val="3"/>
          <c:tx>
            <c:v>FET Operating Point</c:v>
          </c:tx>
          <c:spPr>
            <a:ln w="28575" cap="rnd" cmpd="sng" algn="ctr">
              <a:noFill/>
              <a:prstDash val="solid"/>
              <a:round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1.102059167901559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EC-4327-B721-915988F81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01"/>
              <c:y val="0.926160620086166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58720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497"/>
          <c:y val="4.9980683922758298E-2"/>
          <c:w val="0.44201524189646202"/>
          <c:h val="0.255169389080433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 rot="0" spcFirstLastPara="0" vertOverflow="ellipsis" vert="horz" wrap="square" anchor="ctr" anchorCtr="1"/>
        <a:lstStyle/>
        <a:p>
          <a:pPr>
            <a:defRPr lang="zh-CN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E-4615-8E41-45732BAE2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919168"/>
        <c:crosses val="autoZero"/>
        <c:crossBetween val="midCat"/>
      </c:valAx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7"/>
          <c:y val="0.101871485311239"/>
          <c:w val="0.78133346139385296"/>
          <c:h val="0.75132932046349898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28.5</c:v>
                </c:pt>
                <c:pt idx="2">
                  <c:v>28.51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E4-40CF-A9E3-8FCF603F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4"/>
              <c:y val="0.933702987208767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50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2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 cap="flat" cmpd="sng" algn="ctr">
      <a:solidFill>
        <a:sysClr val="windowText" lastClr="000000"/>
      </a:solidFill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09166559104703E-2"/>
          <c:y val="2.7484608689454001E-2"/>
          <c:w val="0.84698117133667505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100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AB-4B65-95FF-B83597A89AAF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66.666666666666657</c:v>
                </c:pt>
                <c:pt idx="1">
                  <c:v>26.666666666666664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AB-4B65-95FF-B83597A89AAF}"/>
            </c:ext>
          </c:extLst>
        </c:ser>
        <c:ser>
          <c:idx val="2"/>
          <c:order val="2"/>
          <c:tx>
            <c:v>Extrapolated SOA</c:v>
          </c:tx>
          <c:spPr>
            <a:ln w="25400" cap="rnd" cmpd="sng" algn="ctr">
              <a:noFill/>
              <a:prstDash val="solid"/>
              <a:round/>
            </a:ln>
          </c:spPr>
          <c:marker>
            <c:symbol val="x"/>
            <c:size val="10"/>
            <c:spPr>
              <a:noFill/>
              <a:ln w="2857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2.4750000000000001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46.482493918064456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AB-4B65-95FF-B83597A89AAF}"/>
            </c:ext>
          </c:extLst>
        </c:ser>
        <c:ser>
          <c:idx val="3"/>
          <c:order val="3"/>
          <c:tx>
            <c:v>FET Operating Point</c:v>
          </c:tx>
          <c:spPr>
            <a:ln w="28575" cap="rnd" cmpd="sng" algn="ctr">
              <a:noFill/>
              <a:prstDash val="solid"/>
              <a:round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2.4750000000000001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AB-4B65-95FF-B83597A89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4"/>
              <c:y val="0.9337029872087679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070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199"/>
          <c:y val="3.3676567740623998E-3"/>
          <c:w val="0.43174473235407401"/>
          <c:h val="0.29618179153571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"/>
          <c:y val="3.4330215331153699E-2"/>
          <c:w val="0.80810907483133798"/>
          <c:h val="0.80215907037815504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57.035000000000004</c:v>
                </c:pt>
                <c:pt idx="4">
                  <c:v>57.045000000000002</c:v>
                </c:pt>
                <c:pt idx="5">
                  <c:v>104.06</c:v>
                </c:pt>
                <c:pt idx="6">
                  <c:v>104.07000000000001</c:v>
                </c:pt>
                <c:pt idx="7">
                  <c:v>114.07000000000001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0.11549090909090909</c:v>
                </c:pt>
                <c:pt idx="3">
                  <c:v>0.11549090909090909</c:v>
                </c:pt>
                <c:pt idx="4">
                  <c:v>0.11549090909090909</c:v>
                </c:pt>
                <c:pt idx="5">
                  <c:v>0.11549090909090909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D-4DFD-B3EA-68796DB4F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501"/>
              <c:y val="0.929213038314344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47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8"/>
          <c:y val="0.11692189824103"/>
          <c:w val="0.80810907483133798"/>
          <c:h val="0.69525088658465095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57.035000000000004</c:v>
                </c:pt>
                <c:pt idx="4">
                  <c:v>57.045000000000002</c:v>
                </c:pt>
                <c:pt idx="5">
                  <c:v>104.06</c:v>
                </c:pt>
                <c:pt idx="6">
                  <c:v>104.07000000000001</c:v>
                </c:pt>
                <c:pt idx="7">
                  <c:v>114.07000000000001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6.5829818181818176</c:v>
                </c:pt>
                <c:pt idx="3">
                  <c:v>3.4647272727272727</c:v>
                </c:pt>
                <c:pt idx="4">
                  <c:v>3.4647272727272727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E9-4A63-8FAB-583E77D6D420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57.035000000000004</c:v>
                </c:pt>
                <c:pt idx="4">
                  <c:v>57.045000000000002</c:v>
                </c:pt>
                <c:pt idx="5">
                  <c:v>104.06</c:v>
                </c:pt>
                <c:pt idx="6">
                  <c:v>104.07000000000001</c:v>
                </c:pt>
                <c:pt idx="7">
                  <c:v>114.07000000000001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6.5829818181818176</c:v>
                </c:pt>
                <c:pt idx="3">
                  <c:v>6.5829818181818176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E9-4A63-8FAB-583E77D6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898"/>
              <c:y val="0.893955074509778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97"/>
          <c:y val="0.28918861304211801"/>
          <c:w val="0.41762682328643302"/>
          <c:h val="0.13322272807435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7"/>
          <c:y val="0.101871485311239"/>
          <c:w val="0.78133346139385296"/>
          <c:h val="0.75132932046349898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28.5</c:v>
                </c:pt>
                <c:pt idx="2">
                  <c:v>28.51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C4-40BC-85FE-7E22DE412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4"/>
              <c:y val="0.933702987208767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50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13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 cap="flat" cmpd="sng" algn="ctr">
      <a:solidFill>
        <a:sysClr val="windowText" lastClr="000000"/>
      </a:solidFill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72848064"/>
          <c:y val="0.11423893319428501"/>
          <c:w val="0.80810907483133798"/>
          <c:h val="0.81014300429882902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6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85-4E7C-88D4-5AE90C644DCE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4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85-4E7C-88D4-5AE90C644DCE}"/>
            </c:ext>
          </c:extLst>
        </c:ser>
        <c:ser>
          <c:idx val="2"/>
          <c:order val="2"/>
          <c:tx>
            <c:v>Extrapolated SOA</c:v>
          </c:tx>
          <c:spPr>
            <a:ln w="25400" cap="rnd" cmpd="sng" algn="ctr">
              <a:noFill/>
              <a:prstDash val="solid"/>
              <a:round/>
            </a:ln>
          </c:spPr>
          <c:marker>
            <c:symbol val="x"/>
            <c:size val="10"/>
            <c:spPr>
              <a:noFill/>
              <a:ln w="2857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47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1.5754940262315476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85-4E7C-88D4-5AE90C644DCE}"/>
            </c:ext>
          </c:extLst>
        </c:ser>
        <c:ser>
          <c:idx val="3"/>
          <c:order val="3"/>
          <c:tx>
            <c:v>FET Operating Point</c:v>
          </c:tx>
          <c:spPr>
            <a:ln w="28575" cap="rnd" cmpd="sng" algn="ctr">
              <a:noFill/>
              <a:prstDash val="solid"/>
              <a:round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47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0.11549090909090909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85-4E7C-88D4-5AE90C64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01"/>
              <c:y val="0.926160620086166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329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497"/>
          <c:y val="4.9980683922758298E-2"/>
          <c:w val="0.44201524189646202"/>
          <c:h val="0.255169389080433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"/>
          <c:y val="0.16921974884218399"/>
          <c:w val="0.83595384975518905"/>
          <c:h val="0.68407191228450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3.7892481242521225</c:v>
                </c:pt>
                <c:pt idx="10" formatCode="0.00">
                  <c:v>3.8621453496735225</c:v>
                </c:pt>
                <c:pt idx="11" formatCode="0.00">
                  <c:v>3.9319008430550597</c:v>
                </c:pt>
                <c:pt idx="12" formatCode="0.00">
                  <c:v>3.9995870807667901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A-4AF9-88F0-2A29FBAF3ABF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3.7892481242521225</c:v>
                </c:pt>
                <c:pt idx="10" formatCode="0.00">
                  <c:v>3.8621453496735225</c:v>
                </c:pt>
                <c:pt idx="11" formatCode="0.00">
                  <c:v>3.9319008430550597</c:v>
                </c:pt>
                <c:pt idx="12" formatCode="0.00">
                  <c:v>3.9995870807667901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49.386079887452844</c:v>
                </c:pt>
                <c:pt idx="4" formatCode="0.00">
                  <c:v>44.294127977642233</c:v>
                </c:pt>
                <c:pt idx="5" formatCode="0.00">
                  <c:v>38.535109445149139</c:v>
                </c:pt>
                <c:pt idx="6" formatCode="0.00">
                  <c:v>31.748063666930879</c:v>
                </c:pt>
                <c:pt idx="7" formatCode="0.00">
                  <c:v>31.717999403274103</c:v>
                </c:pt>
                <c:pt idx="8" formatCode="0.00">
                  <c:v>24.988385211253551</c:v>
                </c:pt>
                <c:pt idx="9" formatCode="0.00">
                  <c:v>32.241288908440161</c:v>
                </c:pt>
                <c:pt idx="10" formatCode="0.00">
                  <c:v>39.494192605626772</c:v>
                </c:pt>
                <c:pt idx="11" formatCode="0.00">
                  <c:v>46.747096302813382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9A-4AF9-88F0-2A29FBAF3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0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96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98"/>
          <c:y val="0.32773543083041301"/>
          <c:w val="0.17859897897539101"/>
          <c:h val="0.1674343832021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"/>
          <c:y val="0.16921974884218399"/>
          <c:w val="0.83595384975518905"/>
          <c:h val="0.68407191228450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3.7892481242521225</c:v>
                </c:pt>
                <c:pt idx="10" formatCode="0.00">
                  <c:v>3.8621453496735225</c:v>
                </c:pt>
                <c:pt idx="11" formatCode="0.00">
                  <c:v>3.9319008430550597</c:v>
                </c:pt>
                <c:pt idx="12" formatCode="0.00">
                  <c:v>3.9995870807667901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2.7777777777777777</c:v>
                </c:pt>
                <c:pt idx="1">
                  <c:v>2.7777777777777777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58-468F-B856-883A364AE493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3.7892481242521225</c:v>
                </c:pt>
                <c:pt idx="10" formatCode="0.00">
                  <c:v>3.8621453496735225</c:v>
                </c:pt>
                <c:pt idx="11" formatCode="0.00">
                  <c:v>3.9319008430550597</c:v>
                </c:pt>
                <c:pt idx="12" formatCode="0.00">
                  <c:v>3.9995870807667901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2.7777777777777777</c:v>
                </c:pt>
                <c:pt idx="1">
                  <c:v>2.7777777777777777</c:v>
                </c:pt>
                <c:pt idx="2">
                  <c:v>2.7777777777777777</c:v>
                </c:pt>
                <c:pt idx="3">
                  <c:v>3.037293106515818</c:v>
                </c:pt>
                <c:pt idx="4">
                  <c:v>3.3864533934546253</c:v>
                </c:pt>
                <c:pt idx="5">
                  <c:v>3.8925541450325953</c:v>
                </c:pt>
                <c:pt idx="6">
                  <c:v>4.7246975933288677</c:v>
                </c:pt>
                <c:pt idx="7">
                  <c:v>4.7291759512586466</c:v>
                </c:pt>
                <c:pt idx="8">
                  <c:v>6.0027888449729563</c:v>
                </c:pt>
                <c:pt idx="9">
                  <c:v>4.652419462074695</c:v>
                </c:pt>
                <c:pt idx="10">
                  <c:v>3.7980267503589724</c:v>
                </c:pt>
                <c:pt idx="11">
                  <c:v>3.2087554492870725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58-468F-B856-883A364A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56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98"/>
          <c:y val="0.32773543083041301"/>
          <c:w val="0.17859897897539101"/>
          <c:h val="0.1674343832021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 rot="0" spcFirstLastPara="0" vertOverflow="ellipsis" vert="horz" wrap="square" anchor="ctr" anchorCtr="1"/>
        <a:lstStyle/>
        <a:p>
          <a:pPr>
            <a:defRPr lang="zh-CN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06-4E8B-8943-692A8B1BE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97152"/>
        <c:crosses val="autoZero"/>
        <c:crossBetween val="midCat"/>
      </c:valAx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>
        <a:xfrm>
          <a:off x="83820" y="152400"/>
          <a:ext cx="219075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5521940" y="114300"/>
          <a:ext cx="0" cy="402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>
        <a:xfrm>
          <a:off x="64135" y="897255"/>
          <a:ext cx="8382635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 panose="020B0604020202020204"/>
              <a:cs typeface="Arial" panose="020B0604020202020204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 panose="020B0604020202020204"/>
              <a:cs typeface="Arial" panose="020B0604020202020204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 panose="020B0604020202020204"/>
              <a:cs typeface="Arial" panose="020B0604020202020204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 panose="020B0604020202020204"/>
              <a:cs typeface="Arial" panose="020B0604020202020204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221503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2510" y="9863455"/>
          <a:ext cx="3695700" cy="2966720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970" y="2184400"/>
          <a:ext cx="5375910" cy="343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915" y="356870"/>
          <a:ext cx="5151755" cy="4098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333730" y="1093470"/>
          <a:ext cx="7903845" cy="672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N113"/>
  <sheetViews>
    <sheetView tabSelected="1" topLeftCell="B72" zoomScale="85" zoomScaleNormal="85" workbookViewId="0">
      <selection activeCell="E61" sqref="E61"/>
    </sheetView>
  </sheetViews>
  <sheetFormatPr defaultColWidth="9" defaultRowHeight="14.5"/>
  <cols>
    <col min="1" max="1" width="8.90625" hidden="1" customWidth="1"/>
    <col min="2" max="2" width="15.6328125" customWidth="1"/>
    <col min="3" max="3" width="58.08984375" customWidth="1"/>
    <col min="4" max="4" width="8.81640625" customWidth="1"/>
    <col min="5" max="5" width="9.36328125" customWidth="1"/>
    <col min="6" max="6" width="10.453125" customWidth="1"/>
    <col min="7" max="7" width="7" customWidth="1"/>
    <col min="8" max="8" width="13.54296875" customWidth="1"/>
    <col min="9" max="9" width="12" customWidth="1"/>
    <col min="10" max="10" width="16.453125" customWidth="1"/>
    <col min="12" max="12" width="12" customWidth="1"/>
    <col min="20" max="20" width="15.6328125" customWidth="1"/>
    <col min="21" max="21" width="15.453125" customWidth="1"/>
    <col min="22" max="22" width="13.6328125" customWidth="1"/>
  </cols>
  <sheetData>
    <row r="1" spans="2:40" ht="62.4" customHeight="1">
      <c r="B1" s="145" t="s">
        <v>0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</row>
    <row r="2" spans="2:40" ht="15.5">
      <c r="B2" s="65"/>
      <c r="C2" s="66" t="s">
        <v>1</v>
      </c>
      <c r="D2" s="65"/>
      <c r="E2" s="65"/>
      <c r="F2" s="65"/>
      <c r="G2" s="67"/>
      <c r="H2" s="67"/>
      <c r="I2" s="65"/>
      <c r="J2" s="65"/>
      <c r="K2" s="65"/>
      <c r="L2" s="65"/>
      <c r="M2" s="147"/>
      <c r="N2" s="147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</row>
    <row r="3" spans="2:40">
      <c r="B3" s="65"/>
      <c r="C3" s="65"/>
      <c r="D3" s="65"/>
      <c r="E3" s="65"/>
      <c r="F3" s="65"/>
      <c r="G3" s="65"/>
      <c r="H3" s="67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</row>
    <row r="4" spans="2:40">
      <c r="B4" s="65"/>
      <c r="C4" s="65"/>
      <c r="D4" s="65"/>
      <c r="E4" s="65"/>
      <c r="F4" s="65"/>
      <c r="G4" s="65"/>
      <c r="H4" s="67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</row>
    <row r="5" spans="2:40">
      <c r="B5" s="65"/>
      <c r="C5" s="65"/>
      <c r="D5" s="65"/>
      <c r="E5" s="65"/>
      <c r="F5" s="65"/>
      <c r="G5" s="65"/>
      <c r="H5" s="67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</row>
    <row r="6" spans="2:40" ht="24" customHeight="1">
      <c r="B6" s="65"/>
      <c r="C6" s="65"/>
      <c r="D6" s="65"/>
      <c r="E6" s="65"/>
      <c r="F6" s="65"/>
      <c r="G6" s="65"/>
      <c r="H6" s="67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</row>
    <row r="7" spans="2:40" ht="12" customHeight="1">
      <c r="B7" s="65"/>
      <c r="C7" s="65"/>
      <c r="D7" s="65"/>
      <c r="E7" s="65"/>
      <c r="F7" s="65"/>
      <c r="G7" s="65"/>
      <c r="H7" s="67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</row>
    <row r="8" spans="2:40" ht="21.65" customHeight="1">
      <c r="C8" s="68"/>
      <c r="D8" s="69" t="s">
        <v>2</v>
      </c>
      <c r="E8" s="70"/>
    </row>
    <row r="9" spans="2:40">
      <c r="C9" s="71"/>
      <c r="D9" s="65" t="s">
        <v>3</v>
      </c>
      <c r="E9" s="72"/>
    </row>
    <row r="10" spans="2:40">
      <c r="C10" s="73"/>
      <c r="D10" s="153" t="s">
        <v>4</v>
      </c>
      <c r="E10" s="154"/>
      <c r="F10" s="154"/>
      <c r="G10" s="154"/>
      <c r="H10" s="154"/>
    </row>
    <row r="11" spans="2:40">
      <c r="C11" s="74"/>
      <c r="D11" s="153"/>
      <c r="E11" s="154"/>
      <c r="F11" s="154"/>
      <c r="G11" s="154"/>
      <c r="H11" s="154"/>
    </row>
    <row r="12" spans="2:40">
      <c r="C12" s="36"/>
    </row>
    <row r="13" spans="2:40">
      <c r="C13" s="44" t="s">
        <v>5</v>
      </c>
      <c r="D13" s="75" t="s">
        <v>6</v>
      </c>
      <c r="E13" s="75" t="s">
        <v>7</v>
      </c>
      <c r="F13" s="12" t="s">
        <v>8</v>
      </c>
      <c r="G13" s="15" t="s">
        <v>9</v>
      </c>
    </row>
    <row r="14" spans="2:40">
      <c r="C14" s="45" t="s">
        <v>10</v>
      </c>
      <c r="D14" s="76"/>
      <c r="E14" s="56">
        <v>150</v>
      </c>
      <c r="F14" s="53"/>
      <c r="G14" s="77" t="s">
        <v>11</v>
      </c>
    </row>
    <row r="15" spans="2:40">
      <c r="C15" s="45" t="s">
        <v>12</v>
      </c>
      <c r="D15" s="78">
        <v>50</v>
      </c>
      <c r="E15" s="56">
        <v>54</v>
      </c>
      <c r="F15" s="53">
        <v>57</v>
      </c>
      <c r="G15" s="77" t="s">
        <v>13</v>
      </c>
    </row>
    <row r="16" spans="2:40">
      <c r="C16" s="45" t="s">
        <v>14</v>
      </c>
      <c r="D16" s="76"/>
      <c r="E16" s="56">
        <v>158.80000000000001</v>
      </c>
      <c r="F16" s="53">
        <f>E16*1.2</f>
        <v>190.56</v>
      </c>
      <c r="G16" s="77" t="s">
        <v>15</v>
      </c>
    </row>
    <row r="17" spans="3:21">
      <c r="C17" s="45" t="s">
        <v>16</v>
      </c>
      <c r="D17" s="76"/>
      <c r="E17" s="79"/>
      <c r="F17" s="53">
        <v>75</v>
      </c>
      <c r="G17" s="80" t="s">
        <v>17</v>
      </c>
    </row>
    <row r="18" spans="3:21">
      <c r="C18" s="44" t="s">
        <v>18</v>
      </c>
      <c r="D18" s="75"/>
      <c r="E18" s="75"/>
      <c r="F18" s="12"/>
      <c r="G18" s="81"/>
    </row>
    <row r="19" spans="3:21" ht="16.5">
      <c r="C19" s="45" t="s">
        <v>19</v>
      </c>
      <c r="D19" s="76"/>
      <c r="E19" s="53">
        <v>40</v>
      </c>
      <c r="F19" s="82"/>
      <c r="G19" s="83" t="s">
        <v>20</v>
      </c>
    </row>
    <row r="20" spans="3:21">
      <c r="C20" s="45" t="s">
        <v>21</v>
      </c>
      <c r="D20" s="76"/>
      <c r="E20" s="84">
        <f>E14/E15</f>
        <v>2.7777777777777777</v>
      </c>
      <c r="F20" s="85">
        <f>F14/D15</f>
        <v>0</v>
      </c>
      <c r="G20" s="77" t="s">
        <v>22</v>
      </c>
    </row>
    <row r="21" spans="3:21">
      <c r="C21" s="45" t="s">
        <v>23</v>
      </c>
      <c r="D21" s="76"/>
      <c r="E21" s="56">
        <v>20</v>
      </c>
      <c r="F21" s="82"/>
      <c r="G21" s="77" t="s">
        <v>22</v>
      </c>
    </row>
    <row r="22" spans="3:21">
      <c r="C22" s="45" t="s">
        <v>24</v>
      </c>
      <c r="D22" s="76"/>
      <c r="E22" s="84">
        <f>Error_Calculation!H2/E21</f>
        <v>2</v>
      </c>
      <c r="F22" s="82"/>
      <c r="G22" s="86" t="s">
        <v>25</v>
      </c>
    </row>
    <row r="23" spans="3:21">
      <c r="C23" s="45" t="s">
        <v>26</v>
      </c>
      <c r="D23" s="76"/>
      <c r="E23" s="56">
        <v>2</v>
      </c>
      <c r="F23" s="82"/>
      <c r="G23" s="86" t="s">
        <v>25</v>
      </c>
    </row>
    <row r="24" spans="3:21">
      <c r="C24" s="45" t="s">
        <v>27</v>
      </c>
      <c r="D24" s="76"/>
      <c r="E24" s="84">
        <f>Error_Calculation!H2/E23</f>
        <v>20</v>
      </c>
      <c r="F24" s="82"/>
      <c r="G24" s="77" t="s">
        <v>22</v>
      </c>
    </row>
    <row r="25" spans="3:21">
      <c r="C25" s="45" t="s">
        <v>28</v>
      </c>
      <c r="D25" s="76"/>
      <c r="E25" s="84">
        <f>Error_Calculation!N19/E23</f>
        <v>1.5</v>
      </c>
      <c r="F25" s="82"/>
      <c r="G25" s="77" t="s">
        <v>22</v>
      </c>
    </row>
    <row r="26" spans="3:21">
      <c r="C26" s="45" t="s">
        <v>29</v>
      </c>
      <c r="D26" s="87">
        <f>Error_Calculation!M13/E23</f>
        <v>0.75</v>
      </c>
      <c r="E26" s="79"/>
      <c r="F26" s="88"/>
      <c r="G26" s="89" t="s">
        <v>22</v>
      </c>
    </row>
    <row r="27" spans="3:21">
      <c r="C27" s="47" t="s">
        <v>30</v>
      </c>
      <c r="D27" s="148" t="s">
        <v>265</v>
      </c>
      <c r="E27" s="148"/>
      <c r="F27" s="149"/>
      <c r="G27" s="90"/>
    </row>
    <row r="28" spans="3:21">
      <c r="C28" s="45" t="s">
        <v>31</v>
      </c>
      <c r="D28" s="76"/>
      <c r="E28" s="76"/>
      <c r="F28" s="91">
        <v>4.2</v>
      </c>
      <c r="G28" s="86" t="s">
        <v>25</v>
      </c>
    </row>
    <row r="29" spans="3:21">
      <c r="C29" s="45" t="s">
        <v>32</v>
      </c>
      <c r="D29" s="76"/>
      <c r="E29" s="76"/>
      <c r="F29" s="91">
        <v>175</v>
      </c>
      <c r="G29" s="86" t="s">
        <v>17</v>
      </c>
    </row>
    <row r="30" spans="3:21">
      <c r="C30" s="47" t="s">
        <v>33</v>
      </c>
      <c r="D30" s="76"/>
      <c r="E30" s="76"/>
      <c r="F30" s="91">
        <v>11.753</v>
      </c>
      <c r="G30" s="86" t="s">
        <v>34</v>
      </c>
    </row>
    <row r="31" spans="3:21">
      <c r="C31" s="45" t="s">
        <v>35</v>
      </c>
      <c r="D31" s="76"/>
      <c r="E31" s="53">
        <v>1</v>
      </c>
      <c r="F31" s="82"/>
      <c r="G31" s="86"/>
      <c r="J31" s="115"/>
      <c r="K31" s="116"/>
      <c r="L31" s="116"/>
      <c r="M31" s="155" t="s">
        <v>36</v>
      </c>
      <c r="N31" s="156"/>
      <c r="O31" s="156"/>
      <c r="P31" s="156"/>
      <c r="Q31" s="156"/>
      <c r="R31" s="116"/>
      <c r="S31" s="116"/>
      <c r="T31" s="116"/>
      <c r="U31" s="124"/>
    </row>
    <row r="32" spans="3:21">
      <c r="C32" s="45" t="s">
        <v>37</v>
      </c>
      <c r="D32" s="148" t="s">
        <v>38</v>
      </c>
      <c r="E32" s="148"/>
      <c r="F32" s="149"/>
      <c r="G32" s="90"/>
      <c r="J32" s="117"/>
      <c r="K32" s="118"/>
      <c r="L32" s="118"/>
      <c r="M32" s="157"/>
      <c r="N32" s="157"/>
      <c r="O32" s="157"/>
      <c r="P32" s="157"/>
      <c r="Q32" s="157"/>
      <c r="R32" s="118"/>
      <c r="S32" s="118"/>
      <c r="T32" s="118"/>
      <c r="U32" s="125"/>
    </row>
    <row r="33" spans="1:21" ht="16.5">
      <c r="C33" s="45" t="s">
        <v>39</v>
      </c>
      <c r="D33" s="76"/>
      <c r="E33" s="76"/>
      <c r="F33" s="91"/>
      <c r="G33" s="86" t="s">
        <v>25</v>
      </c>
      <c r="J33" s="150" t="s">
        <v>40</v>
      </c>
      <c r="K33" s="151"/>
      <c r="L33" s="151"/>
      <c r="M33" s="151"/>
      <c r="N33" s="151"/>
      <c r="O33" s="118"/>
      <c r="P33" s="118"/>
      <c r="Q33" s="151" t="s">
        <v>41</v>
      </c>
      <c r="R33" s="151"/>
      <c r="S33" s="151"/>
      <c r="T33" s="151"/>
      <c r="U33" s="152"/>
    </row>
    <row r="34" spans="1:21">
      <c r="C34" s="45" t="s">
        <v>42</v>
      </c>
      <c r="D34" s="76"/>
      <c r="E34" s="53"/>
      <c r="F34" s="82"/>
      <c r="J34" s="119"/>
      <c r="K34" s="120"/>
      <c r="L34" s="120"/>
      <c r="M34" s="120"/>
      <c r="N34" s="120"/>
      <c r="O34" s="118"/>
      <c r="P34" s="118"/>
      <c r="Q34" s="120"/>
      <c r="R34" s="120"/>
      <c r="S34" s="120"/>
      <c r="T34" s="120"/>
      <c r="U34" s="126"/>
    </row>
    <row r="35" spans="1:21">
      <c r="C35" s="45" t="s">
        <v>43</v>
      </c>
      <c r="D35" s="76"/>
      <c r="E35" s="76"/>
      <c r="F35" s="53"/>
      <c r="G35" s="77" t="s">
        <v>44</v>
      </c>
      <c r="J35" s="119"/>
      <c r="K35" s="120"/>
      <c r="L35" s="120"/>
      <c r="M35" s="120"/>
      <c r="N35" s="120"/>
      <c r="O35" s="118"/>
      <c r="P35" s="118"/>
      <c r="Q35" s="120"/>
      <c r="R35" s="120"/>
      <c r="S35" s="120"/>
      <c r="T35" s="120"/>
      <c r="U35" s="126"/>
    </row>
    <row r="36" spans="1:21">
      <c r="C36" s="45" t="s">
        <v>45</v>
      </c>
      <c r="D36" s="76"/>
      <c r="E36" s="76"/>
      <c r="F36" s="85">
        <f>IF(E34=0,F20,(F33/E34)/(F33/E34+F28/E31)*F20)</f>
        <v>0</v>
      </c>
      <c r="G36" s="86" t="s">
        <v>22</v>
      </c>
      <c r="J36" s="117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25"/>
    </row>
    <row r="37" spans="1:21">
      <c r="C37" s="45" t="s">
        <v>46</v>
      </c>
      <c r="D37" s="76"/>
      <c r="E37" s="76"/>
      <c r="F37" s="84">
        <f>F28*(F36/E31)^2/1000</f>
        <v>0</v>
      </c>
      <c r="G37" s="3" t="s">
        <v>11</v>
      </c>
      <c r="J37" s="117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25"/>
    </row>
    <row r="38" spans="1:21">
      <c r="A38" t="s">
        <v>47</v>
      </c>
      <c r="C38" s="45" t="s">
        <v>48</v>
      </c>
      <c r="D38" s="76"/>
      <c r="E38" s="76"/>
      <c r="F38" s="92">
        <f>F37*E31+IF(E34=0,0,(F20-F36)^2*F33/E34)/1000</f>
        <v>0</v>
      </c>
      <c r="G38" s="86" t="s">
        <v>11</v>
      </c>
      <c r="J38" s="117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25"/>
    </row>
    <row r="39" spans="1:21">
      <c r="A39" t="s">
        <v>49</v>
      </c>
      <c r="C39" s="47" t="s">
        <v>50</v>
      </c>
      <c r="D39" s="76"/>
      <c r="E39" s="76"/>
      <c r="F39" s="92">
        <f>F17+F37*F35</f>
        <v>75</v>
      </c>
      <c r="G39" s="86" t="s">
        <v>17</v>
      </c>
      <c r="J39" s="117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25"/>
    </row>
    <row r="40" spans="1:21">
      <c r="C40" s="12" t="s">
        <v>51</v>
      </c>
      <c r="D40" s="75"/>
      <c r="E40" s="75"/>
      <c r="F40" s="12"/>
      <c r="G40" s="81"/>
      <c r="J40" s="117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25"/>
    </row>
    <row r="41" spans="1:21">
      <c r="C41" s="93" t="s">
        <v>52</v>
      </c>
      <c r="D41" s="45"/>
      <c r="E41" s="45"/>
      <c r="F41" s="94" t="s">
        <v>47</v>
      </c>
      <c r="G41" s="95"/>
      <c r="J41" s="117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25"/>
    </row>
    <row r="42" spans="1:21">
      <c r="C42" s="95" t="str">
        <f>IF(F41="YES","Go to 'ATIS_BrownOut' Tab and Update per your requirments!!","Targets Below are suggestions only")</f>
        <v>Go to 'ATIS_BrownOut' Tab and Update per your requirments!!</v>
      </c>
      <c r="D42" s="96"/>
      <c r="E42" s="96"/>
      <c r="F42" s="95"/>
      <c r="G42" s="95"/>
      <c r="J42" s="117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25"/>
    </row>
    <row r="43" spans="1:21">
      <c r="C43" s="97" t="str">
        <f>IF(F41="No","Suggested Time Out (low Vds)","Min Recomended Time Out ( @ low Vds)")</f>
        <v>Min Recomended Time Out ( @ low Vds)</v>
      </c>
      <c r="D43" s="98"/>
      <c r="E43" s="99"/>
      <c r="F43" s="100">
        <f>IF(F41="Yes",BrownOut!C22,5)</f>
        <v>0.26598893276033952</v>
      </c>
      <c r="G43" s="95" t="s">
        <v>53</v>
      </c>
      <c r="J43" s="117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25"/>
    </row>
    <row r="44" spans="1:21">
      <c r="C44" s="101" t="str">
        <f>IF(F41="No","Suggested Ilim switch","Min Recommended Ilim switch")</f>
        <v>Min Recommended Ilim switch</v>
      </c>
      <c r="D44" s="102"/>
      <c r="E44" s="88"/>
      <c r="F44" s="100">
        <f>IF(F41="Yes",BrownOut!C23,15)</f>
        <v>23.364533149722579</v>
      </c>
      <c r="G44" s="95" t="s">
        <v>13</v>
      </c>
      <c r="J44" s="117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25"/>
    </row>
    <row r="45" spans="1:21">
      <c r="C45" s="103" t="s">
        <v>54</v>
      </c>
      <c r="D45" s="104"/>
      <c r="E45" s="104" t="s">
        <v>55</v>
      </c>
      <c r="F45" s="103"/>
      <c r="G45" s="105"/>
      <c r="J45" s="117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25"/>
    </row>
    <row r="46" spans="1:21">
      <c r="C46" s="5" t="s">
        <v>56</v>
      </c>
      <c r="D46" s="76"/>
      <c r="E46" s="106">
        <v>27</v>
      </c>
      <c r="F46" s="82"/>
      <c r="G46" s="77" t="s">
        <v>13</v>
      </c>
      <c r="J46" s="117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25"/>
    </row>
    <row r="47" spans="1:21">
      <c r="C47" s="45" t="s">
        <v>57</v>
      </c>
      <c r="D47" s="76"/>
      <c r="E47" s="53">
        <v>25</v>
      </c>
      <c r="F47" s="82"/>
      <c r="G47" s="77" t="s">
        <v>13</v>
      </c>
      <c r="J47" s="117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25"/>
    </row>
    <row r="48" spans="1:21">
      <c r="C48" s="45" t="s">
        <v>58</v>
      </c>
      <c r="D48" s="76"/>
      <c r="E48" s="53"/>
      <c r="F48" s="82"/>
      <c r="G48" s="77" t="s">
        <v>13</v>
      </c>
      <c r="J48" s="121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7"/>
    </row>
    <row r="49" spans="1:7">
      <c r="A49" t="s">
        <v>55</v>
      </c>
      <c r="C49" s="45" t="s">
        <v>59</v>
      </c>
      <c r="D49" s="76"/>
      <c r="E49" s="53"/>
      <c r="F49" s="82"/>
      <c r="G49" s="77" t="s">
        <v>13</v>
      </c>
    </row>
    <row r="50" spans="1:7">
      <c r="A50" t="s">
        <v>60</v>
      </c>
      <c r="C50" s="45" t="s">
        <v>61</v>
      </c>
      <c r="D50" s="76"/>
      <c r="E50" s="53">
        <v>20</v>
      </c>
      <c r="F50" s="82"/>
      <c r="G50" s="86" t="s">
        <v>13</v>
      </c>
    </row>
    <row r="51" spans="1:7">
      <c r="C51" s="45" t="s">
        <v>62</v>
      </c>
      <c r="D51" s="76"/>
      <c r="E51" s="53">
        <v>0.4</v>
      </c>
      <c r="F51" s="82"/>
      <c r="G51" s="77" t="s">
        <v>22</v>
      </c>
    </row>
    <row r="52" spans="1:7">
      <c r="C52" s="45" t="s">
        <v>63</v>
      </c>
      <c r="D52" s="76"/>
      <c r="E52" s="53">
        <v>2</v>
      </c>
      <c r="F52" s="82"/>
      <c r="G52" s="86" t="s">
        <v>53</v>
      </c>
    </row>
    <row r="53" spans="1:7">
      <c r="C53" s="103" t="s">
        <v>64</v>
      </c>
      <c r="D53" s="107"/>
      <c r="E53" s="107"/>
      <c r="F53" s="103"/>
      <c r="G53" s="105"/>
    </row>
    <row r="54" spans="1:7" ht="58">
      <c r="C54" s="108" t="s">
        <v>65</v>
      </c>
      <c r="D54" s="158" t="s">
        <v>60</v>
      </c>
      <c r="E54" s="159"/>
      <c r="F54" s="160"/>
      <c r="G54" s="86"/>
    </row>
    <row r="55" spans="1:7">
      <c r="C55" s="45" t="s">
        <v>66</v>
      </c>
      <c r="D55" s="76"/>
      <c r="E55" s="92">
        <f>SOA_Checks!C31</f>
        <v>1.102059167901559</v>
      </c>
      <c r="F55" s="76"/>
      <c r="G55" s="86" t="s">
        <v>53</v>
      </c>
    </row>
    <row r="56" spans="1:7" hidden="1">
      <c r="C56" s="45" t="str">
        <f>"Estimated Teq for Start-into "&amp;Error_Calculation!O29&amp;" ohm short"</f>
        <v>Estimated Teq for Start-into 1 ohm short</v>
      </c>
      <c r="D56" s="76"/>
      <c r="E56" s="92">
        <f>SOA_Checks!C32</f>
        <v>2.3395591679015593</v>
      </c>
      <c r="F56" s="76"/>
      <c r="G56" s="86" t="s">
        <v>53</v>
      </c>
    </row>
    <row r="57" spans="1:7">
      <c r="C57" s="45" t="s">
        <v>67</v>
      </c>
      <c r="D57" s="76"/>
      <c r="E57" s="53" t="s">
        <v>68</v>
      </c>
      <c r="F57" s="76"/>
      <c r="G57" s="86" t="s">
        <v>53</v>
      </c>
    </row>
    <row r="58" spans="1:7" hidden="1">
      <c r="C58" s="109" t="str">
        <f>"Measured Teq for Start-into "&amp;Error_Calculation!O29&amp;" ohm short  (Enter TBD if not known)"</f>
        <v>Measured Teq for Start-into 1 ohm short  (Enter TBD if not known)</v>
      </c>
      <c r="D58" s="76"/>
      <c r="E58" s="110" t="s">
        <v>68</v>
      </c>
      <c r="F58" s="76"/>
      <c r="G58" s="111" t="s">
        <v>53</v>
      </c>
    </row>
    <row r="59" spans="1:7">
      <c r="C59" s="45" t="str">
        <f>SOA_Checks!D47</f>
        <v>Q1 Current handling at 1ms and 57V</v>
      </c>
      <c r="D59" s="112"/>
      <c r="E59" s="53">
        <v>30</v>
      </c>
      <c r="F59" s="112"/>
      <c r="G59" s="113" t="s">
        <v>22</v>
      </c>
    </row>
    <row r="60" spans="1:7">
      <c r="C60" s="45" t="str">
        <f>SOA_Checks!D48</f>
        <v>Q1 Current handling at 10ms and 57V</v>
      </c>
      <c r="D60" s="114"/>
      <c r="E60" s="53">
        <v>6</v>
      </c>
      <c r="F60" s="114"/>
      <c r="G60" s="113" t="s">
        <v>22</v>
      </c>
    </row>
    <row r="61" spans="1:7">
      <c r="C61" s="45" t="str">
        <f>SOA_Checks!D49</f>
        <v>Q1 Current handling at 1ms and 57V</v>
      </c>
      <c r="D61" s="114"/>
      <c r="E61" s="53">
        <v>30</v>
      </c>
      <c r="F61" s="114"/>
      <c r="G61" s="113" t="s">
        <v>22</v>
      </c>
    </row>
    <row r="62" spans="1:7">
      <c r="C62" s="45" t="str">
        <f>SOA_Checks!D50</f>
        <v>Q1 Current handling at 10ms and 57V</v>
      </c>
      <c r="D62" s="114"/>
      <c r="E62" s="53">
        <v>6</v>
      </c>
      <c r="F62" s="114"/>
      <c r="G62" s="113" t="s">
        <v>22</v>
      </c>
    </row>
    <row r="63" spans="1:7">
      <c r="C63" s="45" t="str">
        <f>SOA_Checks!D51</f>
        <v>Q1 Current handling at 10ms and 57V</v>
      </c>
      <c r="D63" s="114"/>
      <c r="E63" s="53">
        <v>6</v>
      </c>
      <c r="F63" s="114"/>
      <c r="G63" s="113" t="s">
        <v>22</v>
      </c>
    </row>
    <row r="64" spans="1:7">
      <c r="C64" s="45" t="str">
        <f>SOA_Checks!D52</f>
        <v>Q1 Current handling at 100ms and 57V</v>
      </c>
      <c r="D64" s="114"/>
      <c r="E64" s="53">
        <v>1.5</v>
      </c>
      <c r="F64" s="114"/>
      <c r="G64" s="113" t="s">
        <v>22</v>
      </c>
    </row>
    <row r="65" spans="3:21">
      <c r="C65" s="45" t="str">
        <f>SOA_Checks!D53</f>
        <v>Q1 Current handling at 1ms and 28.5V</v>
      </c>
      <c r="D65" s="114"/>
      <c r="E65" s="53">
        <v>100</v>
      </c>
      <c r="F65" s="114"/>
      <c r="G65" s="113" t="s">
        <v>22</v>
      </c>
    </row>
    <row r="66" spans="3:21">
      <c r="C66" s="8" t="str">
        <f>SOA_Checks!D54</f>
        <v>Q1 Current handling at 10ms and 28.5V</v>
      </c>
      <c r="D66" s="114"/>
      <c r="E66" s="53">
        <v>40</v>
      </c>
      <c r="F66" s="114"/>
      <c r="G66" s="113" t="s">
        <v>22</v>
      </c>
    </row>
    <row r="67" spans="3:21">
      <c r="C67" s="45" t="str">
        <f>"SOA Margin: Hot Short / Start-into Short (@ Vin= "&amp;$F$15&amp;"V)"</f>
        <v>SOA Margin: Hot Short / Start-into Short (@ Vin= 57V)</v>
      </c>
      <c r="D67" s="114"/>
      <c r="E67" s="62">
        <f>SOA_Checks!E86</f>
        <v>12.457725846489382</v>
      </c>
      <c r="F67" s="114"/>
      <c r="G67" s="113"/>
      <c r="K67" s="137"/>
      <c r="L67" s="137"/>
      <c r="M67" s="151" t="str">
        <f>"Start Into Short with Vin = "&amp;F15&amp;"V"</f>
        <v>Start Into Short with Vin = 57V</v>
      </c>
      <c r="N67" s="151"/>
      <c r="O67" s="151"/>
      <c r="P67" s="151"/>
      <c r="Q67" s="151"/>
      <c r="R67" s="151"/>
      <c r="S67" s="137"/>
      <c r="T67" s="137"/>
      <c r="U67" s="142"/>
    </row>
    <row r="68" spans="3:21" hidden="1">
      <c r="C68" s="45" t="str">
        <f>"SOA Margin: Start-into "&amp;Error_Calculation!O29&amp;" ohm Short (@ Vin= "&amp;$F$15&amp;"V)"</f>
        <v>SOA Margin: Start-into 1 ohm Short (@ Vin= 57V)</v>
      </c>
      <c r="D68" s="114"/>
      <c r="E68" s="62">
        <f>SOA_Checks!E87</f>
        <v>7.3608017326323676</v>
      </c>
      <c r="F68" s="114"/>
      <c r="G68" s="113"/>
    </row>
    <row r="69" spans="3:21">
      <c r="C69" s="45" t="str">
        <f>"SOA Margin: Start-up (@ Vin= "&amp;$F$15&amp;"V)"</f>
        <v>SOA Margin: Start-up (@ Vin= 57V)</v>
      </c>
      <c r="D69" s="114"/>
      <c r="E69" s="62">
        <f>SOA_Checks!E88</f>
        <v>13.641714647785756</v>
      </c>
      <c r="F69" s="114"/>
      <c r="G69" s="113"/>
      <c r="J69" s="117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25"/>
    </row>
    <row r="70" spans="3:21">
      <c r="C70" s="45" t="str">
        <f>"SOA Margin: Current limit (@ Vds just under  "&amp;SOA_Checks!E5&amp;"V)"</f>
        <v>SOA Margin: Current limit (@ Vds just under  28.5V)</v>
      </c>
      <c r="D70" s="128"/>
      <c r="E70" s="62">
        <f>SOA_Checks!E89</f>
        <v>2.3241246959032229</v>
      </c>
      <c r="F70" s="128"/>
      <c r="G70" s="113"/>
      <c r="J70" s="117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25"/>
    </row>
    <row r="71" spans="3:21">
      <c r="C71" s="45" t="s">
        <v>69</v>
      </c>
      <c r="D71" s="129"/>
      <c r="E71" s="130">
        <f>SOA_Checks!C34</f>
        <v>94.05</v>
      </c>
      <c r="F71" s="88"/>
      <c r="G71" s="113" t="s">
        <v>53</v>
      </c>
      <c r="J71" s="117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25"/>
    </row>
    <row r="72" spans="3:21">
      <c r="C72" s="44" t="s">
        <v>70</v>
      </c>
      <c r="D72" s="75"/>
      <c r="E72" s="75" t="s">
        <v>55</v>
      </c>
      <c r="F72" s="12"/>
      <c r="G72" s="81"/>
      <c r="J72" s="117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25"/>
    </row>
    <row r="73" spans="3:21">
      <c r="C73" s="45" t="s">
        <v>71</v>
      </c>
      <c r="D73" s="76"/>
      <c r="E73" s="45">
        <f>(E46-E47)/Error_Calculation!N9*1000</f>
        <v>200</v>
      </c>
      <c r="F73" s="82"/>
      <c r="G73" s="86" t="s">
        <v>72</v>
      </c>
      <c r="J73" s="117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25"/>
    </row>
    <row r="74" spans="3:21">
      <c r="C74" s="45" t="s">
        <v>73</v>
      </c>
      <c r="D74" s="76"/>
      <c r="E74" s="46">
        <f>E73/(E46-Error_Calculation!N7)</f>
        <v>7.6923076923076925</v>
      </c>
      <c r="F74" s="82"/>
      <c r="G74" s="86" t="s">
        <v>72</v>
      </c>
      <c r="J74" s="117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25"/>
    </row>
    <row r="75" spans="3:21">
      <c r="C75" s="45" t="s">
        <v>74</v>
      </c>
      <c r="D75" s="76"/>
      <c r="E75" s="45">
        <f>(E48-E49)/Error_Calculation!N10*1000</f>
        <v>0</v>
      </c>
      <c r="F75" s="82"/>
      <c r="G75" s="86" t="s">
        <v>72</v>
      </c>
      <c r="J75" s="117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25"/>
    </row>
    <row r="76" spans="3:21">
      <c r="C76" s="45" t="s">
        <v>75</v>
      </c>
      <c r="D76" s="76"/>
      <c r="E76" s="131">
        <f>E75/(E48-Error_Calculation!N8)</f>
        <v>0</v>
      </c>
      <c r="F76" s="82"/>
      <c r="G76" s="86" t="s">
        <v>72</v>
      </c>
      <c r="J76" s="117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25"/>
    </row>
    <row r="77" spans="3:21">
      <c r="C77" s="47" t="s">
        <v>76</v>
      </c>
      <c r="D77" s="76"/>
      <c r="E77" s="45">
        <f>((E50/Error_Calculation!N16)-1)*Error_Calculation!N17</f>
        <v>370</v>
      </c>
      <c r="F77" s="82"/>
      <c r="G77" s="86" t="s">
        <v>72</v>
      </c>
      <c r="J77" s="117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25"/>
    </row>
    <row r="78" spans="3:21">
      <c r="C78" s="47" t="s">
        <v>77</v>
      </c>
      <c r="D78" s="76"/>
      <c r="E78" s="45">
        <f>Error_Calculation!N22*F16/E51*0.001</f>
        <v>9.5279999999999987</v>
      </c>
      <c r="F78" s="82"/>
      <c r="G78" s="86" t="s">
        <v>34</v>
      </c>
      <c r="J78" s="117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25"/>
    </row>
    <row r="79" spans="3:21">
      <c r="C79" s="47" t="s">
        <v>78</v>
      </c>
      <c r="D79" s="76"/>
      <c r="E79" s="45">
        <f>3*E78</f>
        <v>28.583999999999996</v>
      </c>
      <c r="F79" s="82"/>
      <c r="G79" s="86" t="s">
        <v>34</v>
      </c>
      <c r="J79" s="117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25"/>
    </row>
    <row r="80" spans="3:21">
      <c r="C80" s="47" t="s">
        <v>79</v>
      </c>
      <c r="D80" s="76"/>
      <c r="E80" s="132">
        <f>E52*Error_Calculation!N14/Error_Calculation!N11</f>
        <v>13.333333333333334</v>
      </c>
      <c r="F80" s="82"/>
      <c r="G80" s="86" t="s">
        <v>34</v>
      </c>
      <c r="J80" s="117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25"/>
    </row>
    <row r="81" spans="3:21">
      <c r="C81" s="47" t="s">
        <v>80</v>
      </c>
      <c r="D81" s="76"/>
      <c r="E81" s="132">
        <f>(E47-Error_Calculation!M26)/(Error_Calculation!O25*1.2)</f>
        <v>11.363636363636363</v>
      </c>
      <c r="F81" s="76"/>
      <c r="G81" s="86" t="s">
        <v>72</v>
      </c>
      <c r="J81" s="117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25"/>
    </row>
    <row r="82" spans="3:21">
      <c r="C82" s="44" t="s">
        <v>81</v>
      </c>
      <c r="D82" s="75"/>
      <c r="E82" s="75" t="s">
        <v>82</v>
      </c>
      <c r="F82" s="75" t="s">
        <v>83</v>
      </c>
      <c r="G82" s="81"/>
      <c r="J82" s="117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25"/>
    </row>
    <row r="83" spans="3:21">
      <c r="C83" s="45" t="s">
        <v>84</v>
      </c>
      <c r="D83" s="76"/>
      <c r="E83" s="91">
        <v>2</v>
      </c>
      <c r="F83" s="133">
        <v>0.01</v>
      </c>
      <c r="G83" s="95" t="s">
        <v>25</v>
      </c>
      <c r="J83" s="117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25"/>
    </row>
    <row r="84" spans="3:21">
      <c r="C84" s="45" t="s">
        <v>71</v>
      </c>
      <c r="D84" s="76"/>
      <c r="E84" s="91">
        <v>200</v>
      </c>
      <c r="F84" s="134">
        <v>1E-3</v>
      </c>
      <c r="G84" s="95" t="s">
        <v>72</v>
      </c>
      <c r="J84" s="117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25"/>
    </row>
    <row r="85" spans="3:21">
      <c r="C85" s="45" t="s">
        <v>73</v>
      </c>
      <c r="D85" s="76"/>
      <c r="E85" s="91">
        <v>6.04</v>
      </c>
      <c r="F85" s="134">
        <v>1E-3</v>
      </c>
      <c r="G85" s="95" t="s">
        <v>72</v>
      </c>
      <c r="J85" s="117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25"/>
    </row>
    <row r="86" spans="3:21">
      <c r="C86" s="45" t="s">
        <v>74</v>
      </c>
      <c r="D86" s="76"/>
      <c r="E86" s="91">
        <v>0</v>
      </c>
      <c r="F86" s="134">
        <v>1E-3</v>
      </c>
      <c r="G86" s="95" t="s">
        <v>72</v>
      </c>
      <c r="J86" s="117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25"/>
    </row>
    <row r="87" spans="3:21">
      <c r="C87" s="45" t="s">
        <v>75</v>
      </c>
      <c r="D87" s="76"/>
      <c r="E87" s="91">
        <v>0</v>
      </c>
      <c r="F87" s="134">
        <v>1E-3</v>
      </c>
      <c r="G87" s="95" t="s">
        <v>72</v>
      </c>
      <c r="J87" s="117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25"/>
    </row>
    <row r="88" spans="3:21" ht="14.4" customHeight="1">
      <c r="C88" s="47" t="s">
        <v>76</v>
      </c>
      <c r="D88" s="76"/>
      <c r="E88" s="91">
        <v>540</v>
      </c>
      <c r="F88" s="134">
        <v>0.01</v>
      </c>
      <c r="G88" s="95" t="s">
        <v>72</v>
      </c>
      <c r="J88" s="162" t="s">
        <v>85</v>
      </c>
      <c r="K88" s="163"/>
      <c r="L88" s="163"/>
      <c r="M88" s="163"/>
      <c r="N88" s="163"/>
      <c r="O88" s="118"/>
      <c r="P88" s="151" t="str">
        <f>"SOA with Vds just under "&amp;SOA_Checks!E5&amp;"V"</f>
        <v>SOA with Vds just under 28.5V</v>
      </c>
      <c r="Q88" s="151"/>
      <c r="R88" s="151"/>
      <c r="S88" s="151"/>
      <c r="T88" s="151"/>
      <c r="U88" s="125"/>
    </row>
    <row r="89" spans="3:21">
      <c r="C89" s="47" t="s">
        <v>77</v>
      </c>
      <c r="D89" s="76"/>
      <c r="E89" s="91">
        <v>33</v>
      </c>
      <c r="F89" s="133">
        <v>0.3</v>
      </c>
      <c r="G89" s="95" t="s">
        <v>34</v>
      </c>
      <c r="J89" s="162"/>
      <c r="K89" s="163"/>
      <c r="L89" s="163"/>
      <c r="M89" s="163"/>
      <c r="N89" s="163"/>
      <c r="O89" s="118"/>
      <c r="P89" s="118"/>
      <c r="Q89" s="118"/>
      <c r="R89" s="118"/>
      <c r="S89" s="118"/>
      <c r="T89" s="118"/>
      <c r="U89" s="125"/>
    </row>
    <row r="90" spans="3:21">
      <c r="C90" s="47" t="s">
        <v>78</v>
      </c>
      <c r="D90" s="76"/>
      <c r="E90" s="91">
        <v>100</v>
      </c>
      <c r="F90" s="133">
        <v>0.1</v>
      </c>
      <c r="G90" s="95" t="s">
        <v>34</v>
      </c>
      <c r="J90" s="138"/>
      <c r="K90" s="36"/>
      <c r="L90" s="36"/>
      <c r="M90" s="36"/>
      <c r="N90" s="36"/>
      <c r="O90" s="118"/>
      <c r="P90" s="36"/>
      <c r="Q90" s="36"/>
      <c r="R90" s="36"/>
      <c r="S90" s="36"/>
      <c r="T90" s="36"/>
      <c r="U90" s="125"/>
    </row>
    <row r="91" spans="3:21">
      <c r="C91" s="47" t="s">
        <v>79</v>
      </c>
      <c r="D91" s="76"/>
      <c r="E91" s="91">
        <v>33</v>
      </c>
      <c r="F91" s="133">
        <v>0.1</v>
      </c>
      <c r="G91" s="95" t="s">
        <v>34</v>
      </c>
      <c r="J91" s="117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25"/>
    </row>
    <row r="92" spans="3:21">
      <c r="C92" s="47" t="s">
        <v>86</v>
      </c>
      <c r="D92" s="76"/>
      <c r="E92" s="91">
        <v>15</v>
      </c>
      <c r="F92" s="133">
        <v>0.01</v>
      </c>
      <c r="G92" s="95" t="s">
        <v>72</v>
      </c>
      <c r="J92" s="117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25"/>
    </row>
    <row r="93" spans="3:21">
      <c r="C93" s="44" t="s">
        <v>87</v>
      </c>
      <c r="D93" s="135" t="s">
        <v>6</v>
      </c>
      <c r="E93" s="135" t="s">
        <v>7</v>
      </c>
      <c r="F93" s="135" t="s">
        <v>8</v>
      </c>
      <c r="G93" s="44"/>
      <c r="H93" s="16" t="s">
        <v>88</v>
      </c>
      <c r="J93" s="117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25"/>
    </row>
    <row r="94" spans="3:21">
      <c r="C94" s="45" t="s">
        <v>89</v>
      </c>
      <c r="D94" s="161" t="s">
        <v>90</v>
      </c>
      <c r="E94" s="148"/>
      <c r="F94" s="149"/>
      <c r="G94" s="45"/>
      <c r="J94" s="117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25"/>
    </row>
    <row r="95" spans="3:21">
      <c r="C95" s="45" t="s">
        <v>91</v>
      </c>
      <c r="D95" s="46">
        <f>IF(Component_Selection!$D$94="Worst Case",Error_Calculation!D6,Error_Calculation!D20)</f>
        <v>19.175378874876468</v>
      </c>
      <c r="E95" s="46">
        <f>IF(Component_Selection!$D$94="Worst Case",Error_Calculation!E6,Error_Calculation!E20)</f>
        <v>20</v>
      </c>
      <c r="F95" s="46">
        <f>IF(Component_Selection!$D$94="Worst Case",Error_Calculation!F6,Error_Calculation!F20)</f>
        <v>20.824621125123532</v>
      </c>
      <c r="G95" s="50" t="s">
        <v>22</v>
      </c>
      <c r="H95" s="136">
        <f t="shared" ref="H95:H107" si="0">MAX(F95-E95,E95-D95)/E95</f>
        <v>4.1231056256176582E-2</v>
      </c>
      <c r="J95" s="117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25"/>
    </row>
    <row r="96" spans="3:21">
      <c r="C96" s="45" t="s">
        <v>92</v>
      </c>
      <c r="D96" s="46">
        <f>IF(Component_Selection!$D$94="Worst Case",Error_Calculation!D7,Error_Calculation!D21)</f>
        <v>0.9997750506022316</v>
      </c>
      <c r="E96" s="46">
        <f>IF(Component_Selection!$D$94="Worst Case",Error_Calculation!E7,Error_Calculation!E21)</f>
        <v>1.5</v>
      </c>
      <c r="F96" s="46">
        <f>IF(Component_Selection!$D$94="Worst Case",Error_Calculation!F7,Error_Calculation!F21)</f>
        <v>2.0002249493977686</v>
      </c>
      <c r="G96" s="50" t="s">
        <v>22</v>
      </c>
      <c r="H96" s="136">
        <f t="shared" si="0"/>
        <v>0.33348329959851242</v>
      </c>
      <c r="J96" s="117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25"/>
    </row>
    <row r="97" spans="3:21">
      <c r="C97" s="45" t="s">
        <v>93</v>
      </c>
      <c r="D97" s="46">
        <f>IF(Component_Selection!$D$94="Worst Case",Error_Calculation!D8,Error_Calculation!D22)</f>
        <v>33.598624898928691</v>
      </c>
      <c r="E97" s="46">
        <f>IF(Component_Selection!$D$94="Worst Case",Error_Calculation!E8,Error_Calculation!E22)</f>
        <v>34.11258278145695</v>
      </c>
      <c r="F97" s="46">
        <f>IF(Component_Selection!$D$94="Worst Case",Error_Calculation!F8,Error_Calculation!F22)</f>
        <v>34.62654066398521</v>
      </c>
      <c r="G97" s="50" t="s">
        <v>13</v>
      </c>
      <c r="H97" s="136">
        <f t="shared" si="0"/>
        <v>1.5066519173319207E-2</v>
      </c>
      <c r="J97" s="117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25"/>
    </row>
    <row r="98" spans="3:21">
      <c r="C98" s="45" t="s">
        <v>94</v>
      </c>
      <c r="D98" s="46">
        <f>IF(Component_Selection!$D$94="Worst Case",Error_Calculation!D9,Error_Calculation!D23)</f>
        <v>1.7599916668113378</v>
      </c>
      <c r="E98" s="46">
        <f>IF(Component_Selection!$D$94="Worst Case",Error_Calculation!E9,Error_Calculation!E23)</f>
        <v>2</v>
      </c>
      <c r="F98" s="46">
        <f>IF(Component_Selection!$D$94="Worst Case",Error_Calculation!F9,Error_Calculation!F23)</f>
        <v>2.2400083331886624</v>
      </c>
      <c r="G98" s="50" t="s">
        <v>13</v>
      </c>
      <c r="H98" s="136">
        <f t="shared" si="0"/>
        <v>0.12000416659433122</v>
      </c>
      <c r="J98" s="117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25"/>
    </row>
    <row r="99" spans="3:21">
      <c r="C99" s="45" t="s">
        <v>95</v>
      </c>
      <c r="D99" s="46">
        <f>IF(Component_Selection!$D$94="Worst Case",Error_Calculation!D10,Error_Calculation!D24)</f>
        <v>31.358616565740029</v>
      </c>
      <c r="E99" s="46">
        <f>IF(Component_Selection!$D$94="Worst Case",Error_Calculation!E10,Error_Calculation!E24)</f>
        <v>32.11258278145695</v>
      </c>
      <c r="F99" s="46">
        <f>IF(Component_Selection!$D$94="Worst Case",Error_Calculation!F10,Error_Calculation!F24)</f>
        <v>32.866548997173872</v>
      </c>
      <c r="G99" s="50" t="s">
        <v>13</v>
      </c>
      <c r="H99" s="136">
        <f t="shared" si="0"/>
        <v>2.3478840703909095E-2</v>
      </c>
      <c r="J99" s="117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25"/>
    </row>
    <row r="100" spans="3:21">
      <c r="C100" s="45" t="s">
        <v>96</v>
      </c>
      <c r="D100" s="46" t="e">
        <f>IF(Component_Selection!$D$94="Worst Case",Error_Calculation!D11,Error_Calculation!D25)</f>
        <v>#DIV/0!</v>
      </c>
      <c r="E100" s="46" t="e">
        <f>IF(Component_Selection!$D$94="Worst Case",Error_Calculation!E11,Error_Calculation!E25)</f>
        <v>#DIV/0!</v>
      </c>
      <c r="F100" s="46" t="e">
        <f>IF(Component_Selection!$D$94="Worst Case",Error_Calculation!F11,Error_Calculation!F25)</f>
        <v>#DIV/0!</v>
      </c>
      <c r="G100" s="50" t="s">
        <v>13</v>
      </c>
      <c r="H100" s="136" t="e">
        <f t="shared" si="0"/>
        <v>#DIV/0!</v>
      </c>
      <c r="J100" s="117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25"/>
    </row>
    <row r="101" spans="3:21">
      <c r="C101" s="45" t="s">
        <v>97</v>
      </c>
      <c r="D101" s="46">
        <f>IF(Component_Selection!$D$94="Worst Case",Error_Calculation!D12,Error_Calculation!D26)</f>
        <v>0</v>
      </c>
      <c r="E101" s="46">
        <f>IF(Component_Selection!$D$94="Worst Case",Error_Calculation!E12,Error_Calculation!E26)</f>
        <v>0</v>
      </c>
      <c r="F101" s="46">
        <f>IF(Component_Selection!$D$94="Worst Case",Error_Calculation!F12,Error_Calculation!F26)</f>
        <v>0</v>
      </c>
      <c r="G101" s="50" t="s">
        <v>13</v>
      </c>
      <c r="H101" s="136" t="e">
        <f t="shared" si="0"/>
        <v>#DIV/0!</v>
      </c>
      <c r="J101" s="117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25"/>
    </row>
    <row r="102" spans="3:21">
      <c r="C102" s="45" t="s">
        <v>98</v>
      </c>
      <c r="D102" s="46" t="e">
        <f>IF(Component_Selection!$D$94="Worst Case",Error_Calculation!D13,Error_Calculation!D27)</f>
        <v>#DIV/0!</v>
      </c>
      <c r="E102" s="46" t="e">
        <f>IF(Component_Selection!$D$94="Worst Case",Error_Calculation!E13,Error_Calculation!E27)</f>
        <v>#DIV/0!</v>
      </c>
      <c r="F102" s="46" t="e">
        <f>IF(Component_Selection!$D$94="Worst Case",Error_Calculation!F13,Error_Calculation!F27)</f>
        <v>#DIV/0!</v>
      </c>
      <c r="G102" s="50" t="s">
        <v>13</v>
      </c>
      <c r="H102" s="136" t="e">
        <f t="shared" si="0"/>
        <v>#DIV/0!</v>
      </c>
      <c r="J102" s="117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25"/>
    </row>
    <row r="103" spans="3:21">
      <c r="C103" s="45" t="s">
        <v>99</v>
      </c>
      <c r="D103" s="46">
        <f>IF(Component_Selection!$D$94="Worst Case",Error_Calculation!D14,Error_Calculation!D28)</f>
        <v>26.965228029966667</v>
      </c>
      <c r="E103" s="46">
        <f>IF(Component_Selection!$D$94="Worst Case",Error_Calculation!E14,Error_Calculation!E28)</f>
        <v>28.5</v>
      </c>
      <c r="F103" s="46">
        <f>IF(Component_Selection!$D$94="Worst Case",Error_Calculation!F14,Error_Calculation!F28)</f>
        <v>30.034771970033336</v>
      </c>
      <c r="G103" s="95" t="s">
        <v>13</v>
      </c>
      <c r="H103" s="136">
        <f t="shared" si="0"/>
        <v>5.385164807134514E-2</v>
      </c>
      <c r="I103" s="1"/>
      <c r="J103" s="117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25"/>
    </row>
    <row r="104" spans="3:21">
      <c r="C104" s="45" t="s">
        <v>100</v>
      </c>
      <c r="D104" s="46">
        <f>IF(Component_Selection!$D$94="Worst Case",Error_Calculation!D15,Error_Calculation!D29)</f>
        <v>7.0390267326037217E-2</v>
      </c>
      <c r="E104" s="46">
        <f>IF(Component_Selection!$D$94="Worst Case",Error_Calculation!E15,Error_Calculation!E29)</f>
        <v>0.11549090909090909</v>
      </c>
      <c r="F104" s="46">
        <f>IF(Component_Selection!$D$94="Worst Case",Error_Calculation!F15,Error_Calculation!F29)</f>
        <v>0.16059155085578097</v>
      </c>
      <c r="G104" s="50" t="s">
        <v>22</v>
      </c>
      <c r="H104" s="136">
        <f t="shared" si="0"/>
        <v>0.39051248379533277</v>
      </c>
      <c r="I104" s="1"/>
      <c r="J104" s="117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25"/>
    </row>
    <row r="105" spans="3:21">
      <c r="C105" s="45" t="s">
        <v>101</v>
      </c>
      <c r="D105" s="46">
        <f>IF(Component_Selection!$D$94="Worst Case",Error_Calculation!D16,Error_Calculation!D30)</f>
        <v>4.2429985855742576</v>
      </c>
      <c r="E105" s="46">
        <f>IF(Component_Selection!$D$94="Worst Case",Error_Calculation!E16,Error_Calculation!E30)</f>
        <v>4.95</v>
      </c>
      <c r="F105" s="46">
        <f>IF(Component_Selection!$D$94="Worst Case",Error_Calculation!F16,Error_Calculation!F30)</f>
        <v>5.6570014144257428</v>
      </c>
      <c r="G105" s="95" t="s">
        <v>53</v>
      </c>
      <c r="H105" s="136">
        <f t="shared" si="0"/>
        <v>0.14282856857085707</v>
      </c>
      <c r="I105" s="1"/>
      <c r="J105" s="117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25"/>
    </row>
    <row r="106" spans="3:21">
      <c r="C106" s="45" t="s">
        <v>102</v>
      </c>
      <c r="D106" s="46">
        <f>IF(Component_Selection!$D$94="Worst Case",Error_Calculation!D17,Error_Calculation!D31)</f>
        <v>2.1214992927871288</v>
      </c>
      <c r="E106" s="46">
        <f>IF(Component_Selection!$D$94="Worst Case",Error_Calculation!E17,Error_Calculation!E31)</f>
        <v>2.4750000000000001</v>
      </c>
      <c r="F106" s="46">
        <f>IF(Component_Selection!$D$94="Worst Case",Error_Calculation!F17,Error_Calculation!F31)</f>
        <v>2.8285007072128714</v>
      </c>
      <c r="G106" s="95" t="s">
        <v>53</v>
      </c>
      <c r="H106" s="136">
        <f t="shared" si="0"/>
        <v>0.14282856857085707</v>
      </c>
      <c r="I106" s="1"/>
      <c r="J106" s="117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25"/>
    </row>
    <row r="107" spans="3:21">
      <c r="C107" s="47" t="s">
        <v>103</v>
      </c>
      <c r="D107" s="46">
        <f>IF(Component_Selection!$D$94="Worst Case",Error_Calculation!D18,Error_Calculation!D32)</f>
        <v>0.42429985855742575</v>
      </c>
      <c r="E107" s="46">
        <f>IF(Component_Selection!$D$94="Worst Case",Error_Calculation!E18,Error_Calculation!E32)</f>
        <v>0.495</v>
      </c>
      <c r="F107" s="46">
        <f>IF(Component_Selection!$D$94="Worst Case",Error_Calculation!F18,Error_Calculation!F32)</f>
        <v>0.56570014144257419</v>
      </c>
      <c r="G107" s="95" t="s">
        <v>53</v>
      </c>
      <c r="H107" s="136">
        <f t="shared" si="0"/>
        <v>0.14282856857085707</v>
      </c>
      <c r="I107" s="1"/>
      <c r="J107" s="138"/>
      <c r="K107" s="139"/>
      <c r="L107" s="36"/>
      <c r="M107" s="36"/>
      <c r="N107" s="36"/>
      <c r="O107" s="36"/>
      <c r="P107" s="36"/>
      <c r="Q107" s="36"/>
      <c r="R107" s="36"/>
      <c r="S107" s="36"/>
      <c r="T107" s="36"/>
      <c r="U107" s="143"/>
    </row>
    <row r="108" spans="3:21">
      <c r="C108" s="47" t="s">
        <v>104</v>
      </c>
      <c r="D108" s="45"/>
      <c r="E108" s="132">
        <f>E15*(E15-Error_Calculation!$N$26)/$E$92</f>
        <v>142.19999999999999</v>
      </c>
      <c r="F108" s="132">
        <f>F15*(F15-Error_Calculation!$N$26)/$E$92</f>
        <v>161.5</v>
      </c>
      <c r="G108" s="50" t="s">
        <v>105</v>
      </c>
      <c r="I108" s="1"/>
      <c r="J108" s="140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4"/>
    </row>
    <row r="109" spans="3:21">
      <c r="I109" s="1"/>
    </row>
    <row r="110" spans="3:21">
      <c r="I110" s="1"/>
    </row>
    <row r="111" spans="3:21">
      <c r="I111" s="22"/>
    </row>
    <row r="112" spans="3:21">
      <c r="I112" s="22"/>
    </row>
    <row r="113" spans="9:9">
      <c r="I113" s="22"/>
    </row>
  </sheetData>
  <sheetProtection password="8433" sheet="1" objects="1" scenarios="1" selectLockedCells="1"/>
  <mergeCells count="13">
    <mergeCell ref="D54:F54"/>
    <mergeCell ref="M67:R67"/>
    <mergeCell ref="P88:T88"/>
    <mergeCell ref="D94:F94"/>
    <mergeCell ref="J88:N89"/>
    <mergeCell ref="B1:U1"/>
    <mergeCell ref="M2:N2"/>
    <mergeCell ref="D27:F27"/>
    <mergeCell ref="D32:F32"/>
    <mergeCell ref="J33:N33"/>
    <mergeCell ref="Q33:U33"/>
    <mergeCell ref="D10:H11"/>
    <mergeCell ref="M31:Q32"/>
  </mergeCells>
  <conditionalFormatting sqref="E50">
    <cfRule type="expression" dxfId="3" priority="3">
      <formula>IF(AND($E$50&lt;$F$44,$F$41="YES"),"TRUE","FALSE")</formula>
    </cfRule>
  </conditionalFormatting>
  <conditionalFormatting sqref="E52">
    <cfRule type="expression" dxfId="2" priority="1">
      <formula>IF(AND($E$52&lt;$F$43,$F$41="Yes"),"TRUE","FALSE")</formula>
    </cfRule>
  </conditionalFormatting>
  <conditionalFormatting sqref="E67:E71">
    <cfRule type="expression" dxfId="1" priority="4">
      <formula>IF(AND($E$52&lt;$F$43,$F$41="Yes"),"TRUE","FALSE")</formula>
    </cfRule>
  </conditionalFormatting>
  <dataValidations count="2">
    <dataValidation type="list" allowBlank="1" showInputMessage="1" showErrorMessage="1" sqref="F41" xr:uid="{00000000-0002-0000-0000-000001000000}">
      <formula1>$A$38:$A$39</formula1>
    </dataValidation>
    <dataValidation type="list" allowBlank="1" showInputMessage="1" showErrorMessage="1" sqref="D54" xr:uid="{00000000-0002-0000-0000-000002000000}">
      <formula1>$A$49:$A$50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0000000-000E-0000-0000-000006000000}">
            <xm:f>IF($E$51*Error_Calculation!$O$22/Error_Calculation!$N$22&gt;$D$26,"TRUE","FALSE")</xm:f>
            <x14:dxf>
              <fill>
                <patternFill patternType="solid"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Error_Calculation!$N$20:$N$21</xm:f>
          </x14:formula1>
          <xm:sqref>E19</xm:sqref>
        </x14:dataValidation>
        <x14:dataValidation type="list" allowBlank="1" showInputMessage="1" showErrorMessage="1" xr:uid="{00000000-0002-0000-0000-000003000000}">
          <x14:formula1>
            <xm:f>Error_Calculation!$D$2:$D$3</xm:f>
          </x14:formula1>
          <xm:sqref>D94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P23"/>
  <sheetViews>
    <sheetView zoomScale="110" zoomScaleNormal="110" workbookViewId="0">
      <selection activeCell="C4" sqref="C4"/>
    </sheetView>
  </sheetViews>
  <sheetFormatPr defaultColWidth="9" defaultRowHeight="14.5"/>
  <cols>
    <col min="1" max="1" width="18.90625" customWidth="1"/>
    <col min="2" max="2" width="26.36328125" customWidth="1"/>
    <col min="3" max="3" width="10" customWidth="1"/>
    <col min="4" max="4" width="15.81640625" style="3" customWidth="1"/>
  </cols>
  <sheetData>
    <row r="2" spans="1:11">
      <c r="B2" s="164" t="s">
        <v>106</v>
      </c>
      <c r="C2" s="164"/>
      <c r="D2" s="164"/>
      <c r="H2" s="165" t="s">
        <v>107</v>
      </c>
      <c r="I2" s="165"/>
      <c r="J2" s="165"/>
      <c r="K2" s="165"/>
    </row>
    <row r="3" spans="1:11">
      <c r="B3" s="45" t="s">
        <v>108</v>
      </c>
      <c r="C3" s="53">
        <v>54</v>
      </c>
      <c r="D3" s="54" t="s">
        <v>13</v>
      </c>
    </row>
    <row r="4" spans="1:11">
      <c r="B4" s="45" t="s">
        <v>109</v>
      </c>
      <c r="C4" s="53">
        <v>10</v>
      </c>
      <c r="D4" s="54" t="s">
        <v>13</v>
      </c>
    </row>
    <row r="5" spans="1:11">
      <c r="B5" s="55" t="s">
        <v>110</v>
      </c>
      <c r="C5" s="56">
        <v>1</v>
      </c>
      <c r="D5" s="54" t="s">
        <v>53</v>
      </c>
    </row>
    <row r="6" spans="1:11">
      <c r="B6" s="45" t="s">
        <v>111</v>
      </c>
      <c r="C6" s="53">
        <v>54</v>
      </c>
      <c r="D6" s="54" t="s">
        <v>13</v>
      </c>
    </row>
    <row r="7" spans="1:11">
      <c r="B7" s="164" t="s">
        <v>112</v>
      </c>
      <c r="C7" s="166"/>
      <c r="D7" s="167"/>
    </row>
    <row r="8" spans="1:11">
      <c r="B8" s="59" t="s">
        <v>113</v>
      </c>
      <c r="C8" s="53">
        <v>1</v>
      </c>
      <c r="D8" s="3" t="s">
        <v>13</v>
      </c>
      <c r="I8" s="2"/>
    </row>
    <row r="9" spans="1:11">
      <c r="B9" s="45" t="s">
        <v>114</v>
      </c>
      <c r="C9" s="53">
        <v>0</v>
      </c>
      <c r="D9" s="54" t="s">
        <v>115</v>
      </c>
      <c r="I9" s="2"/>
    </row>
    <row r="10" spans="1:11">
      <c r="B10" s="45" t="s">
        <v>116</v>
      </c>
      <c r="C10" s="53">
        <f>Component_Selection!E16/1000</f>
        <v>0.15880000000000002</v>
      </c>
      <c r="D10" s="54" t="s">
        <v>115</v>
      </c>
    </row>
    <row r="11" spans="1:11">
      <c r="B11" s="45" t="s">
        <v>117</v>
      </c>
      <c r="C11" s="53">
        <f>Component_Selection!E14</f>
        <v>150</v>
      </c>
      <c r="D11" s="54" t="s">
        <v>11</v>
      </c>
    </row>
    <row r="12" spans="1:11">
      <c r="B12" s="45" t="s">
        <v>118</v>
      </c>
      <c r="C12" s="60">
        <v>0.01</v>
      </c>
      <c r="D12" s="54"/>
    </row>
    <row r="13" spans="1:11">
      <c r="B13" s="59" t="s">
        <v>119</v>
      </c>
      <c r="C13" s="61">
        <v>0.2</v>
      </c>
      <c r="D13" s="3" t="s">
        <v>53</v>
      </c>
    </row>
    <row r="14" spans="1:11">
      <c r="B14" s="45" t="s">
        <v>120</v>
      </c>
      <c r="C14" s="50">
        <f>SUM(C9:C10)</f>
        <v>0.15880000000000002</v>
      </c>
      <c r="D14" s="54" t="s">
        <v>121</v>
      </c>
    </row>
    <row r="15" spans="1:11">
      <c r="B15" s="45" t="s">
        <v>122</v>
      </c>
      <c r="C15" s="62">
        <f>Component_Selection!E24</f>
        <v>20</v>
      </c>
      <c r="D15" s="50" t="s">
        <v>22</v>
      </c>
    </row>
    <row r="16" spans="1:11">
      <c r="A16" t="s">
        <v>123</v>
      </c>
      <c r="B16" s="48" t="s">
        <v>124</v>
      </c>
      <c r="C16" s="57"/>
      <c r="D16" s="58"/>
    </row>
    <row r="17" spans="2:16">
      <c r="B17" s="47" t="s">
        <v>125</v>
      </c>
      <c r="C17" s="62">
        <f>ATIS_Calculations!E17</f>
        <v>31.748063666930879</v>
      </c>
      <c r="D17" s="54" t="s">
        <v>13</v>
      </c>
    </row>
    <row r="18" spans="2:16">
      <c r="B18" s="47" t="s">
        <v>126</v>
      </c>
      <c r="C18" s="62">
        <f>C6-C17</f>
        <v>22.251936333069121</v>
      </c>
      <c r="D18" s="50" t="s">
        <v>13</v>
      </c>
      <c r="O18" s="1"/>
      <c r="P18" s="2"/>
    </row>
    <row r="19" spans="2:16">
      <c r="B19" s="47" t="s">
        <v>127</v>
      </c>
      <c r="C19" s="62">
        <f>ATIS_Calculations!D5</f>
        <v>0.21545430531939141</v>
      </c>
      <c r="D19" s="50" t="s">
        <v>53</v>
      </c>
    </row>
    <row r="20" spans="2:16">
      <c r="B20" s="47" t="s">
        <v>128</v>
      </c>
      <c r="C20" s="62">
        <f>ATIS_Calculations!D7</f>
        <v>0.11082872198347481</v>
      </c>
      <c r="D20" s="50" t="s">
        <v>53</v>
      </c>
      <c r="G20" s="63"/>
    </row>
    <row r="21" spans="2:16">
      <c r="B21" s="48" t="s">
        <v>129</v>
      </c>
      <c r="C21" s="57"/>
      <c r="D21" s="58"/>
    </row>
    <row r="22" spans="2:16">
      <c r="B22" s="47" t="s">
        <v>130</v>
      </c>
      <c r="C22" s="62">
        <f>C20*2*1.2</f>
        <v>0.26598893276033952</v>
      </c>
      <c r="D22" s="50" t="s">
        <v>53</v>
      </c>
    </row>
    <row r="23" spans="2:16" ht="29">
      <c r="B23" s="64" t="s">
        <v>131</v>
      </c>
      <c r="C23" s="62">
        <f>C18*1.05</f>
        <v>23.364533149722579</v>
      </c>
      <c r="D23" s="50" t="s">
        <v>13</v>
      </c>
    </row>
  </sheetData>
  <sheetProtection password="8433" sheet="1" objects="1" scenarios="1" selectLockedCells="1"/>
  <mergeCells count="3">
    <mergeCell ref="B2:D2"/>
    <mergeCell ref="H2:K2"/>
    <mergeCell ref="B7:D7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Z89"/>
  <sheetViews>
    <sheetView topLeftCell="A61" workbookViewId="0">
      <selection activeCell="E76" sqref="E76"/>
    </sheetView>
  </sheetViews>
  <sheetFormatPr defaultColWidth="9" defaultRowHeight="14.5"/>
  <cols>
    <col min="3" max="3" width="14.1796875" customWidth="1"/>
    <col min="4" max="4" width="41.6328125" customWidth="1"/>
    <col min="5" max="5" width="18.54296875" customWidth="1"/>
    <col min="8" max="8" width="15.54296875" customWidth="1"/>
    <col min="9" max="9" width="16.1796875" customWidth="1"/>
    <col min="10" max="10" width="11.08984375" customWidth="1"/>
    <col min="15" max="15" width="11.36328125" customWidth="1"/>
  </cols>
  <sheetData>
    <row r="1" spans="4:26">
      <c r="O1" s="170" t="s">
        <v>132</v>
      </c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</row>
    <row r="2" spans="4:26">
      <c r="D2" t="s">
        <v>133</v>
      </c>
      <c r="E2" t="str">
        <f>Component_Selection!D54</f>
        <v>Programmed</v>
      </c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4" spans="4:26">
      <c r="D4" s="44"/>
      <c r="E4" s="44" t="s">
        <v>134</v>
      </c>
      <c r="F4" s="44"/>
      <c r="G4" s="44"/>
      <c r="H4" s="44" t="s">
        <v>55</v>
      </c>
      <c r="I4" s="44" t="s">
        <v>60</v>
      </c>
      <c r="O4" t="s">
        <v>135</v>
      </c>
      <c r="P4">
        <f>Component_Selection!E25</f>
        <v>1.5</v>
      </c>
      <c r="Q4" t="s">
        <v>22</v>
      </c>
      <c r="T4" t="s">
        <v>136</v>
      </c>
    </row>
    <row r="5" spans="4:26">
      <c r="D5" s="45" t="s">
        <v>137</v>
      </c>
      <c r="E5" s="46">
        <f>IF($E$2="Programmed",I5,H5)</f>
        <v>28.5</v>
      </c>
      <c r="F5" s="45" t="s">
        <v>13</v>
      </c>
      <c r="G5" s="45"/>
      <c r="H5" s="45">
        <f>Component_Selection!E50</f>
        <v>20</v>
      </c>
      <c r="I5" s="46">
        <f>Component_Selection!E103</f>
        <v>28.5</v>
      </c>
      <c r="O5" t="s">
        <v>138</v>
      </c>
      <c r="P5">
        <f>Component_Selection!F30</f>
        <v>11.753</v>
      </c>
      <c r="Q5" t="s">
        <v>34</v>
      </c>
      <c r="T5" t="s">
        <v>139</v>
      </c>
    </row>
    <row r="6" spans="4:26">
      <c r="D6" s="45" t="s">
        <v>140</v>
      </c>
      <c r="E6" s="46">
        <f>IF($E$2="Programmed",I6,H6)</f>
        <v>0.11549090909090909</v>
      </c>
      <c r="F6" s="45" t="s">
        <v>22</v>
      </c>
      <c r="G6" s="45"/>
      <c r="H6" s="45">
        <f>Component_Selection!E51</f>
        <v>0.4</v>
      </c>
      <c r="I6" s="46">
        <f>Component_Selection!E104</f>
        <v>0.11549090909090909</v>
      </c>
      <c r="O6" t="s">
        <v>141</v>
      </c>
      <c r="P6">
        <f>Component_Selection!E79</f>
        <v>28.583999999999996</v>
      </c>
      <c r="Q6" t="s">
        <v>34</v>
      </c>
      <c r="T6" t="s">
        <v>142</v>
      </c>
    </row>
    <row r="7" spans="4:26">
      <c r="D7" s="45" t="s">
        <v>77</v>
      </c>
      <c r="E7" s="46">
        <f>IF($E$2="Programmed",I7,H7)</f>
        <v>33</v>
      </c>
      <c r="F7" s="45" t="s">
        <v>34</v>
      </c>
      <c r="G7" s="45"/>
      <c r="H7" s="45">
        <f>Component_Selection!E78</f>
        <v>9.5279999999999987</v>
      </c>
      <c r="I7" s="45">
        <f>Component_Selection!E89</f>
        <v>33</v>
      </c>
      <c r="O7" t="s">
        <v>143</v>
      </c>
      <c r="P7">
        <f>Component_Selection!E90</f>
        <v>100</v>
      </c>
      <c r="Q7" t="s">
        <v>34</v>
      </c>
    </row>
    <row r="8" spans="4:26">
      <c r="D8" s="45" t="s">
        <v>78</v>
      </c>
      <c r="E8" s="46">
        <f>IF($E$2="Programmed",I8,H8)</f>
        <v>100</v>
      </c>
      <c r="F8" s="45" t="s">
        <v>34</v>
      </c>
      <c r="G8" s="45"/>
      <c r="H8" s="45">
        <f>Component_Selection!E79</f>
        <v>28.583999999999996</v>
      </c>
      <c r="I8" s="45">
        <f>Component_Selection!E90</f>
        <v>100</v>
      </c>
      <c r="O8" t="s">
        <v>144</v>
      </c>
      <c r="P8">
        <f>Component_Selection!E78</f>
        <v>9.5279999999999987</v>
      </c>
      <c r="Q8" t="s">
        <v>34</v>
      </c>
      <c r="T8" t="s">
        <v>145</v>
      </c>
    </row>
    <row r="9" spans="4:26">
      <c r="D9" s="47" t="s">
        <v>146</v>
      </c>
      <c r="E9" s="46">
        <f>IF($E$2="Programmed",I9,H9)</f>
        <v>4.95</v>
      </c>
      <c r="F9" s="47" t="s">
        <v>53</v>
      </c>
      <c r="G9" s="45"/>
      <c r="H9" s="45">
        <f>Component_Selection!E52</f>
        <v>2</v>
      </c>
      <c r="I9" s="46">
        <f>Component_Selection!E105</f>
        <v>4.95</v>
      </c>
      <c r="O9" t="s">
        <v>147</v>
      </c>
      <c r="P9">
        <f>Component_Selection!E89</f>
        <v>33</v>
      </c>
      <c r="Q9" t="s">
        <v>34</v>
      </c>
      <c r="T9" t="s">
        <v>148</v>
      </c>
    </row>
    <row r="10" spans="4:26">
      <c r="D10" s="47" t="s">
        <v>149</v>
      </c>
      <c r="E10" s="46">
        <f>Component_Selection!E24</f>
        <v>20</v>
      </c>
      <c r="F10" s="47" t="s">
        <v>22</v>
      </c>
      <c r="G10" s="45"/>
      <c r="H10" s="45"/>
      <c r="I10" s="46"/>
      <c r="O10" s="49" t="s">
        <v>22</v>
      </c>
      <c r="P10" s="49">
        <v>20</v>
      </c>
      <c r="Q10" s="49" t="s">
        <v>150</v>
      </c>
    </row>
    <row r="11" spans="4:26">
      <c r="D11" s="47" t="s">
        <v>151</v>
      </c>
      <c r="E11" s="46">
        <f>Component_Selection!E25</f>
        <v>1.5</v>
      </c>
      <c r="F11" s="47" t="s">
        <v>22</v>
      </c>
      <c r="G11" s="45"/>
      <c r="H11" s="45"/>
      <c r="I11" s="46"/>
    </row>
    <row r="12" spans="4:26">
      <c r="D12" s="47" t="s">
        <v>152</v>
      </c>
      <c r="E12" s="46">
        <f>E9/2</f>
        <v>2.4750000000000001</v>
      </c>
      <c r="F12" s="47" t="s">
        <v>53</v>
      </c>
      <c r="G12" s="45"/>
      <c r="H12" s="45"/>
      <c r="I12" s="46"/>
      <c r="O12" t="s">
        <v>153</v>
      </c>
      <c r="P12" t="str">
        <f>Component_Selection!D54</f>
        <v>Programmed</v>
      </c>
    </row>
    <row r="13" spans="4:26">
      <c r="D13" s="47" t="s">
        <v>154</v>
      </c>
      <c r="E13" s="46">
        <f>E12/5</f>
        <v>0.495</v>
      </c>
      <c r="F13" s="45" t="s">
        <v>53</v>
      </c>
      <c r="G13" s="45"/>
      <c r="H13" s="45"/>
      <c r="I13" s="45"/>
      <c r="O13" t="s">
        <v>155</v>
      </c>
      <c r="P13" s="1">
        <f>E7</f>
        <v>33</v>
      </c>
      <c r="Q13" t="s">
        <v>34</v>
      </c>
    </row>
    <row r="14" spans="4:26">
      <c r="O14" t="s">
        <v>156</v>
      </c>
      <c r="P14" s="1">
        <f>E8</f>
        <v>100</v>
      </c>
      <c r="Q14" t="s">
        <v>34</v>
      </c>
    </row>
    <row r="15" spans="4:26">
      <c r="O15" t="s">
        <v>157</v>
      </c>
      <c r="P15">
        <f>Error_Calculation!N22</f>
        <v>20</v>
      </c>
      <c r="Q15" t="s">
        <v>158</v>
      </c>
    </row>
    <row r="16" spans="4:26">
      <c r="D16" s="171" t="s">
        <v>159</v>
      </c>
      <c r="E16" s="171"/>
      <c r="F16" s="45"/>
      <c r="O16" t="s">
        <v>160</v>
      </c>
      <c r="P16">
        <f>Error_Calculation!O29</f>
        <v>1</v>
      </c>
      <c r="Q16" t="s">
        <v>161</v>
      </c>
    </row>
    <row r="17" spans="3:18">
      <c r="D17" s="45" t="s">
        <v>162</v>
      </c>
      <c r="E17" s="45">
        <f>Component_Selection!F15</f>
        <v>57</v>
      </c>
      <c r="F17" s="45" t="s">
        <v>13</v>
      </c>
    </row>
    <row r="18" spans="3:18">
      <c r="O18" s="172" t="s">
        <v>163</v>
      </c>
      <c r="P18" s="172"/>
      <c r="Q18" s="172"/>
    </row>
    <row r="19" spans="3:18">
      <c r="D19" s="45" t="s">
        <v>164</v>
      </c>
      <c r="E19" s="45">
        <f>E21/10</f>
        <v>0.495</v>
      </c>
      <c r="F19" s="45" t="s">
        <v>53</v>
      </c>
      <c r="O19" s="45" t="s">
        <v>165</v>
      </c>
      <c r="P19" s="45">
        <f>P15/(P13+P14)</f>
        <v>0.15037593984962405</v>
      </c>
      <c r="Q19" s="45" t="s">
        <v>166</v>
      </c>
    </row>
    <row r="20" spans="3:18">
      <c r="D20" s="45" t="s">
        <v>167</v>
      </c>
      <c r="E20" s="45">
        <f>E21/2</f>
        <v>2.4750000000000001</v>
      </c>
      <c r="F20" s="45" t="s">
        <v>53</v>
      </c>
      <c r="O20" s="51" t="s">
        <v>168</v>
      </c>
      <c r="P20" s="51">
        <f>1/3/P19*SQRT(P4/P10)</f>
        <v>0.60705916790155912</v>
      </c>
      <c r="Q20" s="51" t="s">
        <v>53</v>
      </c>
    </row>
    <row r="21" spans="3:18">
      <c r="D21" s="45" t="s">
        <v>169</v>
      </c>
      <c r="E21" s="45">
        <f>IF(Component_Selection!D54="Target",Component_Selection!E52,Component_Selection!E105)</f>
        <v>4.95</v>
      </c>
      <c r="F21" s="45" t="s">
        <v>53</v>
      </c>
      <c r="H21" s="48" t="s">
        <v>170</v>
      </c>
      <c r="I21" s="48" t="s">
        <v>171</v>
      </c>
    </row>
    <row r="22" spans="3:18">
      <c r="D22" s="45" t="s">
        <v>172</v>
      </c>
      <c r="E22" s="46">
        <f>IF(I22="TBD",H22,I22)</f>
        <v>1.102059167901559</v>
      </c>
      <c r="F22" s="45" t="s">
        <v>53</v>
      </c>
      <c r="H22" s="46">
        <f>SOA_Checks!P20+E19</f>
        <v>1.102059167901559</v>
      </c>
      <c r="I22" s="45" t="str">
        <f>Component_Selection!E57</f>
        <v>TBD</v>
      </c>
    </row>
    <row r="23" spans="3:18">
      <c r="D23" s="45" t="s">
        <v>173</v>
      </c>
      <c r="E23" s="46">
        <f>IF(I23="TBD",H23,I23)</f>
        <v>2.3395591679015593</v>
      </c>
      <c r="F23" s="45" t="s">
        <v>53</v>
      </c>
      <c r="H23" s="46">
        <f>SOA_Checks!P26+E19</f>
        <v>2.3395591679015593</v>
      </c>
      <c r="I23" s="45" t="str">
        <f>Component_Selection!E58</f>
        <v>TBD</v>
      </c>
    </row>
    <row r="24" spans="3:18">
      <c r="E24" s="1"/>
      <c r="O24" s="168" t="s">
        <v>174</v>
      </c>
      <c r="P24" s="168"/>
      <c r="Q24" s="168"/>
      <c r="R24" t="s">
        <v>175</v>
      </c>
    </row>
    <row r="25" spans="3:18">
      <c r="O25" s="45" t="s">
        <v>176</v>
      </c>
      <c r="P25" s="46">
        <f>P4*P16*P13/P15/2</f>
        <v>1.2375</v>
      </c>
      <c r="Q25" s="45" t="s">
        <v>53</v>
      </c>
      <c r="R25" t="s">
        <v>177</v>
      </c>
    </row>
    <row r="26" spans="3:18">
      <c r="O26" s="51" t="s">
        <v>178</v>
      </c>
      <c r="P26" s="52">
        <f>P25+P20</f>
        <v>1.8445591679015592</v>
      </c>
      <c r="Q26" s="51" t="s">
        <v>53</v>
      </c>
      <c r="R26" t="s">
        <v>179</v>
      </c>
    </row>
    <row r="27" spans="3:18">
      <c r="C27" t="s">
        <v>180</v>
      </c>
      <c r="D27">
        <f>IF(Component_Selection!D54="Target",Component_Selection!E51,Component_Selection!E104)</f>
        <v>0.11549090909090909</v>
      </c>
    </row>
    <row r="28" spans="3:18">
      <c r="C28" s="1"/>
      <c r="K28">
        <f>1.12*(175-96.3)/150</f>
        <v>0.58762666666666674</v>
      </c>
    </row>
    <row r="30" spans="3:18">
      <c r="C30" s="1">
        <f>E13</f>
        <v>0.495</v>
      </c>
      <c r="D30" t="s">
        <v>181</v>
      </c>
    </row>
    <row r="31" spans="3:18">
      <c r="C31" s="1">
        <f>E22</f>
        <v>1.102059167901559</v>
      </c>
      <c r="D31" t="s">
        <v>182</v>
      </c>
    </row>
    <row r="32" spans="3:18">
      <c r="C32" s="1">
        <f>E23</f>
        <v>2.3395591679015593</v>
      </c>
      <c r="D32" t="s">
        <v>183</v>
      </c>
    </row>
    <row r="33" spans="2:6">
      <c r="C33" s="1">
        <f>E20</f>
        <v>2.4750000000000001</v>
      </c>
      <c r="D33" t="s">
        <v>184</v>
      </c>
    </row>
    <row r="34" spans="2:6">
      <c r="C34">
        <f>Component_Selection!F16*Component_Selection!F15/D27/1000</f>
        <v>94.05</v>
      </c>
      <c r="D34" t="s">
        <v>185</v>
      </c>
      <c r="E34" t="s">
        <v>186</v>
      </c>
    </row>
    <row r="35" spans="2:6">
      <c r="C35">
        <f>ROUND(SOA_Checks!C34/2,1)</f>
        <v>47</v>
      </c>
      <c r="D35" t="s">
        <v>187</v>
      </c>
    </row>
    <row r="37" spans="2:6">
      <c r="C37" s="1">
        <f>10^(FLOOR(LOG(C31),1))</f>
        <v>1</v>
      </c>
      <c r="D37" t="s">
        <v>188</v>
      </c>
    </row>
    <row r="38" spans="2:6">
      <c r="C38">
        <f>C37*10</f>
        <v>10</v>
      </c>
      <c r="D38" t="s">
        <v>189</v>
      </c>
    </row>
    <row r="39" spans="2:6">
      <c r="B39" s="1"/>
      <c r="C39" s="1">
        <f>10^(FLOOR(LOG(C32),1))</f>
        <v>1</v>
      </c>
      <c r="D39" t="s">
        <v>190</v>
      </c>
    </row>
    <row r="40" spans="2:6">
      <c r="C40">
        <f>C39*10</f>
        <v>10</v>
      </c>
      <c r="D40" t="s">
        <v>191</v>
      </c>
    </row>
    <row r="41" spans="2:6">
      <c r="C41" s="1">
        <f>10^(FLOOR(LOG(C33),1))</f>
        <v>1</v>
      </c>
      <c r="D41" t="s">
        <v>192</v>
      </c>
    </row>
    <row r="42" spans="2:6">
      <c r="C42">
        <f>C41*10</f>
        <v>10</v>
      </c>
      <c r="D42" t="s">
        <v>193</v>
      </c>
    </row>
    <row r="43" spans="2:6">
      <c r="C43" s="1">
        <f>10^(FLOOR(LOG(C35),1))</f>
        <v>10</v>
      </c>
      <c r="D43" t="s">
        <v>194</v>
      </c>
    </row>
    <row r="44" spans="2:6">
      <c r="C44">
        <f>C43*10</f>
        <v>100</v>
      </c>
      <c r="D44" t="s">
        <v>195</v>
      </c>
    </row>
    <row r="46" spans="2:6">
      <c r="C46" t="s">
        <v>196</v>
      </c>
      <c r="D46" s="164" t="s">
        <v>197</v>
      </c>
      <c r="E46" s="164"/>
      <c r="F46" s="164"/>
    </row>
    <row r="47" spans="2:6">
      <c r="C47" s="1">
        <f>C37</f>
        <v>1</v>
      </c>
      <c r="D47" s="45" t="str">
        <f>"Q1 Current handling at "&amp;C37&amp;"ms and "&amp;E17&amp;"V"</f>
        <v>Q1 Current handling at 1ms and 57V</v>
      </c>
      <c r="E47" s="45">
        <f>Component_Selection!E59</f>
        <v>30</v>
      </c>
      <c r="F47" s="45" t="s">
        <v>22</v>
      </c>
    </row>
    <row r="48" spans="2:6">
      <c r="C48" s="1">
        <f t="shared" ref="C48:C50" si="0">C38</f>
        <v>10</v>
      </c>
      <c r="D48" s="45" t="str">
        <f>"Q1 Current handling at "&amp;C38&amp;"ms and "&amp;E17&amp;"V"</f>
        <v>Q1 Current handling at 10ms and 57V</v>
      </c>
      <c r="E48" s="45">
        <f>Component_Selection!E60</f>
        <v>6</v>
      </c>
      <c r="F48" s="45" t="s">
        <v>22</v>
      </c>
    </row>
    <row r="49" spans="3:6">
      <c r="C49" s="1">
        <f t="shared" si="0"/>
        <v>1</v>
      </c>
      <c r="D49" s="45" t="str">
        <f>"Q1 Current handling at "&amp;C39&amp;"ms and "&amp;E17&amp;"V"</f>
        <v>Q1 Current handling at 1ms and 57V</v>
      </c>
      <c r="E49" s="45">
        <f>Component_Selection!E61</f>
        <v>30</v>
      </c>
      <c r="F49" s="45" t="s">
        <v>22</v>
      </c>
    </row>
    <row r="50" spans="3:6">
      <c r="C50" s="1">
        <f t="shared" si="0"/>
        <v>10</v>
      </c>
      <c r="D50" s="45" t="str">
        <f>"Q1 Current handling at "&amp;C40&amp;"ms and "&amp;E17&amp;"V"</f>
        <v>Q1 Current handling at 10ms and 57V</v>
      </c>
      <c r="E50" s="45">
        <f>Component_Selection!E62</f>
        <v>6</v>
      </c>
      <c r="F50" s="45" t="s">
        <v>22</v>
      </c>
    </row>
    <row r="51" spans="3:6">
      <c r="C51" s="1">
        <f>C43</f>
        <v>10</v>
      </c>
      <c r="D51" s="45" t="str">
        <f>"Q1 Current handling at "&amp;C43&amp;"ms and "&amp;E17&amp;"V"</f>
        <v>Q1 Current handling at 10ms and 57V</v>
      </c>
      <c r="E51" s="45">
        <f>Component_Selection!E63</f>
        <v>6</v>
      </c>
      <c r="F51" s="45" t="s">
        <v>22</v>
      </c>
    </row>
    <row r="52" spans="3:6">
      <c r="C52" s="1">
        <f>C44</f>
        <v>100</v>
      </c>
      <c r="D52" s="45" t="str">
        <f>"Q1 Current handling at "&amp;C44&amp;"ms and "&amp;E17&amp;"V"</f>
        <v>Q1 Current handling at 100ms and 57V</v>
      </c>
      <c r="E52" s="45">
        <f>Component_Selection!E64</f>
        <v>1.5</v>
      </c>
      <c r="F52" s="45" t="s">
        <v>22</v>
      </c>
    </row>
    <row r="53" spans="3:6">
      <c r="C53" s="1">
        <f>C41</f>
        <v>1</v>
      </c>
      <c r="D53" s="45" t="str">
        <f>"Q1 Current handling at "&amp;C41&amp;"ms and "&amp;E5&amp;"V"</f>
        <v>Q1 Current handling at 1ms and 28.5V</v>
      </c>
      <c r="E53" s="45">
        <f>Component_Selection!E65</f>
        <v>100</v>
      </c>
      <c r="F53" s="45" t="s">
        <v>22</v>
      </c>
    </row>
    <row r="54" spans="3:6">
      <c r="C54" s="1">
        <f>C42</f>
        <v>10</v>
      </c>
      <c r="D54" s="45" t="str">
        <f>"Q1 Current handling at "&amp;C42&amp;"ms and "&amp;E5&amp;"V"</f>
        <v>Q1 Current handling at 10ms and 28.5V</v>
      </c>
      <c r="E54" s="45">
        <f>Component_Selection!E66</f>
        <v>40</v>
      </c>
      <c r="F54" s="45" t="s">
        <v>22</v>
      </c>
    </row>
    <row r="55" spans="3:6">
      <c r="D55" s="36"/>
      <c r="E55" s="36"/>
      <c r="F55" s="36"/>
    </row>
    <row r="56" spans="3:6">
      <c r="D56" s="36" t="s">
        <v>198</v>
      </c>
      <c r="E56" s="36"/>
      <c r="F56" s="36"/>
    </row>
    <row r="58" spans="3:6">
      <c r="C58" t="s">
        <v>196</v>
      </c>
      <c r="D58" s="164" t="str">
        <f>" Temp Derated SOA (Tj ="&amp;ROUND(Component_Selection!F39,0)&amp;"C)"</f>
        <v xml:space="preserve"> Temp Derated SOA (Tj =75C)</v>
      </c>
      <c r="E58" s="164"/>
      <c r="F58" s="164"/>
    </row>
    <row r="59" spans="3:6">
      <c r="D59" s="45" t="s">
        <v>199</v>
      </c>
      <c r="E59" s="46">
        <f>Component_Selection!F39</f>
        <v>75</v>
      </c>
      <c r="F59" s="45" t="s">
        <v>17</v>
      </c>
    </row>
    <row r="60" spans="3:6">
      <c r="D60" s="45" t="s">
        <v>198</v>
      </c>
      <c r="E60" s="46">
        <f>(Component_Selection!F29-E59)/(Component_Selection!F29-25)</f>
        <v>0.66666666666666663</v>
      </c>
      <c r="F60" s="45"/>
    </row>
    <row r="61" spans="3:6">
      <c r="C61" s="1">
        <f t="shared" ref="C61:D68" si="1">C47</f>
        <v>1</v>
      </c>
      <c r="D61" s="45" t="str">
        <f t="shared" si="1"/>
        <v>Q1 Current handling at 1ms and 57V</v>
      </c>
      <c r="E61" s="46">
        <f t="shared" ref="E61:E68" si="2">E47*$E$60</f>
        <v>20</v>
      </c>
      <c r="F61" s="45" t="s">
        <v>22</v>
      </c>
    </row>
    <row r="62" spans="3:6">
      <c r="C62" s="1">
        <f t="shared" si="1"/>
        <v>10</v>
      </c>
      <c r="D62" s="45" t="str">
        <f t="shared" si="1"/>
        <v>Q1 Current handling at 10ms and 57V</v>
      </c>
      <c r="E62" s="46">
        <f t="shared" si="2"/>
        <v>4</v>
      </c>
      <c r="F62" s="45" t="s">
        <v>22</v>
      </c>
    </row>
    <row r="63" spans="3:6">
      <c r="C63" s="1">
        <f t="shared" si="1"/>
        <v>1</v>
      </c>
      <c r="D63" s="45" t="str">
        <f t="shared" si="1"/>
        <v>Q1 Current handling at 1ms and 57V</v>
      </c>
      <c r="E63" s="46">
        <f t="shared" si="2"/>
        <v>20</v>
      </c>
      <c r="F63" s="45" t="s">
        <v>22</v>
      </c>
    </row>
    <row r="64" spans="3:6">
      <c r="C64" s="1">
        <f t="shared" si="1"/>
        <v>10</v>
      </c>
      <c r="D64" s="45" t="str">
        <f t="shared" si="1"/>
        <v>Q1 Current handling at 10ms and 57V</v>
      </c>
      <c r="E64" s="46">
        <f t="shared" si="2"/>
        <v>4</v>
      </c>
      <c r="F64" s="45" t="s">
        <v>22</v>
      </c>
    </row>
    <row r="65" spans="3:8">
      <c r="C65" s="1">
        <f t="shared" si="1"/>
        <v>10</v>
      </c>
      <c r="D65" s="45" t="str">
        <f t="shared" si="1"/>
        <v>Q1 Current handling at 10ms and 57V</v>
      </c>
      <c r="E65" s="46">
        <f t="shared" si="2"/>
        <v>4</v>
      </c>
      <c r="F65" s="45" t="s">
        <v>22</v>
      </c>
    </row>
    <row r="66" spans="3:8">
      <c r="C66" s="1">
        <f t="shared" si="1"/>
        <v>100</v>
      </c>
      <c r="D66" s="45" t="str">
        <f t="shared" si="1"/>
        <v>Q1 Current handling at 100ms and 57V</v>
      </c>
      <c r="E66" s="46">
        <f t="shared" si="2"/>
        <v>1</v>
      </c>
      <c r="F66" s="45" t="s">
        <v>22</v>
      </c>
    </row>
    <row r="67" spans="3:8">
      <c r="C67" s="1">
        <f t="shared" si="1"/>
        <v>1</v>
      </c>
      <c r="D67" s="45" t="str">
        <f t="shared" si="1"/>
        <v>Q1 Current handling at 1ms and 28.5V</v>
      </c>
      <c r="E67" s="46">
        <f t="shared" si="2"/>
        <v>66.666666666666657</v>
      </c>
      <c r="F67" s="45" t="s">
        <v>22</v>
      </c>
    </row>
    <row r="68" spans="3:8">
      <c r="C68" s="1">
        <f t="shared" si="1"/>
        <v>10</v>
      </c>
      <c r="D68" s="45" t="str">
        <f t="shared" si="1"/>
        <v>Q1 Current handling at 10ms and 28.5V</v>
      </c>
      <c r="E68" s="46">
        <f t="shared" si="2"/>
        <v>26.666666666666664</v>
      </c>
      <c r="F68" s="45" t="s">
        <v>22</v>
      </c>
    </row>
    <row r="69" spans="3:8">
      <c r="D69" s="36"/>
      <c r="E69" s="36"/>
      <c r="F69" s="36"/>
    </row>
    <row r="70" spans="3:8">
      <c r="D70" s="36"/>
      <c r="E70" s="36"/>
      <c r="F70" s="36"/>
    </row>
    <row r="71" spans="3:8">
      <c r="G71" s="168" t="s">
        <v>200</v>
      </c>
      <c r="H71" s="168"/>
    </row>
    <row r="72" spans="3:8">
      <c r="C72" t="s">
        <v>196</v>
      </c>
      <c r="D72" s="169" t="str">
        <f>" Extrapoloated SOA (Tj ="&amp;ROUND(Component_Selection!F39,0)&amp;"C)"</f>
        <v xml:space="preserve"> Extrapoloated SOA (Tj =75C)</v>
      </c>
      <c r="E72" s="169"/>
      <c r="F72" s="169"/>
      <c r="G72" t="s">
        <v>165</v>
      </c>
      <c r="H72" t="s">
        <v>201</v>
      </c>
    </row>
    <row r="73" spans="3:8">
      <c r="C73" s="1">
        <f>C31</f>
        <v>1.102059167901559</v>
      </c>
      <c r="D73" s="45" t="str">
        <f>"Short Circuit; Vds = "&amp;E17&amp;"V, t= "&amp;C31&amp;"ms"</f>
        <v>Short Circuit; Vds = 57V, t= 1.10205916790156ms</v>
      </c>
      <c r="E73" s="46">
        <f>H73*C31^G73*$E$60</f>
        <v>18.686588769734072</v>
      </c>
      <c r="F73" s="45" t="s">
        <v>22</v>
      </c>
      <c r="G73">
        <f>LN(E47/E48)/LN(C37/C38)</f>
        <v>-0.69897000433601886</v>
      </c>
      <c r="H73">
        <f>E47/C37^G73</f>
        <v>30</v>
      </c>
    </row>
    <row r="74" spans="3:8">
      <c r="C74" s="1">
        <f>C32</f>
        <v>2.3395591679015593</v>
      </c>
      <c r="D74" s="45" t="str">
        <f>"Short Circuit with resistor; Vds = "&amp;E17&amp;"V, t= "&amp;C32&amp;"ms"</f>
        <v>Short Circuit with resistor; Vds = 57V, t= 2.33955916790156ms</v>
      </c>
      <c r="E74" s="46">
        <f t="shared" ref="E74" si="3">H74*C32^G74*$E$60</f>
        <v>11.041202598948551</v>
      </c>
      <c r="F74" s="45" t="s">
        <v>22</v>
      </c>
      <c r="G74">
        <f>LN(E49/E50)/LN(C39/C40)</f>
        <v>-0.69897000433601886</v>
      </c>
      <c r="H74">
        <f>E49/C39^G74</f>
        <v>30</v>
      </c>
    </row>
    <row r="75" spans="3:8">
      <c r="C75">
        <f>C35</f>
        <v>47</v>
      </c>
      <c r="D75" s="45" t="str">
        <f>"Start-up ; Vds = "&amp;E17&amp;"V, t_eq= "&amp;C35&amp;"ms"</f>
        <v>Start-up ; Vds = 57V, t_eq= 47ms</v>
      </c>
      <c r="E75" s="46">
        <f>H75*C35^G75*$E$60</f>
        <v>1.5754940262315476</v>
      </c>
      <c r="F75" s="45" t="s">
        <v>22</v>
      </c>
      <c r="G75">
        <f>LN(E51/E52)/LN(C43/C44)</f>
        <v>-0.6020599913279624</v>
      </c>
      <c r="H75">
        <f>E51/C43^G75</f>
        <v>24.000000000000007</v>
      </c>
    </row>
    <row r="76" spans="3:8">
      <c r="C76" s="1">
        <f>C33</f>
        <v>2.4750000000000001</v>
      </c>
      <c r="D76" s="45" t="str">
        <f>"Vd = 1.5V; Vds = "&amp;E5&amp;"V, t_eq= "&amp;C33&amp;"ms"</f>
        <v>Vd = 1.5V; Vds = 28.5V, t_eq= 2.475ms</v>
      </c>
      <c r="E76" s="46">
        <f>H76*C33^G76*$E$60</f>
        <v>46.482493918064456</v>
      </c>
      <c r="F76" s="45" t="s">
        <v>22</v>
      </c>
      <c r="G76">
        <f>LN(E53/E54)/LN(C41/C42)</f>
        <v>-0.39794000867203766</v>
      </c>
      <c r="H76">
        <f>E53/C41^G76</f>
        <v>100</v>
      </c>
    </row>
    <row r="79" spans="3:8">
      <c r="C79" t="s">
        <v>196</v>
      </c>
      <c r="D79" s="169" t="s">
        <v>202</v>
      </c>
      <c r="E79" s="169"/>
      <c r="F79" s="169"/>
    </row>
    <row r="80" spans="3:8">
      <c r="C80" s="1">
        <f>C73</f>
        <v>1.102059167901559</v>
      </c>
      <c r="D80" s="45" t="str">
        <f>D73</f>
        <v>Short Circuit; Vds = 57V, t= 1.10205916790156ms</v>
      </c>
      <c r="E80" s="46">
        <f>E11</f>
        <v>1.5</v>
      </c>
      <c r="F80" s="45" t="s">
        <v>22</v>
      </c>
    </row>
    <row r="81" spans="3:6">
      <c r="C81" s="1">
        <f t="shared" ref="C81:D83" si="4">C74</f>
        <v>2.3395591679015593</v>
      </c>
      <c r="D81" s="45" t="str">
        <f t="shared" si="4"/>
        <v>Short Circuit with resistor; Vds = 57V, t= 2.33955916790156ms</v>
      </c>
      <c r="E81" s="46">
        <f>E11</f>
        <v>1.5</v>
      </c>
      <c r="F81" s="45" t="s">
        <v>22</v>
      </c>
    </row>
    <row r="82" spans="3:6">
      <c r="C82" s="1">
        <f t="shared" si="4"/>
        <v>47</v>
      </c>
      <c r="D82" s="45" t="str">
        <f t="shared" si="4"/>
        <v>Start-up ; Vds = 57V, t_eq= 47ms</v>
      </c>
      <c r="E82" s="46">
        <f>E6</f>
        <v>0.11549090909090909</v>
      </c>
      <c r="F82" s="45" t="s">
        <v>22</v>
      </c>
    </row>
    <row r="83" spans="3:6">
      <c r="C83" s="1">
        <f t="shared" si="4"/>
        <v>2.4750000000000001</v>
      </c>
      <c r="D83" s="45" t="str">
        <f t="shared" si="4"/>
        <v>Vd = 1.5V; Vds = 28.5V, t_eq= 2.475ms</v>
      </c>
      <c r="E83" s="46">
        <f>E10</f>
        <v>20</v>
      </c>
      <c r="F83" s="45" t="s">
        <v>22</v>
      </c>
    </row>
    <row r="84" spans="3:6">
      <c r="C84" s="1"/>
      <c r="D84" s="45"/>
      <c r="E84" s="46"/>
      <c r="F84" s="45"/>
    </row>
    <row r="85" spans="3:6">
      <c r="D85" s="169" t="s">
        <v>203</v>
      </c>
      <c r="E85" s="169"/>
      <c r="F85" s="169"/>
    </row>
    <row r="86" spans="3:6">
      <c r="D86" s="45" t="str">
        <f>D80</f>
        <v>Short Circuit; Vds = 57V, t= 1.10205916790156ms</v>
      </c>
      <c r="E86" s="46">
        <f>E73/E80</f>
        <v>12.457725846489382</v>
      </c>
      <c r="F86" s="45"/>
    </row>
    <row r="87" spans="3:6">
      <c r="D87" s="45" t="str">
        <f>D81</f>
        <v>Short Circuit with resistor; Vds = 57V, t= 2.33955916790156ms</v>
      </c>
      <c r="E87" s="46">
        <f>E74/E81</f>
        <v>7.3608017326323676</v>
      </c>
      <c r="F87" s="45"/>
    </row>
    <row r="88" spans="3:6">
      <c r="D88" s="45" t="str">
        <f>D82</f>
        <v>Start-up ; Vds = 57V, t_eq= 47ms</v>
      </c>
      <c r="E88" s="46">
        <f>E75/E82</f>
        <v>13.641714647785756</v>
      </c>
      <c r="F88" s="45"/>
    </row>
    <row r="89" spans="3:6">
      <c r="D89" s="45" t="str">
        <f>D83</f>
        <v>Vd = 1.5V; Vds = 28.5V, t_eq= 2.475ms</v>
      </c>
      <c r="E89" s="46">
        <f>E76/E83</f>
        <v>2.3241246959032229</v>
      </c>
      <c r="F89" s="45"/>
    </row>
  </sheetData>
  <mergeCells count="10">
    <mergeCell ref="G71:H71"/>
    <mergeCell ref="D72:F72"/>
    <mergeCell ref="D79:F79"/>
    <mergeCell ref="D85:F85"/>
    <mergeCell ref="O1:Z2"/>
    <mergeCell ref="D16:E16"/>
    <mergeCell ref="O18:Q18"/>
    <mergeCell ref="O24:Q24"/>
    <mergeCell ref="D46:F46"/>
    <mergeCell ref="D58:F58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C2:R32"/>
  <sheetViews>
    <sheetView workbookViewId="0">
      <selection activeCell="N25" sqref="N25"/>
    </sheetView>
  </sheetViews>
  <sheetFormatPr defaultColWidth="9" defaultRowHeight="14.5"/>
  <cols>
    <col min="3" max="3" width="27.08984375" customWidth="1"/>
  </cols>
  <sheetData>
    <row r="2" spans="3:17">
      <c r="D2" t="s">
        <v>90</v>
      </c>
      <c r="G2" t="s">
        <v>204</v>
      </c>
      <c r="H2">
        <f>Component_Selection!E19</f>
        <v>40</v>
      </c>
    </row>
    <row r="3" spans="3:17">
      <c r="D3" t="s">
        <v>205</v>
      </c>
    </row>
    <row r="5" spans="3:17">
      <c r="C5" s="12" t="s">
        <v>206</v>
      </c>
      <c r="D5" s="13" t="s">
        <v>6</v>
      </c>
      <c r="E5" s="13" t="s">
        <v>7</v>
      </c>
      <c r="F5" s="14" t="s">
        <v>8</v>
      </c>
      <c r="G5" s="15"/>
      <c r="H5" s="16" t="s">
        <v>88</v>
      </c>
      <c r="L5" s="168" t="s">
        <v>207</v>
      </c>
      <c r="M5" s="168"/>
      <c r="N5" s="168"/>
      <c r="O5" s="168"/>
      <c r="P5" s="168"/>
      <c r="Q5" s="168"/>
    </row>
    <row r="6" spans="3:17">
      <c r="C6" s="17" t="s">
        <v>91</v>
      </c>
      <c r="D6" s="1">
        <f>E6*(1-H6)</f>
        <v>19</v>
      </c>
      <c r="E6" s="1">
        <f>H2/Component_Selection!E83</f>
        <v>20</v>
      </c>
      <c r="F6" s="1">
        <f>E6*(1+H6)</f>
        <v>21</v>
      </c>
      <c r="G6" s="18" t="s">
        <v>22</v>
      </c>
      <c r="H6" s="19">
        <f>Error_Calculation!Q20+Component_Selection!F83</f>
        <v>0.05</v>
      </c>
      <c r="L6" s="29"/>
      <c r="M6" s="30" t="s">
        <v>6</v>
      </c>
      <c r="N6" s="30" t="s">
        <v>7</v>
      </c>
      <c r="O6" s="30" t="s">
        <v>8</v>
      </c>
      <c r="P6" s="31" t="s">
        <v>9</v>
      </c>
      <c r="Q6" s="43" t="s">
        <v>208</v>
      </c>
    </row>
    <row r="7" spans="3:17">
      <c r="C7" s="17" t="s">
        <v>92</v>
      </c>
      <c r="D7" s="1">
        <f>E7*(1-H7)</f>
        <v>0.9850000000000001</v>
      </c>
      <c r="E7" s="1">
        <f>Error_Calculation!N19/Component_Selection!E83</f>
        <v>1.5</v>
      </c>
      <c r="F7" s="1">
        <f>E7*(1+H7)</f>
        <v>2.0149999999999997</v>
      </c>
      <c r="G7" s="18" t="s">
        <v>22</v>
      </c>
      <c r="H7" s="19">
        <f>Error_Calculation!Q19+Component_Selection!F83</f>
        <v>0.34333333333333332</v>
      </c>
      <c r="L7" s="32" t="s">
        <v>93</v>
      </c>
      <c r="M7" s="33">
        <v>0.98499999999999999</v>
      </c>
      <c r="N7" s="33">
        <v>1</v>
      </c>
      <c r="O7" s="33">
        <v>1.0149999999999999</v>
      </c>
      <c r="P7" s="34" t="s">
        <v>13</v>
      </c>
      <c r="Q7" s="21">
        <f t="shared" ref="Q7:Q12" si="0">(O7-N7)/N7</f>
        <v>1.4999999999999902E-2</v>
      </c>
    </row>
    <row r="8" spans="3:17">
      <c r="C8" s="17" t="s">
        <v>93</v>
      </c>
      <c r="D8" s="1">
        <f>E8*(1-H8)</f>
        <v>33.532668874172188</v>
      </c>
      <c r="E8" s="1">
        <f>(Component_Selection!E84+Component_Selection!E85)/Component_Selection!E85*Error_Calculation!$N$7</f>
        <v>34.11258278145695</v>
      </c>
      <c r="F8" s="1">
        <f>E8*(1+H8)</f>
        <v>34.692496688741713</v>
      </c>
      <c r="G8" s="18" t="s">
        <v>13</v>
      </c>
      <c r="H8" s="19">
        <f>Component_Selection!F84+Component_Selection!F85+Error_Calculation!Q7</f>
        <v>1.6999999999999904E-2</v>
      </c>
      <c r="L8" s="35" t="s">
        <v>96</v>
      </c>
      <c r="M8" s="36">
        <v>0.98</v>
      </c>
      <c r="N8" s="36">
        <v>1</v>
      </c>
      <c r="O8" s="36">
        <v>1.02</v>
      </c>
      <c r="P8" s="18" t="s">
        <v>13</v>
      </c>
      <c r="Q8" s="21">
        <f t="shared" si="0"/>
        <v>2.0000000000000018E-2</v>
      </c>
    </row>
    <row r="9" spans="3:17">
      <c r="C9" s="17" t="s">
        <v>94</v>
      </c>
      <c r="D9" s="1">
        <f>E9*(1-H9)</f>
        <v>1.7580000000000002</v>
      </c>
      <c r="E9" s="1">
        <f>Error_Calculation!$N$9*Component_Selection!E84*0.001</f>
        <v>2</v>
      </c>
      <c r="F9" s="1">
        <f>E9*(1+H9)</f>
        <v>2.242</v>
      </c>
      <c r="G9" s="18" t="s">
        <v>13</v>
      </c>
      <c r="H9" s="19">
        <f>Component_Selection!F84+Error_Calculation!Q9</f>
        <v>0.12099999999999993</v>
      </c>
      <c r="L9" s="35" t="s">
        <v>209</v>
      </c>
      <c r="M9" s="36">
        <v>9</v>
      </c>
      <c r="N9" s="36">
        <v>10</v>
      </c>
      <c r="O9" s="36">
        <v>11.2</v>
      </c>
      <c r="P9" s="18" t="s">
        <v>158</v>
      </c>
      <c r="Q9" s="21">
        <f t="shared" si="0"/>
        <v>0.11999999999999993</v>
      </c>
    </row>
    <row r="10" spans="3:17">
      <c r="C10" s="17" t="s">
        <v>95</v>
      </c>
      <c r="D10" s="1">
        <f>D8-F9</f>
        <v>31.290668874172187</v>
      </c>
      <c r="E10" s="1">
        <f>E8-E9</f>
        <v>32.11258278145695</v>
      </c>
      <c r="F10" s="1">
        <f>F8-D9</f>
        <v>32.93449668874171</v>
      </c>
      <c r="G10" s="18" t="s">
        <v>13</v>
      </c>
      <c r="H10" s="19" t="s">
        <v>210</v>
      </c>
      <c r="L10" s="37" t="s">
        <v>211</v>
      </c>
      <c r="M10" s="4">
        <v>9</v>
      </c>
      <c r="N10" s="4">
        <v>10</v>
      </c>
      <c r="O10" s="4">
        <v>11.2</v>
      </c>
      <c r="P10" s="38" t="s">
        <v>158</v>
      </c>
      <c r="Q10" s="21">
        <f t="shared" si="0"/>
        <v>0.11999999999999993</v>
      </c>
    </row>
    <row r="11" spans="3:17">
      <c r="C11" s="17" t="s">
        <v>96</v>
      </c>
      <c r="D11" s="1" t="e">
        <f>E11*(1-H11)</f>
        <v>#DIV/0!</v>
      </c>
      <c r="E11" s="1" t="e">
        <f>(Component_Selection!E86+Component_Selection!E87)/Component_Selection!E87*Error_Calculation!$N$7</f>
        <v>#DIV/0!</v>
      </c>
      <c r="F11" s="1" t="e">
        <f>E11*(1+H11)</f>
        <v>#DIV/0!</v>
      </c>
      <c r="G11" s="18" t="s">
        <v>13</v>
      </c>
      <c r="H11" s="19">
        <f>Component_Selection!F86+Component_Selection!F87+Error_Calculation!Q8</f>
        <v>2.200000000000002E-2</v>
      </c>
      <c r="L11" s="35" t="s">
        <v>212</v>
      </c>
      <c r="M11" s="36">
        <v>1.47</v>
      </c>
      <c r="N11" s="36">
        <v>1.5</v>
      </c>
      <c r="O11" s="36">
        <v>1.53</v>
      </c>
      <c r="P11" s="18" t="s">
        <v>13</v>
      </c>
      <c r="Q11" s="21">
        <f t="shared" si="0"/>
        <v>2.0000000000000018E-2</v>
      </c>
    </row>
    <row r="12" spans="3:17">
      <c r="C12" s="17" t="s">
        <v>97</v>
      </c>
      <c r="D12" s="1">
        <f>E12*(1-H12)</f>
        <v>0</v>
      </c>
      <c r="E12" s="1">
        <f>Error_Calculation!$N$9*Component_Selection!E86*0.001</f>
        <v>0</v>
      </c>
      <c r="F12" s="1">
        <f>E12*(1+H12)</f>
        <v>0</v>
      </c>
      <c r="G12" s="18" t="s">
        <v>13</v>
      </c>
      <c r="H12" s="19">
        <f>Component_Selection!F86+Error_Calculation!Q10</f>
        <v>0.12099999999999993</v>
      </c>
      <c r="L12" s="35" t="s">
        <v>213</v>
      </c>
      <c r="M12" s="36">
        <f>0.98*N12</f>
        <v>0.73499999999999999</v>
      </c>
      <c r="N12" s="36">
        <v>0.75</v>
      </c>
      <c r="O12" s="36">
        <f>N12*1.02</f>
        <v>0.76500000000000001</v>
      </c>
      <c r="P12" s="18" t="s">
        <v>13</v>
      </c>
      <c r="Q12" s="21">
        <f t="shared" si="0"/>
        <v>2.0000000000000018E-2</v>
      </c>
    </row>
    <row r="13" spans="3:17">
      <c r="C13" s="17" t="s">
        <v>98</v>
      </c>
      <c r="D13" s="1" t="e">
        <f>D11-F12</f>
        <v>#DIV/0!</v>
      </c>
      <c r="E13" s="1" t="e">
        <f>E11-E12</f>
        <v>#DIV/0!</v>
      </c>
      <c r="F13" s="1" t="e">
        <f>F11-D12</f>
        <v>#DIV/0!</v>
      </c>
      <c r="G13" s="18" t="s">
        <v>13</v>
      </c>
      <c r="H13" s="19" t="s">
        <v>210</v>
      </c>
      <c r="L13" s="39" t="s">
        <v>214</v>
      </c>
      <c r="M13" s="7">
        <v>1.5</v>
      </c>
      <c r="Q13" s="21"/>
    </row>
    <row r="14" spans="3:17">
      <c r="C14" s="17" t="s">
        <v>99</v>
      </c>
      <c r="D14" s="1">
        <f>E14*(1-H14)</f>
        <v>26.504999999999999</v>
      </c>
      <c r="E14" s="1">
        <f>(Component_Selection!E88+Error_Calculation!N17)/Error_Calculation!N17*Error_Calculation!N16</f>
        <v>28.5</v>
      </c>
      <c r="F14" s="1">
        <f>E14*(1+H14)</f>
        <v>30.495000000000001</v>
      </c>
      <c r="G14" s="20" t="s">
        <v>13</v>
      </c>
      <c r="H14" s="21">
        <f>Error_Calculation!Q16+Error_Calculation!Q17</f>
        <v>7.0000000000000021E-2</v>
      </c>
      <c r="L14" s="35" t="s">
        <v>215</v>
      </c>
      <c r="M14" s="36">
        <v>9</v>
      </c>
      <c r="N14" s="36">
        <v>10</v>
      </c>
      <c r="O14" s="36">
        <v>11</v>
      </c>
      <c r="P14" s="18" t="s">
        <v>158</v>
      </c>
      <c r="Q14" s="21">
        <f>(O14-N14)/N14</f>
        <v>0.1</v>
      </c>
    </row>
    <row r="15" spans="3:17">
      <c r="C15" s="17" t="s">
        <v>100</v>
      </c>
      <c r="D15" s="1">
        <f>E15*(1-H15)</f>
        <v>5.1970909090909082E-2</v>
      </c>
      <c r="E15" s="1">
        <f>Component_Selection!F16*Error_Calculation!N22/Component_Selection!E89*0.001</f>
        <v>0.11549090909090909</v>
      </c>
      <c r="F15" s="1">
        <f>E15*(1+H15)</f>
        <v>0.17901090909090908</v>
      </c>
      <c r="G15" s="18" t="s">
        <v>22</v>
      </c>
      <c r="H15" s="19">
        <f>Component_Selection!F89+Error_Calculation!Q22</f>
        <v>0.55000000000000004</v>
      </c>
      <c r="L15" s="37" t="s">
        <v>216</v>
      </c>
      <c r="M15" s="4">
        <v>45</v>
      </c>
      <c r="N15" s="4">
        <v>50</v>
      </c>
      <c r="O15" s="4">
        <v>55</v>
      </c>
      <c r="P15" s="38" t="s">
        <v>158</v>
      </c>
      <c r="Q15" s="21">
        <f>(O15-N15)/N15</f>
        <v>0.1</v>
      </c>
    </row>
    <row r="16" spans="3:17">
      <c r="C16" s="17" t="s">
        <v>101</v>
      </c>
      <c r="D16" s="1">
        <f>E16*(1-H16)</f>
        <v>3.8610000000000002</v>
      </c>
      <c r="E16" s="22">
        <f>Component_Selection!E91*Error_Calculation!N11/Error_Calculation!N14</f>
        <v>4.95</v>
      </c>
      <c r="F16" s="1">
        <f>E16*(1+H16)</f>
        <v>6.0389999999999997</v>
      </c>
      <c r="G16" s="20" t="s">
        <v>53</v>
      </c>
      <c r="H16" s="21">
        <f>Error_Calculation!Q11+Error_Calculation!Q14+Component_Selection!F91</f>
        <v>0.22000000000000003</v>
      </c>
      <c r="L16" s="39" t="s">
        <v>217</v>
      </c>
      <c r="M16" s="36">
        <v>1.47</v>
      </c>
      <c r="N16" s="36">
        <v>1.5</v>
      </c>
      <c r="O16" s="36">
        <v>1.53</v>
      </c>
      <c r="P16" s="20" t="s">
        <v>13</v>
      </c>
      <c r="Q16" s="21">
        <f>(O16-N16)/N16</f>
        <v>2.0000000000000018E-2</v>
      </c>
    </row>
    <row r="17" spans="3:18">
      <c r="C17" s="17" t="s">
        <v>102</v>
      </c>
      <c r="D17" s="1">
        <f>E17*(1-H17)</f>
        <v>1.9305000000000001</v>
      </c>
      <c r="E17" s="22">
        <f>Error_Calculation!N12*Component_Selection!E91/Error_Calculation!N14</f>
        <v>2.4750000000000001</v>
      </c>
      <c r="F17" s="1">
        <f>E17*(1+H17)</f>
        <v>3.0194999999999999</v>
      </c>
      <c r="G17" s="20" t="s">
        <v>53</v>
      </c>
      <c r="H17" s="21">
        <f>Error_Calculation!Q12+Error_Calculation!Q14+Component_Selection!F91</f>
        <v>0.22000000000000003</v>
      </c>
      <c r="L17" s="40" t="s">
        <v>76</v>
      </c>
      <c r="M17" s="4">
        <v>28.5</v>
      </c>
      <c r="N17" s="41">
        <v>30</v>
      </c>
      <c r="O17" s="4">
        <v>31.5</v>
      </c>
      <c r="P17" s="27" t="s">
        <v>72</v>
      </c>
      <c r="Q17" s="21">
        <f>(O17-N17)/N17</f>
        <v>0.05</v>
      </c>
    </row>
    <row r="18" spans="3:18">
      <c r="C18" s="23" t="s">
        <v>103</v>
      </c>
      <c r="D18" s="1">
        <f>E18*(1-H18)</f>
        <v>0.3861</v>
      </c>
      <c r="E18" s="22">
        <f>Component_Selection!E91*Error_Calculation!N12/Error_Calculation!N15</f>
        <v>0.495</v>
      </c>
      <c r="F18" s="1">
        <f>E18*(1+H18)</f>
        <v>0.60389999999999999</v>
      </c>
      <c r="G18" s="20" t="s">
        <v>53</v>
      </c>
      <c r="H18" s="21">
        <f>Error_Calculation!Q12+Error_Calculation!Q15+Component_Selection!F91</f>
        <v>0.22000000000000003</v>
      </c>
      <c r="L18" s="39"/>
      <c r="M18" s="36"/>
      <c r="N18" s="7"/>
      <c r="O18" s="36"/>
      <c r="P18" s="20"/>
      <c r="Q18" s="21"/>
    </row>
    <row r="19" spans="3:18">
      <c r="C19" s="12" t="s">
        <v>218</v>
      </c>
      <c r="D19" s="13" t="s">
        <v>6</v>
      </c>
      <c r="E19" s="13" t="s">
        <v>7</v>
      </c>
      <c r="F19" s="14" t="s">
        <v>8</v>
      </c>
      <c r="G19" s="15"/>
      <c r="H19" s="16" t="s">
        <v>88</v>
      </c>
      <c r="L19" s="39" t="s">
        <v>219</v>
      </c>
      <c r="M19" s="7">
        <v>2</v>
      </c>
      <c r="N19" s="7">
        <v>3</v>
      </c>
      <c r="O19" s="7">
        <v>4</v>
      </c>
      <c r="P19" s="20" t="s">
        <v>20</v>
      </c>
      <c r="Q19" s="21">
        <f>(O19-N19)/N19</f>
        <v>0.33333333333333331</v>
      </c>
    </row>
    <row r="20" spans="3:18">
      <c r="C20" s="17" t="s">
        <v>91</v>
      </c>
      <c r="D20" s="1">
        <f>E20*(1-H20)</f>
        <v>19.175378874876468</v>
      </c>
      <c r="E20" s="1">
        <f>H2/Component_Selection!E83</f>
        <v>20</v>
      </c>
      <c r="F20" s="1">
        <f>E20*(1+H20)</f>
        <v>20.824621125123532</v>
      </c>
      <c r="G20" s="18" t="s">
        <v>22</v>
      </c>
      <c r="H20" s="19">
        <f>SQRT(Error_Calculation!Q20^2+Component_Selection!F83^2)</f>
        <v>4.123105625617661E-2</v>
      </c>
      <c r="L20" s="39" t="s">
        <v>204</v>
      </c>
      <c r="M20" s="7">
        <v>24</v>
      </c>
      <c r="N20" s="7">
        <v>25</v>
      </c>
      <c r="O20" s="7">
        <v>26</v>
      </c>
      <c r="P20" s="20" t="s">
        <v>20</v>
      </c>
      <c r="Q20" s="21">
        <f>(O20-N20)/N20</f>
        <v>0.04</v>
      </c>
    </row>
    <row r="21" spans="3:18">
      <c r="C21" s="17" t="s">
        <v>92</v>
      </c>
      <c r="D21" s="1">
        <f>E21*(1-H21)</f>
        <v>0.9997750506022316</v>
      </c>
      <c r="E21" s="1">
        <f>Error_Calculation!N19/Component_Selection!E83</f>
        <v>1.5</v>
      </c>
      <c r="F21" s="1">
        <f>E21*(1+H21)</f>
        <v>2.0002249493977686</v>
      </c>
      <c r="G21" s="18" t="s">
        <v>22</v>
      </c>
      <c r="H21" s="19">
        <f>SQRT(Error_Calculation!Q19^2+Component_Selection!F83^2)</f>
        <v>0.33348329959851231</v>
      </c>
      <c r="L21" s="39" t="s">
        <v>204</v>
      </c>
      <c r="M21" s="7">
        <v>38.4</v>
      </c>
      <c r="N21" s="7">
        <v>40</v>
      </c>
      <c r="O21" s="7">
        <v>41.6</v>
      </c>
      <c r="P21" s="20" t="s">
        <v>20</v>
      </c>
      <c r="Q21" s="21">
        <f>(O21-N21)/N21</f>
        <v>4.0000000000000036E-2</v>
      </c>
    </row>
    <row r="22" spans="3:18">
      <c r="C22" s="17" t="s">
        <v>93</v>
      </c>
      <c r="D22" s="1">
        <f>E22*(1-H22)</f>
        <v>33.598624898928691</v>
      </c>
      <c r="E22" s="1">
        <f>(Component_Selection!E84+Component_Selection!E85)/Component_Selection!E85*Error_Calculation!$N$7</f>
        <v>34.11258278145695</v>
      </c>
      <c r="F22" s="1">
        <f>E22*(1+H22)</f>
        <v>34.62654066398521</v>
      </c>
      <c r="G22" s="18" t="s">
        <v>13</v>
      </c>
      <c r="H22" s="19">
        <f>SQRT(Component_Selection!F84^2+Component_Selection!F85^2+Error_Calculation!Q7^2)</f>
        <v>1.5066519173319266E-2</v>
      </c>
      <c r="L22" s="39" t="s">
        <v>220</v>
      </c>
      <c r="M22" s="7">
        <v>15</v>
      </c>
      <c r="N22" s="7">
        <v>20</v>
      </c>
      <c r="O22" s="7">
        <v>25</v>
      </c>
      <c r="P22" s="20" t="s">
        <v>158</v>
      </c>
      <c r="Q22" s="21">
        <f>(O22-N22)/N22</f>
        <v>0.25</v>
      </c>
    </row>
    <row r="23" spans="3:18">
      <c r="C23" s="17" t="s">
        <v>94</v>
      </c>
      <c r="D23" s="1">
        <f>E23*(1-H23)</f>
        <v>1.7599916668113378</v>
      </c>
      <c r="E23" s="1">
        <f>Error_Calculation!$N$9*Component_Selection!E84*0.001</f>
        <v>2</v>
      </c>
      <c r="F23" s="1">
        <f>E23*(1+H23)</f>
        <v>2.2400083331886624</v>
      </c>
      <c r="G23" s="18" t="s">
        <v>13</v>
      </c>
      <c r="H23" s="19">
        <f>SQRT(Component_Selection!F84^2+Error_Calculation!Q9^2)</f>
        <v>0.12000416659433114</v>
      </c>
      <c r="L23" s="39" t="s">
        <v>221</v>
      </c>
      <c r="N23" s="7">
        <v>400</v>
      </c>
      <c r="P23" s="20" t="s">
        <v>158</v>
      </c>
      <c r="Q23" s="21"/>
    </row>
    <row r="24" spans="3:18">
      <c r="C24" s="17" t="s">
        <v>95</v>
      </c>
      <c r="D24" s="1">
        <f>D22-F23</f>
        <v>31.358616565740029</v>
      </c>
      <c r="E24" s="1">
        <f>E22-E23</f>
        <v>32.11258278145695</v>
      </c>
      <c r="F24" s="1">
        <f>F22-D23</f>
        <v>32.866548997173872</v>
      </c>
      <c r="G24" s="18" t="s">
        <v>13</v>
      </c>
      <c r="H24" s="19" t="s">
        <v>210</v>
      </c>
      <c r="L24" s="39"/>
      <c r="N24" s="7"/>
      <c r="P24" s="20"/>
      <c r="Q24" s="21"/>
    </row>
    <row r="25" spans="3:18">
      <c r="C25" s="17" t="s">
        <v>96</v>
      </c>
      <c r="D25" s="1" t="e">
        <f>E25*(1-H25)</f>
        <v>#DIV/0!</v>
      </c>
      <c r="E25" s="1" t="e">
        <f>(Component_Selection!E86+Component_Selection!E87)/Component_Selection!E87*Error_Calculation!$N$7</f>
        <v>#DIV/0!</v>
      </c>
      <c r="F25" s="1" t="e">
        <f>E25*(1+H25)</f>
        <v>#DIV/0!</v>
      </c>
      <c r="G25" s="18" t="s">
        <v>13</v>
      </c>
      <c r="H25" s="19">
        <f>SQRT(Component_Selection!F86^2+Component_Selection!F87^2+Error_Calculation!Q8^2)</f>
        <v>2.004993765576344E-2</v>
      </c>
      <c r="L25" s="39" t="s">
        <v>222</v>
      </c>
      <c r="N25" s="7"/>
      <c r="O25">
        <v>1.1000000000000001</v>
      </c>
      <c r="P25" s="20" t="s">
        <v>223</v>
      </c>
      <c r="Q25" s="21"/>
    </row>
    <row r="26" spans="3:18">
      <c r="C26" s="17" t="s">
        <v>97</v>
      </c>
      <c r="D26" s="1">
        <f>E26*(1-H26)</f>
        <v>0</v>
      </c>
      <c r="E26" s="1">
        <f>Error_Calculation!$N$9*Component_Selection!E86*0.001</f>
        <v>0</v>
      </c>
      <c r="F26" s="1">
        <f>E26*(1+H26)</f>
        <v>0</v>
      </c>
      <c r="G26" s="18" t="s">
        <v>13</v>
      </c>
      <c r="H26" s="19">
        <f>SQRT(Component_Selection!F86^2+Error_Calculation!Q10^2)</f>
        <v>0.12000416659433114</v>
      </c>
      <c r="L26" s="39" t="s">
        <v>224</v>
      </c>
      <c r="M26">
        <v>10</v>
      </c>
      <c r="N26" s="7">
        <v>14.5</v>
      </c>
      <c r="P26" s="20"/>
      <c r="Q26" s="21"/>
    </row>
    <row r="27" spans="3:18">
      <c r="C27" s="17" t="s">
        <v>98</v>
      </c>
      <c r="D27" s="1" t="e">
        <f>D25-F26</f>
        <v>#DIV/0!</v>
      </c>
      <c r="E27" s="1" t="e">
        <f>E25-E26</f>
        <v>#DIV/0!</v>
      </c>
      <c r="F27" s="1" t="e">
        <f>F25-D26</f>
        <v>#DIV/0!</v>
      </c>
      <c r="G27" s="18" t="s">
        <v>13</v>
      </c>
      <c r="H27" s="19" t="s">
        <v>210</v>
      </c>
      <c r="L27" s="39"/>
      <c r="M27" s="7"/>
      <c r="N27" s="7"/>
      <c r="O27" s="7"/>
      <c r="P27" s="20"/>
      <c r="Q27" s="21"/>
    </row>
    <row r="28" spans="3:18">
      <c r="C28" s="17" t="s">
        <v>99</v>
      </c>
      <c r="D28" s="1">
        <f>E28*(1-H28)</f>
        <v>26.965228029966667</v>
      </c>
      <c r="E28" s="1">
        <f>(Component_Selection!E88+Error_Calculation!N17)/Error_Calculation!N17*Error_Calculation!N16</f>
        <v>28.5</v>
      </c>
      <c r="F28" s="1">
        <f>E28*(1+H28)</f>
        <v>30.034771970033336</v>
      </c>
      <c r="G28" s="20" t="s">
        <v>13</v>
      </c>
      <c r="H28" s="21">
        <f>SQRT(Error_Calculation!Q16^2+Error_Calculation!Q17^2)</f>
        <v>5.385164807134505E-2</v>
      </c>
      <c r="L28" s="42"/>
      <c r="M28" s="7"/>
      <c r="N28" s="7"/>
      <c r="O28" s="7"/>
      <c r="P28" s="7"/>
      <c r="Q28" s="21"/>
      <c r="R28">
        <f>(33-10)/(1.1*1.2)</f>
        <v>17.424242424242422</v>
      </c>
    </row>
    <row r="29" spans="3:18">
      <c r="C29" s="17" t="s">
        <v>100</v>
      </c>
      <c r="D29" s="1">
        <f>E29*(1-H29)</f>
        <v>7.0390267326037217E-2</v>
      </c>
      <c r="E29" s="1">
        <f>Component_Selection!F16*Error_Calculation!N22/Component_Selection!E89*0.001</f>
        <v>0.11549090909090909</v>
      </c>
      <c r="F29" s="1">
        <f>E29*(1+H29)</f>
        <v>0.16059155085578097</v>
      </c>
      <c r="G29" s="18" t="s">
        <v>22</v>
      </c>
      <c r="H29" s="19">
        <f>SQRT(Component_Selection!F89^2+Error_Calculation!Q22^2)</f>
        <v>0.39051248379533271</v>
      </c>
      <c r="L29" s="42" t="s">
        <v>160</v>
      </c>
      <c r="M29" s="7"/>
      <c r="N29" s="7"/>
      <c r="O29" s="7">
        <v>1</v>
      </c>
      <c r="P29" s="7" t="s">
        <v>161</v>
      </c>
    </row>
    <row r="30" spans="3:18">
      <c r="C30" s="17" t="s">
        <v>101</v>
      </c>
      <c r="D30" s="1">
        <f>E30*(1-H30)</f>
        <v>4.2429985855742576</v>
      </c>
      <c r="E30" s="22">
        <f>Component_Selection!E91*Error_Calculation!N11/Error_Calculation!N14</f>
        <v>4.95</v>
      </c>
      <c r="F30" s="1">
        <f>E30*(1+H30)</f>
        <v>5.6570014144257428</v>
      </c>
      <c r="G30" s="20" t="s">
        <v>53</v>
      </c>
      <c r="H30" s="21">
        <f>SQRT(Error_Calculation!Q11^2+Error_Calculation!Q14^2+Component_Selection!F91^2)</f>
        <v>0.14282856857085702</v>
      </c>
    </row>
    <row r="31" spans="3:18">
      <c r="C31" s="17" t="s">
        <v>102</v>
      </c>
      <c r="D31" s="1">
        <f>E31*(1-H31)</f>
        <v>2.1214992927871288</v>
      </c>
      <c r="E31" s="22">
        <f>Error_Calculation!N12*Component_Selection!E91/Error_Calculation!N14</f>
        <v>2.4750000000000001</v>
      </c>
      <c r="F31" s="1">
        <f>E31*(1+H31)</f>
        <v>2.8285007072128714</v>
      </c>
      <c r="G31" s="20" t="s">
        <v>53</v>
      </c>
      <c r="H31" s="21">
        <f>SQRT(Error_Calculation!Q12^2+Error_Calculation!Q14^2+Component_Selection!F91^2)</f>
        <v>0.14282856857085702</v>
      </c>
    </row>
    <row r="32" spans="3:18">
      <c r="C32" s="24" t="s">
        <v>103</v>
      </c>
      <c r="D32" s="25">
        <f>E32*(1-H32)</f>
        <v>0.42429985855742575</v>
      </c>
      <c r="E32" s="26">
        <f>Component_Selection!E91*Error_Calculation!N12/Error_Calculation!N15</f>
        <v>0.495</v>
      </c>
      <c r="F32" s="25">
        <f>E32*(1+H32)</f>
        <v>0.56570014144257419</v>
      </c>
      <c r="G32" s="27" t="s">
        <v>53</v>
      </c>
      <c r="H32" s="28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3:V38"/>
  <sheetViews>
    <sheetView zoomScale="70" zoomScaleNormal="70" workbookViewId="0">
      <selection activeCell="D12" sqref="D12"/>
    </sheetView>
  </sheetViews>
  <sheetFormatPr defaultColWidth="9" defaultRowHeight="14.5"/>
  <cols>
    <col min="3" max="3" width="11.6328125" customWidth="1"/>
    <col min="5" max="5" width="12.08984375" customWidth="1"/>
  </cols>
  <sheetData>
    <row r="3" spans="2:22">
      <c r="B3" s="173" t="s">
        <v>225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</row>
    <row r="4" spans="2:22"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</row>
    <row r="6" spans="2:22">
      <c r="C6" t="s">
        <v>22</v>
      </c>
      <c r="D6">
        <v>20</v>
      </c>
      <c r="E6" t="s">
        <v>150</v>
      </c>
    </row>
    <row r="7" spans="2:22">
      <c r="C7" t="s">
        <v>155</v>
      </c>
      <c r="D7">
        <v>30</v>
      </c>
      <c r="E7" t="s">
        <v>34</v>
      </c>
    </row>
    <row r="8" spans="2:22">
      <c r="C8" t="s">
        <v>156</v>
      </c>
      <c r="D8">
        <v>130</v>
      </c>
      <c r="E8" t="s">
        <v>34</v>
      </c>
    </row>
    <row r="9" spans="2:22">
      <c r="C9" t="s">
        <v>157</v>
      </c>
      <c r="D9">
        <v>20</v>
      </c>
      <c r="E9" t="s">
        <v>158</v>
      </c>
    </row>
    <row r="10" spans="2:22">
      <c r="C10" t="s">
        <v>135</v>
      </c>
      <c r="D10">
        <v>1.5</v>
      </c>
      <c r="E10" t="s">
        <v>22</v>
      </c>
    </row>
    <row r="11" spans="2:22">
      <c r="C11" t="s">
        <v>160</v>
      </c>
      <c r="D11">
        <v>1</v>
      </c>
      <c r="E11" t="s">
        <v>161</v>
      </c>
    </row>
    <row r="12" spans="2:22">
      <c r="C12" t="s">
        <v>226</v>
      </c>
      <c r="D12">
        <v>60</v>
      </c>
      <c r="E12" t="s">
        <v>13</v>
      </c>
    </row>
    <row r="14" spans="2:22">
      <c r="B14" t="s">
        <v>165</v>
      </c>
      <c r="C14" s="11" t="s">
        <v>227</v>
      </c>
      <c r="D14" s="11" t="s">
        <v>228</v>
      </c>
      <c r="E14" s="11" t="s">
        <v>229</v>
      </c>
      <c r="F14" s="11" t="s">
        <v>230</v>
      </c>
      <c r="G14" s="11" t="s">
        <v>231</v>
      </c>
      <c r="H14" s="11" t="s">
        <v>232</v>
      </c>
      <c r="I14" s="11" t="s">
        <v>233</v>
      </c>
      <c r="J14" s="11" t="s">
        <v>234</v>
      </c>
      <c r="K14" s="11" t="s">
        <v>235</v>
      </c>
      <c r="L14" s="11" t="s">
        <v>236</v>
      </c>
    </row>
    <row r="15" spans="2:22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:I18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>
      <c r="B17">
        <f t="shared" ref="B17:B31" si="8">(D17-D16)/(C17-C16)</f>
        <v>0.23777641052193541</v>
      </c>
      <c r="C17">
        <f t="shared" ref="C17:C31" si="9">I17/$D$9</f>
        <v>0.91782032302755101</v>
      </c>
      <c r="D17">
        <f t="shared" ref="D17:D31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 t="shared" si="5"/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 t="shared" si="5"/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>
      <c r="B31">
        <f t="shared" si="8"/>
        <v>0.4292454712005726</v>
      </c>
      <c r="C31">
        <f t="shared" si="9"/>
        <v>3.7595917942265418</v>
      </c>
      <c r="D31">
        <f t="shared" si="10"/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>
      <c r="K37" t="s">
        <v>237</v>
      </c>
      <c r="L37">
        <f>SUM(L16:L35)</f>
        <v>164.73573026068942</v>
      </c>
      <c r="M37" t="s">
        <v>238</v>
      </c>
    </row>
    <row r="38" spans="2:13">
      <c r="K38" t="s">
        <v>239</v>
      </c>
      <c r="L38">
        <f>L37/(D10*D12)</f>
        <v>1.8303970028965491</v>
      </c>
      <c r="M38" t="s">
        <v>53</v>
      </c>
    </row>
  </sheetData>
  <mergeCells count="1">
    <mergeCell ref="B3:V4"/>
  </mergeCells>
  <pageMargins left="0.7" right="0.7" top="0.75" bottom="0.75" header="0.3" footer="0.3"/>
  <pageSetup orientation="portrait" horizontalDpi="1200" verticalDpi="12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E2:I22"/>
  <sheetViews>
    <sheetView topLeftCell="B25" zoomScale="145" zoomScaleNormal="145" workbookViewId="0">
      <selection activeCell="H32" sqref="H32"/>
    </sheetView>
  </sheetViews>
  <sheetFormatPr defaultColWidth="9" defaultRowHeight="14.5"/>
  <cols>
    <col min="5" max="5" width="10.1796875" customWidth="1"/>
  </cols>
  <sheetData>
    <row r="2" spans="5:9">
      <c r="E2" t="s">
        <v>240</v>
      </c>
      <c r="F2">
        <f>Component_Selection!F15</f>
        <v>57</v>
      </c>
      <c r="G2" t="s">
        <v>13</v>
      </c>
    </row>
    <row r="3" spans="5:9">
      <c r="E3" t="s">
        <v>241</v>
      </c>
      <c r="F3">
        <f>Component_Selection!F16</f>
        <v>190.56</v>
      </c>
      <c r="G3" t="s">
        <v>15</v>
      </c>
    </row>
    <row r="4" spans="5:9">
      <c r="E4" t="s">
        <v>242</v>
      </c>
      <c r="F4">
        <f>SOA_Checks!D27</f>
        <v>0.11549090909090909</v>
      </c>
      <c r="G4" t="s">
        <v>22</v>
      </c>
      <c r="H4" t="s">
        <v>243</v>
      </c>
    </row>
    <row r="6" spans="5:9">
      <c r="E6" t="s">
        <v>196</v>
      </c>
      <c r="F6" t="s">
        <v>244</v>
      </c>
      <c r="G6" t="s">
        <v>234</v>
      </c>
      <c r="H6" t="s">
        <v>245</v>
      </c>
      <c r="I6" t="s">
        <v>246</v>
      </c>
    </row>
    <row r="7" spans="5:9">
      <c r="E7">
        <v>0</v>
      </c>
      <c r="F7">
        <v>0</v>
      </c>
      <c r="G7">
        <f>F2</f>
        <v>57</v>
      </c>
      <c r="H7">
        <f>G7*F7</f>
        <v>0</v>
      </c>
      <c r="I7">
        <v>0</v>
      </c>
    </row>
    <row r="8" spans="5:9">
      <c r="E8">
        <v>10</v>
      </c>
      <c r="F8">
        <v>0</v>
      </c>
      <c r="G8">
        <f>G7</f>
        <v>57</v>
      </c>
      <c r="H8">
        <f t="shared" ref="H8:H14" si="0">G8*F8</f>
        <v>0</v>
      </c>
      <c r="I8">
        <v>0</v>
      </c>
    </row>
    <row r="9" spans="5:9">
      <c r="E9">
        <f>E8+0.01</f>
        <v>10.01</v>
      </c>
      <c r="F9">
        <f>$F$4</f>
        <v>0.11549090909090909</v>
      </c>
      <c r="G9">
        <f>G8</f>
        <v>57</v>
      </c>
      <c r="H9">
        <f t="shared" si="0"/>
        <v>6.5829818181818176</v>
      </c>
      <c r="I9">
        <f>H9</f>
        <v>6.5829818181818176</v>
      </c>
    </row>
    <row r="10" spans="5:9">
      <c r="E10">
        <f>AVERAGE(E9,E12)</f>
        <v>57.035000000000004</v>
      </c>
      <c r="F10">
        <f>F9</f>
        <v>0.11549090909090909</v>
      </c>
      <c r="G10">
        <v>30</v>
      </c>
      <c r="H10">
        <f t="shared" si="0"/>
        <v>3.4647272727272727</v>
      </c>
      <c r="I10">
        <f>I9</f>
        <v>6.5829818181818176</v>
      </c>
    </row>
    <row r="11" spans="5:9">
      <c r="E11">
        <f>E10+0.01</f>
        <v>57.045000000000002</v>
      </c>
      <c r="F11">
        <f>F10</f>
        <v>0.11549090909090909</v>
      </c>
      <c r="G11">
        <f>G10</f>
        <v>30</v>
      </c>
      <c r="H11">
        <f t="shared" si="0"/>
        <v>3.4647272727272727</v>
      </c>
      <c r="I11">
        <v>0</v>
      </c>
    </row>
    <row r="12" spans="5:9">
      <c r="E12">
        <f>E9+F3*F2/F12/1000</f>
        <v>104.06</v>
      </c>
      <c r="F12">
        <f>F10</f>
        <v>0.11549090909090909</v>
      </c>
      <c r="G12">
        <v>0</v>
      </c>
      <c r="H12">
        <f t="shared" si="0"/>
        <v>0</v>
      </c>
      <c r="I12">
        <v>0</v>
      </c>
    </row>
    <row r="13" spans="5:9">
      <c r="E13">
        <f>E12+0.01</f>
        <v>104.07000000000001</v>
      </c>
      <c r="F13">
        <v>0</v>
      </c>
      <c r="G13">
        <v>0</v>
      </c>
      <c r="H13">
        <f t="shared" si="0"/>
        <v>0</v>
      </c>
      <c r="I13">
        <v>0</v>
      </c>
    </row>
    <row r="14" spans="5:9">
      <c r="E14">
        <f>E13+10</f>
        <v>114.07000000000001</v>
      </c>
      <c r="F14">
        <f>F13</f>
        <v>0</v>
      </c>
      <c r="G14">
        <f>G13</f>
        <v>0</v>
      </c>
      <c r="H14">
        <f t="shared" si="0"/>
        <v>0</v>
      </c>
      <c r="I14">
        <v>0</v>
      </c>
    </row>
    <row r="18" spans="7:8">
      <c r="G18" t="s">
        <v>234</v>
      </c>
      <c r="H18" t="s">
        <v>135</v>
      </c>
    </row>
    <row r="19" spans="7:8">
      <c r="G19">
        <v>1</v>
      </c>
      <c r="H19" s="1">
        <f>SOA_Checks!E10</f>
        <v>20</v>
      </c>
    </row>
    <row r="20" spans="7:8">
      <c r="G20" s="1">
        <f>SOA_Checks!E5</f>
        <v>28.5</v>
      </c>
      <c r="H20" s="1">
        <f>H19</f>
        <v>20</v>
      </c>
    </row>
    <row r="21" spans="7:8">
      <c r="G21" s="1">
        <f>G20+0.01</f>
        <v>28.51</v>
      </c>
      <c r="H21" s="1">
        <f>SOA_Checks!E11</f>
        <v>1.5</v>
      </c>
    </row>
    <row r="22" spans="7:8">
      <c r="G22">
        <v>100</v>
      </c>
      <c r="H22" s="1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3:I26"/>
  <sheetViews>
    <sheetView zoomScale="115" zoomScaleNormal="115" workbookViewId="0">
      <selection activeCell="A22" sqref="A22"/>
    </sheetView>
  </sheetViews>
  <sheetFormatPr defaultColWidth="9" defaultRowHeight="14.5"/>
  <sheetData>
    <row r="3" spans="2:9">
      <c r="C3" t="s">
        <v>22</v>
      </c>
      <c r="D3" s="1">
        <f>BrownOut!C10/BrownOut!C15</f>
        <v>7.9400000000000009E-3</v>
      </c>
      <c r="E3" s="2" t="s">
        <v>247</v>
      </c>
      <c r="F3" t="s">
        <v>248</v>
      </c>
    </row>
    <row r="4" spans="2:9">
      <c r="C4" t="s">
        <v>249</v>
      </c>
      <c r="D4" s="1">
        <f>BrownOut!C11/BrownOut!C15</f>
        <v>7.5</v>
      </c>
      <c r="E4" s="2" t="s">
        <v>13</v>
      </c>
      <c r="F4" t="s">
        <v>250</v>
      </c>
    </row>
    <row r="5" spans="2:9">
      <c r="C5" t="s">
        <v>251</v>
      </c>
      <c r="D5" s="1">
        <f>D3*(BrownOut!C6-BrownOut!C17)+D3*D4*LN((BrownOut!C6-D4)/(BrownOut!C17-D4))</f>
        <v>0.21545430531939141</v>
      </c>
      <c r="E5" s="2" t="s">
        <v>53</v>
      </c>
      <c r="F5" t="s">
        <v>252</v>
      </c>
    </row>
    <row r="6" spans="2:9">
      <c r="C6" t="s">
        <v>253</v>
      </c>
      <c r="D6" s="1">
        <f>AVERAGE(BrownOut!C17,BrownOut!C6)</f>
        <v>42.874031833465438</v>
      </c>
      <c r="E6" s="2" t="s">
        <v>13</v>
      </c>
    </row>
    <row r="7" spans="2:9">
      <c r="C7" t="s">
        <v>254</v>
      </c>
      <c r="D7" s="1">
        <f>D3*(D6-BrownOut!C17)+D3*D4*LN((D6-D4)/(BrownOut!C17-D4))</f>
        <v>0.11082872198347481</v>
      </c>
      <c r="E7" s="2" t="s">
        <v>53</v>
      </c>
    </row>
    <row r="8" spans="2:9">
      <c r="E8" s="3"/>
    </row>
    <row r="9" spans="2:9">
      <c r="E9" s="3"/>
    </row>
    <row r="10" spans="2:9">
      <c r="C10" s="4" t="s">
        <v>196</v>
      </c>
      <c r="D10" s="5" t="s">
        <v>255</v>
      </c>
      <c r="E10" s="6" t="s">
        <v>256</v>
      </c>
      <c r="F10" s="7" t="s">
        <v>257</v>
      </c>
      <c r="G10" s="7" t="s">
        <v>258</v>
      </c>
    </row>
    <row r="11" spans="2:9">
      <c r="C11">
        <v>0</v>
      </c>
      <c r="D11" s="8">
        <f>BrownOut!$C$3</f>
        <v>54</v>
      </c>
      <c r="E11" s="3">
        <f>BrownOut!$C$3</f>
        <v>54</v>
      </c>
      <c r="F11">
        <f>IF(D11=E11,G11,IF(E11&gt;D11,0,BrownOut!$C$15))</f>
        <v>2.7777777777777777</v>
      </c>
      <c r="G11" s="1">
        <f>BrownOut!$C$11/E11</f>
        <v>2.7777777777777777</v>
      </c>
    </row>
    <row r="12" spans="2:9">
      <c r="C12">
        <v>2.5</v>
      </c>
      <c r="D12" s="8">
        <f>BrownOut!$C$3</f>
        <v>54</v>
      </c>
      <c r="E12" s="3">
        <f>BrownOut!$C$3</f>
        <v>54</v>
      </c>
      <c r="F12">
        <f>IF(D12=E12,G12,IF(E12&gt;D12,0,BrownOut!$C$15))</f>
        <v>2.7777777777777777</v>
      </c>
      <c r="G12" s="1">
        <f>BrownOut!$C$11/E12</f>
        <v>2.7777777777777777</v>
      </c>
    </row>
    <row r="13" spans="2:9">
      <c r="B13" s="9" t="s">
        <v>259</v>
      </c>
      <c r="C13">
        <f>C12+0.01</f>
        <v>2.5099999999999998</v>
      </c>
      <c r="D13" s="8">
        <f>BrownOut!$C$4</f>
        <v>10</v>
      </c>
      <c r="E13" s="3">
        <f>BrownOut!$C$3</f>
        <v>54</v>
      </c>
      <c r="F13">
        <f>IF(D13=E13,G13,IF(E13&gt;D13,0,BrownOut!$C$15))</f>
        <v>0</v>
      </c>
      <c r="G13" s="1">
        <f>BrownOut!$C$11/E13</f>
        <v>2.7777777777777777</v>
      </c>
    </row>
    <row r="14" spans="2:9">
      <c r="C14">
        <f>C13+BrownOut!$C$5/4</f>
        <v>2.76</v>
      </c>
      <c r="D14" s="8">
        <f>BrownOut!$C$4</f>
        <v>10</v>
      </c>
      <c r="E14" s="10">
        <f>SQRT(E13^2-2*(C14-C13)*BrownOut!$C$11*(1+BrownOut!$C$12)/BrownOut!$C$14)-BrownOut!$C$8*BrownOut!$C$9/BrownOut!$C$14</f>
        <v>49.386079887452844</v>
      </c>
      <c r="F14">
        <f>IF(D14=E14,G14,IF(E14&gt;D14,0,BrownOut!$C$15))</f>
        <v>0</v>
      </c>
      <c r="G14" s="1">
        <f>BrownOut!$C$11/E14</f>
        <v>3.037293106515818</v>
      </c>
      <c r="I14" t="s">
        <v>260</v>
      </c>
    </row>
    <row r="15" spans="2:9">
      <c r="C15">
        <f>C14+BrownOut!$C$5/4</f>
        <v>3.01</v>
      </c>
      <c r="D15" s="8">
        <f>BrownOut!$C$4</f>
        <v>10</v>
      </c>
      <c r="E15" s="10">
        <f>SQRT(E14^2-2*(C15-C14)*BrownOut!$C$11*(1+BrownOut!$C$12)/BrownOut!$C$14)</f>
        <v>44.294127977642233</v>
      </c>
      <c r="F15">
        <f>IF(D15=E15,G15,IF(E15&gt;D15,0,BrownOut!$C$15))</f>
        <v>0</v>
      </c>
      <c r="G15" s="1">
        <f>BrownOut!$C$11/E15</f>
        <v>3.3864533934546253</v>
      </c>
    </row>
    <row r="16" spans="2:9">
      <c r="C16">
        <f>C15+BrownOut!$C$5/4</f>
        <v>3.26</v>
      </c>
      <c r="D16" s="8">
        <f>BrownOut!$C$4</f>
        <v>10</v>
      </c>
      <c r="E16" s="10">
        <f>SQRT(E15^2-2*(C16-C15)*BrownOut!$C$11*(1+BrownOut!$C$12)/BrownOut!$C$14)</f>
        <v>38.535109445149139</v>
      </c>
      <c r="F16">
        <f>IF(D16=E16,G16,IF(E16&gt;D16,0,BrownOut!$C$15))</f>
        <v>0</v>
      </c>
      <c r="G16" s="1">
        <f>BrownOut!$C$11/E16</f>
        <v>3.8925541450325953</v>
      </c>
    </row>
    <row r="17" spans="2:7">
      <c r="B17" s="9" t="s">
        <v>261</v>
      </c>
      <c r="C17">
        <f>C13+BrownOut!C5</f>
        <v>3.51</v>
      </c>
      <c r="D17" s="8">
        <f>BrownOut!$C$4</f>
        <v>10</v>
      </c>
      <c r="E17" s="10">
        <f>SQRT(E16^2-2*(C17-C16)*BrownOut!$C$11*(1+BrownOut!$C$12)/BrownOut!$C$14)</f>
        <v>31.748063666930879</v>
      </c>
      <c r="F17">
        <f>IF(D17=E17,G17,IF(E17&gt;D17,0,BrownOut!$C$15))</f>
        <v>0</v>
      </c>
      <c r="G17" s="1">
        <f>BrownOut!$C$11/E17</f>
        <v>4.7246975933288677</v>
      </c>
    </row>
    <row r="18" spans="2:7">
      <c r="B18" s="9" t="s">
        <v>262</v>
      </c>
      <c r="C18">
        <f>C17+0.001</f>
        <v>3.5109999999999997</v>
      </c>
      <c r="D18" s="8">
        <f>BrownOut!$C$6</f>
        <v>54</v>
      </c>
      <c r="E18" s="10">
        <f>SQRT(E17^2-2*(C18-C17)*BrownOut!$C$11*(1+BrownOut!$C$12)/BrownOut!$C$14)</f>
        <v>31.717999403274103</v>
      </c>
      <c r="F18">
        <v>0</v>
      </c>
      <c r="G18" s="1">
        <f>BrownOut!$C$11/E18</f>
        <v>4.7291759512586466</v>
      </c>
    </row>
    <row r="19" spans="2:7">
      <c r="B19" t="s">
        <v>263</v>
      </c>
      <c r="C19">
        <f>C18+BrownOut!C13</f>
        <v>3.7109999999999999</v>
      </c>
      <c r="D19" s="8">
        <f>BrownOut!$C$6</f>
        <v>54</v>
      </c>
      <c r="E19" s="10">
        <f>SQRT(E18^2-2*(C19-C18)*BrownOut!$C$11*(1+BrownOut!$C$12)/BrownOut!$C$14)</f>
        <v>24.988385211253551</v>
      </c>
      <c r="F19">
        <f>IF(D19=E19,G19,IF(E19&gt;D19,0,BrownOut!$C$15))</f>
        <v>20</v>
      </c>
      <c r="G19" s="1">
        <f>BrownOut!$C$11/E19</f>
        <v>6.0027888449729563</v>
      </c>
    </row>
    <row r="20" spans="2:7">
      <c r="C20" s="1">
        <f>C19+$D$3*(E20-E19)+$D$3*$D$4*LN((E20-$D$4)/(E19-$D$4))</f>
        <v>3.7892481242521225</v>
      </c>
      <c r="D20" s="8">
        <f>BrownOut!$C$6</f>
        <v>54</v>
      </c>
      <c r="E20" s="10">
        <f>E19+($E$23-$E$19)*1/4</f>
        <v>32.241288908440161</v>
      </c>
      <c r="F20">
        <f>IF(D20=E20,G20,IF(E20&gt;D20,0,BrownOut!$C$15))</f>
        <v>20</v>
      </c>
      <c r="G20" s="1">
        <f>BrownOut!$C$11/E20</f>
        <v>4.652419462074695</v>
      </c>
    </row>
    <row r="21" spans="2:7">
      <c r="C21" s="1">
        <f>C20+$D$3*(E21-E20)+$D$3*$D$4*LN((E21-$D$4)/(E20-$D$4))</f>
        <v>3.8621453496735225</v>
      </c>
      <c r="D21" s="8">
        <f>BrownOut!$C$6</f>
        <v>54</v>
      </c>
      <c r="E21" s="10">
        <f>E20+($E$23-$E$19)*1/4</f>
        <v>39.494192605626772</v>
      </c>
      <c r="F21">
        <f>IF(D21=E21,G21,IF(E21&gt;D21,0,BrownOut!$C$15))</f>
        <v>20</v>
      </c>
      <c r="G21" s="1">
        <f>BrownOut!$C$11/E21</f>
        <v>3.7980267503589724</v>
      </c>
    </row>
    <row r="22" spans="2:7">
      <c r="B22" s="9" t="s">
        <v>264</v>
      </c>
      <c r="C22" s="1">
        <f>C21+$D$3*(E22-E21)+$D$3*$D$4*LN((E22-$D$4)/(E21-$D$4))</f>
        <v>3.9319008430550597</v>
      </c>
      <c r="D22" s="8">
        <f>BrownOut!$C$6</f>
        <v>54</v>
      </c>
      <c r="E22" s="10">
        <f>E21+($E$23-$E$19)*1/4</f>
        <v>46.747096302813382</v>
      </c>
      <c r="F22">
        <f>IF(D22=E22,G22,IF(E22&gt;D22,0,BrownOut!$C$15))</f>
        <v>20</v>
      </c>
      <c r="G22" s="1">
        <f>BrownOut!$C$11/E22</f>
        <v>3.2087554492870725</v>
      </c>
    </row>
    <row r="23" spans="2:7">
      <c r="C23" s="1">
        <f>C22+$D$3*(E23-E22)+$D$3*$D$4*LN((E23-$D$4)/(E22-$D$4))</f>
        <v>3.9995870807667901</v>
      </c>
      <c r="D23" s="8">
        <f>BrownOut!$C$6</f>
        <v>54</v>
      </c>
      <c r="E23" s="3">
        <f>D23</f>
        <v>54</v>
      </c>
      <c r="F23">
        <f>IF(D23=E23,G23,IF(E23&gt;D23,0,BrownOut!$C$15))</f>
        <v>2.7777777777777777</v>
      </c>
      <c r="G23" s="1">
        <f>BrownOut!$C$11/E23</f>
        <v>2.7777777777777777</v>
      </c>
    </row>
    <row r="24" spans="2:7">
      <c r="C24" s="1">
        <f>C23+2.5</f>
        <v>6.4995870807667906</v>
      </c>
      <c r="D24" s="8">
        <f>BrownOut!$C$6</f>
        <v>54</v>
      </c>
      <c r="E24" s="3">
        <f>D24</f>
        <v>54</v>
      </c>
      <c r="F24">
        <f>IF(D24=E24,G24,IF(E24&gt;D24,0,BrownOut!$C$15))</f>
        <v>2.7777777777777777</v>
      </c>
      <c r="G24" s="1">
        <f>BrownOut!$C$11/E24</f>
        <v>2.7777777777777777</v>
      </c>
    </row>
    <row r="25" spans="2:7">
      <c r="E25" s="3"/>
    </row>
    <row r="26" spans="2:7">
      <c r="E2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Qiu, Jayden</cp:lastModifiedBy>
  <dcterms:created xsi:type="dcterms:W3CDTF">2006-09-16T00:00:00Z</dcterms:created>
  <dcterms:modified xsi:type="dcterms:W3CDTF">2022-08-08T11:43:03Z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